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epa-my.sharepoint.com/personal/hardie_alexis_epa_gov/Documents/ExpoSAC/Adulticides/"/>
    </mc:Choice>
  </mc:AlternateContent>
  <xr:revisionPtr revIDLastSave="0" documentId="8_{815950B5-A5E1-40A1-97FD-93215F0B30B7}" xr6:coauthVersionLast="47" xr6:coauthVersionMax="47" xr10:uidLastSave="{00000000-0000-0000-0000-000000000000}"/>
  <bookViews>
    <workbookView xWindow="-120" yWindow="-120" windowWidth="29040" windowHeight="15720" tabRatio="860" xr2:uid="{00000000-000D-0000-FFFF-FFFF00000000}"/>
  </bookViews>
  <sheets>
    <sheet name="TOX and EXPO INPUTS" sheetId="19" r:id="rId1"/>
    <sheet name="Ground-Based ULV " sheetId="33" r:id="rId2"/>
    <sheet name="Aerial ULV" sheetId="38" r:id="rId3"/>
    <sheet name="AGDISP Spray Material Inputs" sheetId="37" r:id="rId4"/>
  </sheets>
  <definedNames>
    <definedName name="No" localSheetId="2">#REF!</definedName>
    <definedName name="No" localSheetId="1">#REF!</definedName>
    <definedName name="No">#REF!</definedName>
    <definedName name="yes_no" localSheetId="2">#REF!</definedName>
    <definedName name="yes_no" localSheetId="1">#REF!</definedName>
    <definedName name="yes_no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37" l="1"/>
  <c r="B12" i="33"/>
  <c r="D12" i="37"/>
  <c r="E12" i="37"/>
  <c r="B15" i="37"/>
  <c r="C15" i="37"/>
  <c r="H32" i="38"/>
  <c r="C32" i="38"/>
  <c r="I32" i="38" s="1"/>
  <c r="D25" i="38"/>
  <c r="J44" i="38"/>
  <c r="D32" i="38"/>
  <c r="C19" i="38"/>
  <c r="D19" i="38" s="1"/>
  <c r="A17" i="38"/>
  <c r="D14" i="38"/>
  <c r="F14" i="38" s="1"/>
  <c r="G14" i="38" s="1"/>
  <c r="H14" i="38" s="1"/>
  <c r="I14" i="38" s="1"/>
  <c r="D13" i="38"/>
  <c r="F13" i="38" s="1"/>
  <c r="G13" i="38" s="1"/>
  <c r="H13" i="38" s="1"/>
  <c r="I13" i="38" s="1"/>
  <c r="A11" i="38"/>
  <c r="J9" i="38"/>
  <c r="E6" i="38"/>
  <c r="E5" i="38"/>
  <c r="E4" i="38"/>
  <c r="F11" i="37"/>
  <c r="C11" i="37"/>
  <c r="D11" i="37"/>
  <c r="E11" i="37"/>
  <c r="B11" i="37"/>
  <c r="C37" i="38" l="1"/>
  <c r="G37" i="38" s="1"/>
  <c r="H37" i="38" s="1"/>
  <c r="I37" i="38" s="1"/>
  <c r="J37" i="38" s="1"/>
  <c r="C38" i="38"/>
  <c r="G38" i="38" s="1"/>
  <c r="D44" i="38" s="1"/>
  <c r="F44" i="38" s="1"/>
  <c r="M44" i="38" s="1"/>
  <c r="N44" i="38" s="1"/>
  <c r="O44" i="38" s="1"/>
  <c r="F15" i="37"/>
  <c r="D15" i="37"/>
  <c r="F12" i="37"/>
  <c r="F13" i="37" s="1"/>
  <c r="F14" i="37" s="1"/>
  <c r="E13" i="37"/>
  <c r="E14" i="37" s="1"/>
  <c r="D13" i="37"/>
  <c r="D14" i="37" s="1"/>
  <c r="C12" i="37"/>
  <c r="C13" i="37" s="1"/>
  <c r="C14" i="37" s="1"/>
  <c r="B12" i="37"/>
  <c r="B13" i="37" s="1"/>
  <c r="B14" i="37" s="1"/>
  <c r="H38" i="38" l="1"/>
  <c r="I38" i="38" s="1"/>
  <c r="J38" i="38" s="1"/>
  <c r="C35" i="33" l="1"/>
  <c r="J47" i="33" l="1"/>
  <c r="D35" i="33"/>
  <c r="B35" i="33"/>
  <c r="B29" i="33" s="1"/>
  <c r="A20" i="33"/>
  <c r="D17" i="33"/>
  <c r="D16" i="33"/>
  <c r="A14" i="33"/>
  <c r="E12" i="33"/>
  <c r="D12" i="33"/>
  <c r="E6" i="33"/>
  <c r="E5" i="33"/>
  <c r="E4" i="33"/>
  <c r="G12" i="33" l="1"/>
  <c r="C16" i="33" s="1"/>
  <c r="F16" i="33" s="1"/>
  <c r="G16" i="33" s="1"/>
  <c r="H16" i="33" s="1"/>
  <c r="I16" i="33" s="1"/>
  <c r="I35" i="33"/>
  <c r="C40" i="33" s="1"/>
  <c r="C17" i="33" l="1"/>
  <c r="F17" i="33" s="1"/>
  <c r="G17" i="33" s="1"/>
  <c r="H17" i="33" s="1"/>
  <c r="I17" i="33" s="1"/>
  <c r="C23" i="33"/>
  <c r="G23" i="33" s="1"/>
  <c r="H23" i="33" s="1"/>
  <c r="I23" i="33" s="1"/>
  <c r="C22" i="33"/>
  <c r="G22" i="33" s="1"/>
  <c r="H22" i="33" s="1"/>
  <c r="I22" i="33" s="1"/>
  <c r="C41" i="33"/>
  <c r="G41" i="33" s="1"/>
  <c r="G40" i="33"/>
  <c r="D47" i="33" l="1"/>
  <c r="F47" i="33" s="1"/>
  <c r="M47" i="33" s="1"/>
  <c r="N47" i="33" s="1"/>
  <c r="O47" i="33" s="1"/>
  <c r="H41" i="33"/>
  <c r="I41" i="33" s="1"/>
  <c r="J41" i="33" s="1"/>
  <c r="H40" i="33"/>
  <c r="I40" i="33" s="1"/>
  <c r="J40" i="3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Matthew G. Lloyd</author>
  </authors>
  <commentList>
    <comment ref="D3" authorId="0" shapeId="0" xr:uid="{00000000-0006-0000-0100-000001000000}">
      <text>
        <r>
          <rPr>
            <sz val="8"/>
            <color indexed="81"/>
            <rFont val="Tahoma"/>
            <family val="2"/>
          </rPr>
          <t>Auto-populates from "Chemical Info" tab</t>
        </r>
      </text>
    </comment>
    <comment ref="B4" authorId="0" shapeId="0" xr:uid="{00000000-0006-0000-0100-000002000000}">
      <text>
        <r>
          <rPr>
            <sz val="8"/>
            <color indexed="81"/>
            <rFont val="Tahoma"/>
            <family val="2"/>
          </rPr>
          <t>Enter "% ai" as a whole number (e.g., 3 for 3% a.i.)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Matthew G. Lloyd</author>
  </authors>
  <commentList>
    <comment ref="D3" authorId="0" shapeId="0" xr:uid="{00000000-0006-0000-0300-000001000000}">
      <text>
        <r>
          <rPr>
            <sz val="8"/>
            <color indexed="81"/>
            <rFont val="Tahoma"/>
            <family val="2"/>
          </rPr>
          <t>Auto-populates from "Chemical Info" tab</t>
        </r>
      </text>
    </comment>
    <comment ref="B4" authorId="0" shapeId="0" xr:uid="{00000000-0006-0000-0300-000002000000}">
      <text>
        <r>
          <rPr>
            <sz val="8"/>
            <color indexed="81"/>
            <rFont val="Tahoma"/>
            <family val="2"/>
          </rPr>
          <t>Enter "% ai" as a whole number (e.g., 3 for 3% a.i.)</t>
        </r>
      </text>
    </comment>
  </commentList>
</comments>
</file>

<file path=xl/sharedStrings.xml><?xml version="1.0" encoding="utf-8"?>
<sst xmlns="http://schemas.openxmlformats.org/spreadsheetml/2006/main" count="302" uniqueCount="163">
  <si>
    <t xml:space="preserve"> ULV Mosquito Adulticide Applications </t>
  </si>
  <si>
    <t>EXPOSURE AND TOXICITY FACTORS</t>
  </si>
  <si>
    <t>Green cells = input required by assessor</t>
  </si>
  <si>
    <t>Active ingredient:</t>
  </si>
  <si>
    <t>Exposure Duration:
(for multiple exposure durations, create new files)</t>
  </si>
  <si>
    <t>Toxicity</t>
  </si>
  <si>
    <t>Incidental Oral</t>
  </si>
  <si>
    <t>POD (mg/kg/day)</t>
  </si>
  <si>
    <t>LOC</t>
  </si>
  <si>
    <t>Dermal</t>
  </si>
  <si>
    <t>POD source/study</t>
  </si>
  <si>
    <t>Absorption (0-1)</t>
  </si>
  <si>
    <t>Absorption (source/study)</t>
  </si>
  <si>
    <t>Inhalation</t>
  </si>
  <si>
    <t>Oral POD (mg/kg/day)</t>
  </si>
  <si>
    <t>HEC (mg/m3)</t>
  </si>
  <si>
    <t xml:space="preserve">Exposure duration from the Inhalation Tox study (hr) </t>
  </si>
  <si>
    <t>Body weights (kg)</t>
  </si>
  <si>
    <t>Adults</t>
  </si>
  <si>
    <t>Children</t>
  </si>
  <si>
    <t>1 &lt;2 years</t>
  </si>
  <si>
    <t>3 &lt;6 years</t>
  </si>
  <si>
    <r>
      <t>Inhalation Rates (m</t>
    </r>
    <r>
      <rPr>
        <b/>
        <vertAlign val="superscript"/>
        <sz val="12"/>
        <rFont val="Times New Roman"/>
        <family val="1"/>
      </rPr>
      <t>3</t>
    </r>
    <r>
      <rPr>
        <b/>
        <sz val="12"/>
        <rFont val="Times New Roman"/>
        <family val="1"/>
      </rPr>
      <t>/hr)</t>
    </r>
  </si>
  <si>
    <t>Body Weight Pick List Reference (DO NOT DELETE)</t>
  </si>
  <si>
    <t>POD Type</t>
  </si>
  <si>
    <t>Lifestage</t>
  </si>
  <si>
    <t>Mean Body Weight (kg)</t>
  </si>
  <si>
    <t>General</t>
  </si>
  <si>
    <t>Combined Adults (16 &lt; 80 years old)</t>
  </si>
  <si>
    <t>Female-specific</t>
  </si>
  <si>
    <t>Female Adults (13 &lt; 49 years old)</t>
  </si>
  <si>
    <t>Male-specific</t>
  </si>
  <si>
    <t>Male Adults (16 &lt; 80 years old)</t>
  </si>
  <si>
    <t>Toxicity Source/Study Pick List (DO NOT DELETE)</t>
  </si>
  <si>
    <t>POD</t>
  </si>
  <si>
    <t>Absorption</t>
  </si>
  <si>
    <t>Route-specific</t>
  </si>
  <si>
    <t>Human study</t>
  </si>
  <si>
    <t>Oral</t>
  </si>
  <si>
    <t>Animal study</t>
  </si>
  <si>
    <t>Estimated by POD or LOAEL/NOAEL comparison</t>
  </si>
  <si>
    <r>
      <rPr>
        <i/>
        <sz val="10"/>
        <rFont val="Times New Roman"/>
        <family val="1"/>
      </rPr>
      <t>In vitro</t>
    </r>
    <r>
      <rPr>
        <sz val="10"/>
        <rFont val="Times New Roman"/>
        <family val="1"/>
      </rPr>
      <t xml:space="preserve"> study</t>
    </r>
  </si>
  <si>
    <t>Other</t>
  </si>
  <si>
    <t>Exposure Duration Pick List (Do Not Delete)</t>
  </si>
  <si>
    <t>Short-Term</t>
  </si>
  <si>
    <t>Intermediate-Term</t>
  </si>
  <si>
    <t>Long-Term</t>
  </si>
  <si>
    <t xml:space="preserve">Ground-Based ULV Mosquito Adulticide Applications </t>
  </si>
  <si>
    <t>DO NOT DELETE THIS BOX</t>
  </si>
  <si>
    <t>Yes</t>
  </si>
  <si>
    <t>EPA Reg#</t>
  </si>
  <si>
    <t>Levels of Concern</t>
  </si>
  <si>
    <t>No</t>
  </si>
  <si>
    <t>% ai</t>
  </si>
  <si>
    <t>N/A</t>
  </si>
  <si>
    <t>Use this</t>
  </si>
  <si>
    <t>Application Rate (lbs ai/acre)</t>
  </si>
  <si>
    <t>Don't use this</t>
  </si>
  <si>
    <t>Postapplication Inhalation Exposure</t>
  </si>
  <si>
    <t xml:space="preserve">Do you have an HEC? </t>
  </si>
  <si>
    <t>Application Rate:</t>
  </si>
  <si>
    <t>CF1 
(454 g/lb)</t>
  </si>
  <si>
    <r>
      <t>CF2 
(1 acre/ 43560 ft</t>
    </r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 xml:space="preserve"> )</t>
    </r>
  </si>
  <si>
    <r>
      <t>Area of box model
(20ft x 20ft= 400ft</t>
    </r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>)</t>
    </r>
  </si>
  <si>
    <t>CF3
(1000mg/g)</t>
  </si>
  <si>
    <t>Application rate   
(mg ai/day)</t>
  </si>
  <si>
    <t>Inhalation Exposure/Risk:</t>
  </si>
  <si>
    <t>Application rate (mg ai/day)</t>
  </si>
  <si>
    <r>
      <t>IR (m</t>
    </r>
    <r>
      <rPr>
        <vertAlign val="superscript"/>
        <sz val="11"/>
        <rFont val="Times New Roman"/>
        <family val="1"/>
      </rPr>
      <t>3</t>
    </r>
    <r>
      <rPr>
        <sz val="11"/>
        <rFont val="Times New Roman"/>
        <family val="1"/>
      </rPr>
      <t>/hr)</t>
    </r>
  </si>
  <si>
    <r>
      <t>Q (m</t>
    </r>
    <r>
      <rPr>
        <vertAlign val="superscript"/>
        <sz val="11"/>
        <rFont val="Times New Roman"/>
        <family val="1"/>
      </rPr>
      <t>3</t>
    </r>
    <r>
      <rPr>
        <sz val="11"/>
        <rFont val="Times New Roman"/>
        <family val="1"/>
      </rPr>
      <t>/hr)</t>
    </r>
  </si>
  <si>
    <t>Exposure (mg/day)</t>
  </si>
  <si>
    <t xml:space="preserve">Absorbed Dose (mg/kg/day) </t>
  </si>
  <si>
    <t>Inhalation MOE</t>
  </si>
  <si>
    <t>Inhalation MOE (rounded)</t>
  </si>
  <si>
    <t>Children (1 &lt;2 years)</t>
  </si>
  <si>
    <r>
      <t>V (m</t>
    </r>
    <r>
      <rPr>
        <vertAlign val="superscript"/>
        <sz val="11"/>
        <rFont val="Times New Roman"/>
        <family val="1"/>
      </rPr>
      <t>3</t>
    </r>
    <r>
      <rPr>
        <sz val="11"/>
        <rFont val="Times New Roman"/>
        <family val="1"/>
      </rPr>
      <t>)</t>
    </r>
  </si>
  <si>
    <t>ET (exposure duration) (hours)</t>
  </si>
  <si>
    <t>Time Weighted Average Concentration 
(mg/m3)</t>
  </si>
  <si>
    <t>Postapplication Dermal Exposure</t>
  </si>
  <si>
    <t xml:space="preserve">Do you have a TTR study? </t>
  </si>
  <si>
    <r>
      <t>C</t>
    </r>
    <r>
      <rPr>
        <vertAlign val="subscript"/>
        <sz val="11"/>
        <rFont val="Times New Roman"/>
        <family val="1"/>
      </rPr>
      <t>0</t>
    </r>
    <r>
      <rPr>
        <sz val="11"/>
        <rFont val="Times New Roman"/>
        <family val="1"/>
      </rPr>
      <t xml:space="preserve"> from TTR study (</t>
    </r>
    <r>
      <rPr>
        <sz val="11"/>
        <rFont val="Calibri"/>
        <family val="2"/>
      </rPr>
      <t>µ</t>
    </r>
    <r>
      <rPr>
        <sz val="11"/>
        <rFont val="Times New Roman"/>
        <family val="1"/>
      </rPr>
      <t>g/cm</t>
    </r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>)</t>
    </r>
  </si>
  <si>
    <t>App Rate from TTR study (lbs ai/acre)</t>
  </si>
  <si>
    <r>
      <t>Default Deposition Fraction</t>
    </r>
    <r>
      <rPr>
        <vertAlign val="superscript"/>
        <sz val="10"/>
        <rFont val="Times New Roman"/>
        <family val="1"/>
      </rPr>
      <t>1</t>
    </r>
  </si>
  <si>
    <t>TTR adjusted from TTR Study</t>
  </si>
  <si>
    <t>Default TTR Approach</t>
  </si>
  <si>
    <t>1. Default Deposition fraction is based on a number of studies reviewed by EFED. See the most recent Prallethrin and Malathion assessents for analysis discussion</t>
  </si>
  <si>
    <t>TTR Calculations when Chemical Specific TTR Data are NOT Available</t>
  </si>
  <si>
    <t>Formulation/Application Type</t>
  </si>
  <si>
    <t>Application Rate (lb ai/acre)</t>
  </si>
  <si>
    <r>
      <t>F</t>
    </r>
    <r>
      <rPr>
        <vertAlign val="subscript"/>
        <sz val="10"/>
        <rFont val="Times New Roman"/>
        <family val="1"/>
      </rPr>
      <t>AR</t>
    </r>
    <r>
      <rPr>
        <sz val="10"/>
        <rFont val="Times New Roman"/>
        <family val="1"/>
      </rPr>
      <t xml:space="preserve">
(fraction of transferable ai)</t>
    </r>
  </si>
  <si>
    <r>
      <t>F</t>
    </r>
    <r>
      <rPr>
        <vertAlign val="subscript"/>
        <sz val="10"/>
        <rFont val="Times New Roman"/>
        <family val="1"/>
      </rPr>
      <t xml:space="preserve">D
</t>
    </r>
    <r>
      <rPr>
        <sz val="10"/>
        <rFont val="Times New Roman"/>
        <family val="1"/>
      </rPr>
      <t>(fraction of residue that dissipates per day)</t>
    </r>
  </si>
  <si>
    <t>t
(day after application)</t>
  </si>
  <si>
    <t>Weight unit conversion factor (ug/lb)</t>
  </si>
  <si>
    <r>
      <t>Area unit conversion factor (acre/cm</t>
    </r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>)</t>
    </r>
  </si>
  <si>
    <r>
      <t>TTR</t>
    </r>
    <r>
      <rPr>
        <vertAlign val="subscript"/>
        <sz val="10"/>
        <rFont val="Times New Roman"/>
        <family val="1"/>
      </rPr>
      <t>t</t>
    </r>
    <r>
      <rPr>
        <sz val="10"/>
        <rFont val="Times New Roman"/>
        <family val="1"/>
      </rPr>
      <t xml:space="preserve"> (ug/cm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>)</t>
    </r>
  </si>
  <si>
    <t xml:space="preserve">Ground ULV Mosquito Application </t>
  </si>
  <si>
    <t>Dermal Exposure/Risk
[from residue deposited on turf]:</t>
  </si>
  <si>
    <t>Weight unit conversion factor (mg/ug)</t>
  </si>
  <si>
    <r>
      <t>Transfer Coefficient (cm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/hr) </t>
    </r>
  </si>
  <si>
    <t>Hours of Exposure (hr)</t>
  </si>
  <si>
    <t xml:space="preserve">Dermal MOE </t>
  </si>
  <si>
    <t>Dermal MOE (rounded)</t>
  </si>
  <si>
    <t>Adult</t>
  </si>
  <si>
    <t>1 to &lt;2 years</t>
  </si>
  <si>
    <t>Postapplication Incidental Oral Exposure</t>
  </si>
  <si>
    <t>Hand-to-Mouth Exposure/Risk
[from residue deposited on turf]:</t>
  </si>
  <si>
    <r>
      <t>F</t>
    </r>
    <r>
      <rPr>
        <vertAlign val="subscript"/>
        <sz val="11"/>
        <rFont val="Times New Roman"/>
        <family val="1"/>
      </rPr>
      <t>aihands</t>
    </r>
  </si>
  <si>
    <t xml:space="preserve">DE </t>
  </si>
  <si>
    <r>
      <t>SA</t>
    </r>
    <r>
      <rPr>
        <vertAlign val="subscript"/>
        <sz val="11"/>
        <rFont val="Times New Roman"/>
        <family val="1"/>
      </rPr>
      <t>H</t>
    </r>
  </si>
  <si>
    <t>HR</t>
  </si>
  <si>
    <r>
      <t>F</t>
    </r>
    <r>
      <rPr>
        <vertAlign val="subscript"/>
        <sz val="11"/>
        <rFont val="Times New Roman"/>
        <family val="1"/>
      </rPr>
      <t>m</t>
    </r>
  </si>
  <si>
    <t xml:space="preserve">ET </t>
  </si>
  <si>
    <t>Replenishment interval (min)</t>
  </si>
  <si>
    <t>N_Replen</t>
  </si>
  <si>
    <t>SE</t>
  </si>
  <si>
    <t>Freq_Replen</t>
  </si>
  <si>
    <t>Absorbed Dose (mg/kg/day)</t>
  </si>
  <si>
    <t>MOE</t>
  </si>
  <si>
    <t xml:space="preserve">MOE (rounded) 
</t>
  </si>
  <si>
    <t>Fraction ai on hands</t>
  </si>
  <si>
    <t xml:space="preserve">Dermal Exposure (mg) </t>
  </si>
  <si>
    <r>
      <t>Surface area of 1 hand (cm</t>
    </r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>)</t>
    </r>
  </si>
  <si>
    <r>
      <t>Hand residue loading (mg/cm</t>
    </r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>)</t>
    </r>
  </si>
  <si>
    <t>Fraction of hand mouthed</t>
  </si>
  <si>
    <t>Exposure Time (hours/day)</t>
  </si>
  <si>
    <t># replenishment intervals per hour (intervals/hr)</t>
  </si>
  <si>
    <t>Fraction Saliva Extraction</t>
  </si>
  <si>
    <t>Number of hand-to-mouth contacts events per hour (events/hr)</t>
  </si>
  <si>
    <t xml:space="preserve">The calculations below follow along with the Mosquito Adulticide SOP guidance. See guidance for instructions on where to retrieve the data to be inputted by the assessor. </t>
  </si>
  <si>
    <t>Spray Material Calculations Examples</t>
  </si>
  <si>
    <t>Do Not Delete</t>
  </si>
  <si>
    <t>Label Reg No.</t>
  </si>
  <si>
    <t>XXX-XXX</t>
  </si>
  <si>
    <t>Density of Water</t>
  </si>
  <si>
    <t>lbs/gal</t>
  </si>
  <si>
    <t>Density of Mineral Oil</t>
  </si>
  <si>
    <t>lbs ai/gal prod</t>
  </si>
  <si>
    <t>ai/A</t>
  </si>
  <si>
    <t>Dilution ratio</t>
  </si>
  <si>
    <t>undiluted</t>
  </si>
  <si>
    <t>diluted 1:1</t>
  </si>
  <si>
    <t>diluted 1:2</t>
  </si>
  <si>
    <t xml:space="preserve">Dilution Factor </t>
  </si>
  <si>
    <t>For AGDISP INPUTS</t>
  </si>
  <si>
    <t>spray volume (gal/A)</t>
  </si>
  <si>
    <t>nonvol fraction</t>
  </si>
  <si>
    <t>active fraction</t>
  </si>
  <si>
    <t>specific gravity, ai and additive</t>
  </si>
  <si>
    <t>specific gravity, carrier</t>
  </si>
  <si>
    <t xml:space="preserve">Aerial ULV Mosquito Adulticide Applications </t>
  </si>
  <si>
    <t>ng/l</t>
  </si>
  <si>
    <t>mg</t>
  </si>
  <si>
    <t>l</t>
  </si>
  <si>
    <t>mg/m3</t>
  </si>
  <si>
    <t>ng</t>
  </si>
  <si>
    <t>m3</t>
  </si>
  <si>
    <r>
      <t>AgDISP Output Air Concentration (mg/m</t>
    </r>
    <r>
      <rPr>
        <vertAlign val="superscript"/>
        <sz val="11"/>
        <rFont val="Times New Roman"/>
        <family val="1"/>
      </rPr>
      <t>3</t>
    </r>
    <r>
      <rPr>
        <sz val="11"/>
        <rFont val="Times New Roman"/>
        <family val="1"/>
      </rPr>
      <t>)</t>
    </r>
    <r>
      <rPr>
        <vertAlign val="superscript"/>
        <sz val="11"/>
        <rFont val="Times New Roman"/>
        <family val="1"/>
      </rPr>
      <t>1</t>
    </r>
  </si>
  <si>
    <r>
      <t>ET (</t>
    </r>
    <r>
      <rPr>
        <sz val="11"/>
        <rFont val="Times New Roman"/>
        <family val="1"/>
      </rPr>
      <t>hr)</t>
    </r>
  </si>
  <si>
    <t>1. AgDISP Output Air Concentration comes from the 1 Hour Average Concentration output from AgDISP</t>
  </si>
  <si>
    <t xml:space="preserve">AgDisp Based with HEC: </t>
  </si>
  <si>
    <r>
      <t>AgDISP Deposition Fraction</t>
    </r>
    <r>
      <rPr>
        <vertAlign val="superscript"/>
        <sz val="10"/>
        <rFont val="Times New Roman"/>
        <family val="1"/>
      </rPr>
      <t>1</t>
    </r>
  </si>
  <si>
    <t>1. Deposition fraction is based on application parameters and AgDISP output values.</t>
  </si>
  <si>
    <t xml:space="preserve">Aerial ULV Mosquito Application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</si>
</sst>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0.0E+00"/>
    <numFmt numFmtId="165" formatCode="0.000"/>
    <numFmt numFmtId="166" formatCode="0.0%"/>
    <numFmt numFmtId="167" formatCode="0.0000"/>
    <numFmt numFmtId="168" formatCode="0.00000"/>
    <numFmt numFmtId="169" formatCode="0.000000"/>
    <numFmt numFmtId="170" formatCode="_(* #,##0_);_(* \(#,##0\);_(* &quot;-&quot;??_);_(@_)"/>
    <numFmt numFmtId="171" formatCode="0.0000000000"/>
    <numFmt numFmtId="172" formatCode="#,##0.000"/>
    <numFmt numFmtId="173" formatCode="#,##0.000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8"/>
      <color indexed="81"/>
      <name val="Tahoma"/>
      <family val="2"/>
    </font>
    <font>
      <b/>
      <sz val="16"/>
      <color theme="3" tint="0.3999755851924192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vertAlign val="superscript"/>
      <sz val="11"/>
      <name val="Times New Roman"/>
      <family val="1"/>
    </font>
    <font>
      <vertAlign val="subscript"/>
      <sz val="11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sz val="10"/>
      <color rgb="FFFF0000"/>
      <name val="Times New Roman"/>
      <family val="1"/>
    </font>
    <font>
      <sz val="12"/>
      <name val="Arial"/>
      <family val="2"/>
    </font>
    <font>
      <i/>
      <sz val="10"/>
      <name val="Times New Roman"/>
      <family val="1"/>
    </font>
    <font>
      <b/>
      <vertAlign val="superscript"/>
      <sz val="12"/>
      <name val="Times New Roman"/>
      <family val="1"/>
    </font>
    <font>
      <sz val="10"/>
      <name val="Arial"/>
      <family val="2"/>
    </font>
    <font>
      <sz val="10"/>
      <color indexed="10"/>
      <name val="Times New Roman"/>
      <family val="1"/>
    </font>
    <font>
      <vertAlign val="subscript"/>
      <sz val="10"/>
      <name val="Times New Roman"/>
      <family val="1"/>
    </font>
    <font>
      <vertAlign val="superscript"/>
      <sz val="10"/>
      <name val="Times New Roman"/>
      <family val="1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8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2">
    <xf numFmtId="0" fontId="0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17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20" fillId="0" borderId="0" applyFont="0" applyFill="0" applyBorder="0" applyAlignment="0" applyProtection="0"/>
    <xf numFmtId="0" fontId="2" fillId="0" borderId="0"/>
  </cellStyleXfs>
  <cellXfs count="292">
    <xf numFmtId="0" fontId="0" fillId="0" borderId="0" xfId="0"/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/>
    <xf numFmtId="0" fontId="5" fillId="0" borderId="1" xfId="0" applyFont="1" applyBorder="1"/>
    <xf numFmtId="0" fontId="5" fillId="0" borderId="0" xfId="0" applyFont="1" applyFill="1"/>
    <xf numFmtId="0" fontId="9" fillId="0" borderId="0" xfId="0" applyFont="1"/>
    <xf numFmtId="0" fontId="6" fillId="0" borderId="0" xfId="0" applyFont="1"/>
    <xf numFmtId="0" fontId="10" fillId="2" borderId="1" xfId="0" applyFont="1" applyFill="1" applyBorder="1" applyAlignment="1">
      <alignment horizontal="center" vertical="center"/>
    </xf>
    <xf numFmtId="0" fontId="10" fillId="0" borderId="0" xfId="0" applyFont="1" applyBorder="1"/>
    <xf numFmtId="0" fontId="10" fillId="0" borderId="1" xfId="0" applyFont="1" applyBorder="1"/>
    <xf numFmtId="0" fontId="10" fillId="0" borderId="0" xfId="0" applyFont="1"/>
    <xf numFmtId="0" fontId="10" fillId="2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0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center" vertical="center"/>
    </xf>
    <xf numFmtId="2" fontId="10" fillId="0" borderId="1" xfId="1" applyNumberFormat="1" applyFont="1" applyFill="1" applyBorder="1" applyAlignment="1">
      <alignment horizontal="center" vertical="center"/>
    </xf>
    <xf numFmtId="1" fontId="10" fillId="0" borderId="1" xfId="1" applyNumberFormat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166" fontId="10" fillId="2" borderId="1" xfId="1" applyNumberFormat="1" applyFont="1" applyFill="1" applyBorder="1" applyAlignment="1">
      <alignment horizontal="center" vertical="center"/>
    </xf>
    <xf numFmtId="166" fontId="10" fillId="2" borderId="1" xfId="1" applyNumberFormat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1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2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 applyAlignment="1">
      <alignment horizontal="center" vertical="center" wrapText="1"/>
    </xf>
    <xf numFmtId="167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0" xfId="0" applyFont="1" applyAlignment="1" applyProtection="1">
      <alignment horizontal="left"/>
    </xf>
    <xf numFmtId="0" fontId="10" fillId="0" borderId="0" xfId="0" applyFont="1" applyFill="1"/>
    <xf numFmtId="0" fontId="10" fillId="0" borderId="1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6" fillId="0" borderId="0" xfId="0" applyFont="1" applyFill="1"/>
    <xf numFmtId="0" fontId="14" fillId="0" borderId="0" xfId="0" applyFont="1"/>
    <xf numFmtId="0" fontId="6" fillId="5" borderId="8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/>
    </xf>
    <xf numFmtId="0" fontId="15" fillId="3" borderId="19" xfId="0" applyFont="1" applyFill="1" applyBorder="1" applyAlignment="1"/>
    <xf numFmtId="0" fontId="9" fillId="3" borderId="15" xfId="0" applyFont="1" applyFill="1" applyBorder="1" applyAlignment="1"/>
    <xf numFmtId="0" fontId="9" fillId="3" borderId="17" xfId="0" applyFont="1" applyFill="1" applyBorder="1" applyAlignment="1"/>
    <xf numFmtId="0" fontId="15" fillId="0" borderId="0" xfId="0" applyFont="1" applyFill="1" applyBorder="1" applyAlignment="1"/>
    <xf numFmtId="0" fontId="9" fillId="0" borderId="0" xfId="0" applyFont="1" applyFill="1" applyBorder="1" applyAlignment="1"/>
    <xf numFmtId="0" fontId="15" fillId="3" borderId="1" xfId="2" applyFont="1" applyFill="1" applyBorder="1"/>
    <xf numFmtId="0" fontId="9" fillId="3" borderId="1" xfId="2" applyFont="1" applyFill="1" applyBorder="1"/>
    <xf numFmtId="0" fontId="15" fillId="3" borderId="11" xfId="2" applyFont="1" applyFill="1" applyBorder="1"/>
    <xf numFmtId="0" fontId="15" fillId="3" borderId="12" xfId="2" applyFont="1" applyFill="1" applyBorder="1"/>
    <xf numFmtId="0" fontId="9" fillId="3" borderId="11" xfId="2" applyFont="1" applyFill="1" applyBorder="1"/>
    <xf numFmtId="0" fontId="9" fillId="3" borderId="12" xfId="2" applyFont="1" applyFill="1" applyBorder="1"/>
    <xf numFmtId="0" fontId="9" fillId="3" borderId="13" xfId="2" applyFont="1" applyFill="1" applyBorder="1"/>
    <xf numFmtId="0" fontId="9" fillId="3" borderId="22" xfId="2" applyFont="1" applyFill="1" applyBorder="1"/>
    <xf numFmtId="0" fontId="9" fillId="3" borderId="14" xfId="2" applyFont="1" applyFill="1" applyBorder="1"/>
    <xf numFmtId="0" fontId="5" fillId="3" borderId="20" xfId="0" applyFont="1" applyFill="1" applyBorder="1"/>
    <xf numFmtId="0" fontId="5" fillId="3" borderId="16" xfId="0" applyFont="1" applyFill="1" applyBorder="1"/>
    <xf numFmtId="0" fontId="5" fillId="3" borderId="18" xfId="0" applyFont="1" applyFill="1" applyBorder="1"/>
    <xf numFmtId="0" fontId="15" fillId="3" borderId="11" xfId="4" applyFont="1" applyFill="1" applyBorder="1" applyAlignment="1">
      <alignment horizontal="center"/>
    </xf>
    <xf numFmtId="0" fontId="15" fillId="3" borderId="12" xfId="4" applyFont="1" applyFill="1" applyBorder="1" applyAlignment="1">
      <alignment horizontal="center"/>
    </xf>
    <xf numFmtId="0" fontId="9" fillId="3" borderId="11" xfId="4" applyFont="1" applyFill="1" applyBorder="1" applyAlignment="1">
      <alignment horizontal="center" vertical="center"/>
    </xf>
    <xf numFmtId="0" fontId="9" fillId="3" borderId="12" xfId="4" applyFont="1" applyFill="1" applyBorder="1" applyAlignment="1">
      <alignment horizontal="center"/>
    </xf>
    <xf numFmtId="0" fontId="9" fillId="3" borderId="11" xfId="4" applyFont="1" applyFill="1" applyBorder="1" applyAlignment="1">
      <alignment horizontal="center"/>
    </xf>
    <xf numFmtId="0" fontId="9" fillId="3" borderId="13" xfId="4" applyFont="1" applyFill="1" applyBorder="1" applyAlignment="1">
      <alignment horizontal="center"/>
    </xf>
    <xf numFmtId="0" fontId="9" fillId="3" borderId="14" xfId="4" applyFont="1" applyFill="1" applyBorder="1" applyAlignment="1">
      <alignment horizontal="center"/>
    </xf>
    <xf numFmtId="0" fontId="5" fillId="5" borderId="12" xfId="4" applyNumberFormat="1" applyFont="1" applyFill="1" applyBorder="1" applyAlignment="1">
      <alignment horizontal="center" vertical="center" wrapText="1"/>
    </xf>
    <xf numFmtId="0" fontId="5" fillId="5" borderId="12" xfId="2" applyNumberFormat="1" applyFont="1" applyFill="1" applyBorder="1" applyAlignment="1">
      <alignment horizontal="center" vertical="center" wrapText="1"/>
    </xf>
    <xf numFmtId="0" fontId="5" fillId="5" borderId="14" xfId="2" applyNumberFormat="1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left" vertical="center" wrapText="1"/>
    </xf>
    <xf numFmtId="0" fontId="5" fillId="0" borderId="0" xfId="0" applyFont="1" applyFill="1" applyBorder="1"/>
    <xf numFmtId="0" fontId="14" fillId="0" borderId="0" xfId="0" applyFont="1" applyFill="1" applyBorder="1" applyProtection="1">
      <protection locked="0"/>
    </xf>
    <xf numFmtId="0" fontId="14" fillId="0" borderId="0" xfId="0" applyFont="1" applyFill="1" applyBorder="1"/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5" fillId="0" borderId="15" xfId="0" applyFont="1" applyFill="1" applyBorder="1"/>
    <xf numFmtId="0" fontId="5" fillId="0" borderId="7" xfId="0" applyFont="1" applyFill="1" applyBorder="1" applyAlignment="1">
      <alignment vertical="center"/>
    </xf>
    <xf numFmtId="0" fontId="5" fillId="0" borderId="16" xfId="0" applyNumberFormat="1" applyFont="1" applyFill="1" applyBorder="1" applyAlignment="1">
      <alignment horizontal="center" vertical="center"/>
    </xf>
    <xf numFmtId="0" fontId="5" fillId="0" borderId="15" xfId="0" applyFont="1" applyBorder="1"/>
    <xf numFmtId="0" fontId="5" fillId="0" borderId="7" xfId="0" applyFont="1" applyFill="1" applyBorder="1" applyAlignment="1">
      <alignment horizontal="left" vertical="center" wrapText="1"/>
    </xf>
    <xf numFmtId="0" fontId="5" fillId="0" borderId="16" xfId="0" applyNumberFormat="1" applyFont="1" applyFill="1" applyBorder="1" applyAlignment="1">
      <alignment horizontal="center" vertical="center" wrapText="1"/>
    </xf>
    <xf numFmtId="0" fontId="14" fillId="5" borderId="8" xfId="0" applyFont="1" applyFill="1" applyBorder="1"/>
    <xf numFmtId="0" fontId="5" fillId="0" borderId="24" xfId="0" applyFont="1" applyBorder="1"/>
    <xf numFmtId="0" fontId="5" fillId="0" borderId="24" xfId="0" applyFont="1" applyFill="1" applyBorder="1" applyAlignment="1">
      <alignment horizontal="left" vertical="center" wrapText="1"/>
    </xf>
    <xf numFmtId="2" fontId="5" fillId="0" borderId="24" xfId="0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5" fillId="0" borderId="22" xfId="0" applyFont="1" applyBorder="1"/>
    <xf numFmtId="0" fontId="5" fillId="0" borderId="14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169" fontId="10" fillId="0" borderId="1" xfId="1" applyNumberFormat="1" applyFont="1" applyFill="1" applyBorder="1" applyAlignment="1">
      <alignment horizontal="center" vertical="center"/>
    </xf>
    <xf numFmtId="0" fontId="5" fillId="5" borderId="12" xfId="6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0" fontId="5" fillId="5" borderId="0" xfId="0" applyFont="1" applyFill="1"/>
    <xf numFmtId="10" fontId="10" fillId="5" borderId="1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NumberFormat="1" applyFont="1" applyBorder="1" applyAlignment="1">
      <alignment horizontal="center" vertical="center" wrapText="1"/>
    </xf>
    <xf numFmtId="0" fontId="10" fillId="0" borderId="0" xfId="0" applyFont="1" applyFill="1" applyBorder="1"/>
    <xf numFmtId="3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/>
    </xf>
    <xf numFmtId="166" fontId="10" fillId="4" borderId="1" xfId="1" applyNumberFormat="1" applyFont="1" applyFill="1" applyBorder="1" applyAlignment="1">
      <alignment horizontal="center" vertical="center"/>
    </xf>
    <xf numFmtId="166" fontId="10" fillId="4" borderId="1" xfId="1" applyNumberFormat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10" fillId="4" borderId="1" xfId="1" applyNumberFormat="1" applyFont="1" applyFill="1" applyBorder="1" applyAlignment="1">
      <alignment horizontal="center" vertical="center" wrapText="1"/>
    </xf>
    <xf numFmtId="170" fontId="9" fillId="0" borderId="0" xfId="5" applyNumberFormat="1" applyFont="1" applyFill="1" applyBorder="1" applyAlignment="1">
      <alignment vertical="center" wrapText="1"/>
    </xf>
    <xf numFmtId="2" fontId="21" fillId="0" borderId="0" xfId="1" applyNumberFormat="1" applyFont="1" applyFill="1" applyBorder="1" applyAlignment="1">
      <alignment horizontal="center" vertical="center" wrapText="1"/>
    </xf>
    <xf numFmtId="3" fontId="21" fillId="0" borderId="0" xfId="1" applyNumberFormat="1" applyFont="1" applyFill="1" applyBorder="1" applyAlignment="1">
      <alignment horizontal="center" vertical="center" wrapText="1"/>
    </xf>
    <xf numFmtId="0" fontId="21" fillId="0" borderId="0" xfId="1" applyFont="1" applyFill="1" applyBorder="1" applyAlignment="1">
      <alignment horizontal="center" vertical="center" wrapText="1"/>
    </xf>
    <xf numFmtId="0" fontId="21" fillId="0" borderId="0" xfId="1" applyNumberFormat="1" applyFont="1" applyFill="1" applyBorder="1" applyAlignment="1">
      <alignment horizontal="center" vertical="center" wrapText="1"/>
    </xf>
    <xf numFmtId="164" fontId="21" fillId="0" borderId="0" xfId="1" applyNumberFormat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170" fontId="9" fillId="0" borderId="0" xfId="5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horizontal="center" vertical="center"/>
    </xf>
    <xf numFmtId="0" fontId="9" fillId="5" borderId="1" xfId="5" applyNumberFormat="1" applyFont="1" applyFill="1" applyBorder="1" applyAlignment="1">
      <alignment horizontal="center" vertical="center"/>
    </xf>
    <xf numFmtId="10" fontId="9" fillId="6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171" fontId="9" fillId="0" borderId="1" xfId="0" applyNumberFormat="1" applyFont="1" applyFill="1" applyBorder="1" applyAlignment="1">
      <alignment vertical="center"/>
    </xf>
    <xf numFmtId="170" fontId="9" fillId="0" borderId="0" xfId="5" applyNumberFormat="1" applyFont="1" applyFill="1" applyBorder="1" applyAlignment="1">
      <alignment horizontal="center"/>
    </xf>
    <xf numFmtId="1" fontId="9" fillId="0" borderId="0" xfId="1" applyNumberFormat="1" applyFont="1" applyBorder="1" applyAlignment="1">
      <alignment horizontal="center" vertical="center"/>
    </xf>
    <xf numFmtId="170" fontId="9" fillId="0" borderId="0" xfId="5" applyNumberFormat="1" applyFont="1" applyBorder="1" applyAlignment="1">
      <alignment horizontal="center"/>
    </xf>
    <xf numFmtId="0" fontId="14" fillId="0" borderId="0" xfId="0" applyFont="1" applyFill="1"/>
    <xf numFmtId="0" fontId="9" fillId="0" borderId="1" xfId="0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vertical="center"/>
    </xf>
    <xf numFmtId="166" fontId="9" fillId="4" borderId="1" xfId="1" applyNumberFormat="1" applyFont="1" applyFill="1" applyBorder="1" applyAlignment="1">
      <alignment horizontal="center" vertical="center" wrapText="1"/>
    </xf>
    <xf numFmtId="3" fontId="9" fillId="4" borderId="1" xfId="1" applyNumberFormat="1" applyFont="1" applyFill="1" applyBorder="1" applyAlignment="1">
      <alignment horizontal="center" vertical="center" wrapText="1"/>
    </xf>
    <xf numFmtId="170" fontId="9" fillId="4" borderId="1" xfId="5" applyNumberFormat="1" applyFont="1" applyFill="1" applyBorder="1" applyAlignment="1">
      <alignment horizontal="center" vertical="center" wrapText="1"/>
    </xf>
    <xf numFmtId="3" fontId="9" fillId="0" borderId="0" xfId="1" applyNumberFormat="1" applyFont="1" applyFill="1" applyBorder="1" applyAlignment="1">
      <alignment horizontal="center" vertical="center" wrapText="1"/>
    </xf>
    <xf numFmtId="166" fontId="9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164" fontId="9" fillId="0" borderId="0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2" fontId="9" fillId="0" borderId="1" xfId="1" applyNumberFormat="1" applyFont="1" applyFill="1" applyBorder="1" applyAlignment="1">
      <alignment horizontal="center" vertical="center"/>
    </xf>
    <xf numFmtId="3" fontId="9" fillId="0" borderId="1" xfId="1" applyNumberFormat="1" applyFont="1" applyFill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center" vertical="center"/>
    </xf>
    <xf numFmtId="170" fontId="9" fillId="0" borderId="1" xfId="5" applyNumberFormat="1" applyFont="1" applyFill="1" applyBorder="1" applyAlignment="1">
      <alignment horizontal="center" vertical="center"/>
    </xf>
    <xf numFmtId="3" fontId="9" fillId="0" borderId="0" xfId="1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68" fontId="9" fillId="0" borderId="1" xfId="1" applyNumberFormat="1" applyFont="1" applyFill="1" applyBorder="1" applyAlignment="1">
      <alignment horizontal="center" vertical="center"/>
    </xf>
    <xf numFmtId="172" fontId="9" fillId="0" borderId="1" xfId="1" applyNumberFormat="1" applyFont="1" applyFill="1" applyBorder="1" applyAlignment="1">
      <alignment horizontal="center" vertical="center"/>
    </xf>
    <xf numFmtId="170" fontId="10" fillId="0" borderId="1" xfId="10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vertical="center" wrapText="1"/>
    </xf>
    <xf numFmtId="10" fontId="10" fillId="0" borderId="1" xfId="0" applyNumberFormat="1" applyFont="1" applyFill="1" applyBorder="1" applyAlignment="1">
      <alignment horizontal="center" vertical="center"/>
    </xf>
    <xf numFmtId="167" fontId="9" fillId="0" borderId="1" xfId="1" applyNumberFormat="1" applyFont="1" applyFill="1" applyBorder="1" applyAlignment="1">
      <alignment horizontal="center" vertical="center"/>
    </xf>
    <xf numFmtId="0" fontId="10" fillId="7" borderId="0" xfId="0" applyFont="1" applyFill="1"/>
    <xf numFmtId="0" fontId="10" fillId="7" borderId="1" xfId="0" applyFont="1" applyFill="1" applyBorder="1"/>
    <xf numFmtId="0" fontId="9" fillId="7" borderId="0" xfId="0" applyFont="1" applyFill="1"/>
    <xf numFmtId="0" fontId="9" fillId="7" borderId="6" xfId="0" applyFont="1" applyFill="1" applyBorder="1"/>
    <xf numFmtId="0" fontId="10" fillId="5" borderId="1" xfId="0" applyFont="1" applyFill="1" applyBorder="1"/>
    <xf numFmtId="166" fontId="9" fillId="2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3" fontId="9" fillId="2" borderId="1" xfId="1" applyNumberFormat="1" applyFont="1" applyFill="1" applyBorder="1" applyAlignment="1">
      <alignment horizontal="center" vertical="center" wrapText="1"/>
    </xf>
    <xf numFmtId="170" fontId="9" fillId="2" borderId="1" xfId="5" applyNumberFormat="1" applyFont="1" applyFill="1" applyBorder="1" applyAlignment="1">
      <alignment horizontal="center" vertical="center" wrapText="1"/>
    </xf>
    <xf numFmtId="10" fontId="10" fillId="0" borderId="0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2" fontId="9" fillId="0" borderId="0" xfId="1" applyNumberFormat="1" applyFont="1" applyFill="1" applyBorder="1" applyAlignment="1">
      <alignment horizontal="center" vertical="center"/>
    </xf>
    <xf numFmtId="173" fontId="9" fillId="0" borderId="0" xfId="1" applyNumberFormat="1" applyFont="1" applyFill="1" applyBorder="1" applyAlignment="1">
      <alignment horizontal="center" vertical="center"/>
    </xf>
    <xf numFmtId="165" fontId="9" fillId="8" borderId="1" xfId="8" applyNumberFormat="1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 wrapText="1"/>
    </xf>
    <xf numFmtId="0" fontId="10" fillId="0" borderId="27" xfId="1" applyFont="1" applyFill="1" applyBorder="1" applyAlignment="1">
      <alignment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/>
    </xf>
    <xf numFmtId="0" fontId="2" fillId="0" borderId="0" xfId="11"/>
    <xf numFmtId="167" fontId="2" fillId="0" borderId="1" xfId="11" applyNumberFormat="1" applyBorder="1"/>
    <xf numFmtId="0" fontId="2" fillId="0" borderId="1" xfId="11" applyBorder="1"/>
    <xf numFmtId="165" fontId="2" fillId="0" borderId="1" xfId="11" applyNumberFormat="1" applyBorder="1"/>
    <xf numFmtId="165" fontId="2" fillId="0" borderId="22" xfId="11" applyNumberFormat="1" applyBorder="1"/>
    <xf numFmtId="0" fontId="25" fillId="9" borderId="30" xfId="11" applyFont="1" applyFill="1" applyBorder="1"/>
    <xf numFmtId="0" fontId="25" fillId="9" borderId="11" xfId="11" applyFont="1" applyFill="1" applyBorder="1"/>
    <xf numFmtId="0" fontId="25" fillId="9" borderId="13" xfId="11" applyFont="1" applyFill="1" applyBorder="1"/>
    <xf numFmtId="165" fontId="2" fillId="0" borderId="14" xfId="11" applyNumberFormat="1" applyBorder="1"/>
    <xf numFmtId="0" fontId="2" fillId="7" borderId="9" xfId="11" applyFill="1" applyBorder="1"/>
    <xf numFmtId="0" fontId="2" fillId="7" borderId="21" xfId="11" applyFill="1" applyBorder="1"/>
    <xf numFmtId="0" fontId="2" fillId="7" borderId="10" xfId="11" applyFill="1" applyBorder="1"/>
    <xf numFmtId="0" fontId="2" fillId="7" borderId="13" xfId="11" applyFill="1" applyBorder="1"/>
    <xf numFmtId="0" fontId="2" fillId="7" borderId="22" xfId="11" applyFill="1" applyBorder="1"/>
    <xf numFmtId="0" fontId="2" fillId="7" borderId="14" xfId="11" applyFill="1" applyBorder="1"/>
    <xf numFmtId="0" fontId="2" fillId="5" borderId="0" xfId="11" applyFill="1"/>
    <xf numFmtId="0" fontId="2" fillId="5" borderId="3" xfId="11" applyFill="1" applyBorder="1" applyAlignment="1">
      <alignment horizontal="center"/>
    </xf>
    <xf numFmtId="0" fontId="2" fillId="5" borderId="1" xfId="11" applyFill="1" applyBorder="1"/>
    <xf numFmtId="0" fontId="2" fillId="5" borderId="12" xfId="11" applyFill="1" applyBorder="1"/>
    <xf numFmtId="0" fontId="2" fillId="5" borderId="1" xfId="11" applyFill="1" applyBorder="1" applyAlignment="1">
      <alignment horizontal="center"/>
    </xf>
    <xf numFmtId="165" fontId="2" fillId="5" borderId="1" xfId="11" applyNumberFormat="1" applyFill="1" applyBorder="1"/>
    <xf numFmtId="2" fontId="2" fillId="5" borderId="12" xfId="11" applyNumberFormat="1" applyFill="1" applyBorder="1"/>
    <xf numFmtId="0" fontId="10" fillId="4" borderId="1" xfId="0" applyFont="1" applyFill="1" applyBorder="1"/>
    <xf numFmtId="0" fontId="10" fillId="4" borderId="4" xfId="0" applyFont="1" applyFill="1" applyBorder="1"/>
    <xf numFmtId="0" fontId="10" fillId="4" borderId="5" xfId="0" applyFont="1" applyFill="1" applyBorder="1"/>
    <xf numFmtId="0" fontId="10" fillId="0" borderId="27" xfId="0" applyFont="1" applyFill="1" applyBorder="1"/>
    <xf numFmtId="0" fontId="10" fillId="0" borderId="34" xfId="0" applyFont="1" applyFill="1" applyBorder="1"/>
    <xf numFmtId="0" fontId="10" fillId="4" borderId="2" xfId="0" applyFont="1" applyFill="1" applyBorder="1"/>
    <xf numFmtId="0" fontId="10" fillId="0" borderId="35" xfId="0" applyFont="1" applyFill="1" applyBorder="1"/>
    <xf numFmtId="0" fontId="11" fillId="10" borderId="5" xfId="0" applyFont="1" applyFill="1" applyBorder="1"/>
    <xf numFmtId="165" fontId="9" fillId="0" borderId="0" xfId="8" applyNumberFormat="1" applyFont="1" applyFill="1" applyBorder="1" applyAlignment="1">
      <alignment horizontal="center" vertical="center"/>
    </xf>
    <xf numFmtId="0" fontId="10" fillId="8" borderId="5" xfId="0" applyFont="1" applyFill="1" applyBorder="1"/>
    <xf numFmtId="0" fontId="11" fillId="0" borderId="0" xfId="0" applyFont="1" applyFill="1"/>
    <xf numFmtId="0" fontId="11" fillId="0" borderId="0" xfId="0" applyFont="1" applyBorder="1" applyAlignment="1">
      <alignment horizontal="left" vertical="center"/>
    </xf>
    <xf numFmtId="165" fontId="2" fillId="0" borderId="2" xfId="11" applyNumberFormat="1" applyBorder="1" applyAlignment="1">
      <alignment horizontal="right"/>
    </xf>
    <xf numFmtId="0" fontId="1" fillId="5" borderId="1" xfId="11" applyFont="1" applyFill="1" applyBorder="1"/>
    <xf numFmtId="0" fontId="26" fillId="0" borderId="0" xfId="0" applyFont="1"/>
    <xf numFmtId="0" fontId="10" fillId="0" borderId="1" xfId="1" applyFont="1" applyFill="1" applyBorder="1" applyAlignment="1">
      <alignment horizontal="right" vertical="center" wrapText="1"/>
    </xf>
    <xf numFmtId="0" fontId="5" fillId="0" borderId="29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5" fillId="3" borderId="19" xfId="4" applyFont="1" applyFill="1" applyBorder="1" applyAlignment="1">
      <alignment horizontal="center" vertical="center"/>
    </xf>
    <xf numFmtId="0" fontId="15" fillId="3" borderId="20" xfId="4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5" xfId="0" applyFont="1" applyFill="1" applyBorder="1" applyAlignment="1" applyProtection="1">
      <alignment horizontal="center" vertical="center" wrapText="1"/>
      <protection locked="0"/>
    </xf>
    <xf numFmtId="0" fontId="6" fillId="0" borderId="26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>
      <alignment horizontal="center" wrapText="1"/>
    </xf>
    <xf numFmtId="0" fontId="6" fillId="4" borderId="21" xfId="0" applyFont="1" applyFill="1" applyBorder="1" applyAlignment="1">
      <alignment horizontal="center" wrapText="1"/>
    </xf>
    <xf numFmtId="0" fontId="6" fillId="4" borderId="10" xfId="0" applyFont="1" applyFill="1" applyBorder="1" applyAlignment="1">
      <alignment horizont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15" fillId="3" borderId="19" xfId="2" applyFont="1" applyFill="1" applyBorder="1" applyAlignment="1">
      <alignment horizontal="center"/>
    </xf>
    <xf numFmtId="0" fontId="15" fillId="3" borderId="23" xfId="2" applyFont="1" applyFill="1" applyBorder="1" applyAlignment="1">
      <alignment horizontal="center"/>
    </xf>
    <xf numFmtId="0" fontId="15" fillId="3" borderId="20" xfId="2" applyFont="1" applyFill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5" fillId="7" borderId="0" xfId="0" applyFont="1" applyFill="1" applyBorder="1" applyAlignment="1">
      <alignment horizontal="center"/>
    </xf>
    <xf numFmtId="0" fontId="15" fillId="7" borderId="28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0" borderId="5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3" fontId="10" fillId="2" borderId="5" xfId="1" applyNumberFormat="1" applyFont="1" applyFill="1" applyBorder="1" applyAlignment="1">
      <alignment horizontal="center" vertical="center" wrapText="1"/>
    </xf>
    <xf numFmtId="3" fontId="10" fillId="2" borderId="3" xfId="1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8" borderId="0" xfId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right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5" xfId="1" applyNumberFormat="1" applyFont="1" applyFill="1" applyBorder="1" applyAlignment="1">
      <alignment horizontal="center" vertical="center" wrapText="1"/>
    </xf>
    <xf numFmtId="0" fontId="10" fillId="2" borderId="3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left" vertical="center" wrapText="1"/>
    </xf>
    <xf numFmtId="0" fontId="10" fillId="4" borderId="5" xfId="1" applyNumberFormat="1" applyFont="1" applyFill="1" applyBorder="1" applyAlignment="1">
      <alignment horizontal="center" vertical="center" wrapText="1"/>
    </xf>
    <xf numFmtId="0" fontId="10" fillId="4" borderId="3" xfId="1" applyNumberFormat="1" applyFont="1" applyFill="1" applyBorder="1" applyAlignment="1">
      <alignment horizontal="center" vertical="center" wrapText="1"/>
    </xf>
    <xf numFmtId="3" fontId="10" fillId="4" borderId="5" xfId="1" applyNumberFormat="1" applyFont="1" applyFill="1" applyBorder="1" applyAlignment="1">
      <alignment horizontal="center" vertical="center" wrapText="1"/>
    </xf>
    <xf numFmtId="3" fontId="10" fillId="4" borderId="3" xfId="1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right" vertical="center" wrapText="1"/>
    </xf>
    <xf numFmtId="0" fontId="10" fillId="4" borderId="5" xfId="1" applyFont="1" applyFill="1" applyBorder="1" applyAlignment="1">
      <alignment horizontal="center" vertical="center" wrapText="1"/>
    </xf>
    <xf numFmtId="0" fontId="10" fillId="4" borderId="3" xfId="1" applyFont="1" applyFill="1" applyBorder="1" applyAlignment="1">
      <alignment horizontal="center" vertical="center" wrapText="1"/>
    </xf>
    <xf numFmtId="0" fontId="10" fillId="8" borderId="0" xfId="0" applyFont="1" applyFill="1" applyBorder="1" applyAlignment="1">
      <alignment horizontal="left" vertical="center" wrapText="1"/>
    </xf>
    <xf numFmtId="0" fontId="9" fillId="2" borderId="2" xfId="1" applyFont="1" applyFill="1" applyBorder="1" applyAlignment="1">
      <alignment horizontal="left" vertical="center" wrapText="1"/>
    </xf>
    <xf numFmtId="0" fontId="9" fillId="2" borderId="7" xfId="1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left" vertical="center" wrapText="1"/>
    </xf>
    <xf numFmtId="0" fontId="10" fillId="8" borderId="27" xfId="1" applyFont="1" applyFill="1" applyBorder="1" applyAlignment="1">
      <alignment horizontal="center" vertical="center" wrapText="1"/>
    </xf>
    <xf numFmtId="0" fontId="10" fillId="8" borderId="27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25" fillId="8" borderId="31" xfId="11" applyFont="1" applyFill="1" applyBorder="1" applyAlignment="1">
      <alignment horizontal="center" wrapText="1"/>
    </xf>
    <xf numFmtId="0" fontId="25" fillId="8" borderId="32" xfId="11" applyFont="1" applyFill="1" applyBorder="1" applyAlignment="1">
      <alignment horizontal="center" wrapText="1"/>
    </xf>
    <xf numFmtId="0" fontId="25" fillId="8" borderId="33" xfId="11" applyFont="1" applyFill="1" applyBorder="1" applyAlignment="1">
      <alignment horizontal="center" wrapText="1"/>
    </xf>
    <xf numFmtId="0" fontId="25" fillId="9" borderId="25" xfId="11" applyFont="1" applyFill="1" applyBorder="1" applyAlignment="1">
      <alignment horizontal="center"/>
    </xf>
    <xf numFmtId="0" fontId="25" fillId="9" borderId="26" xfId="11" applyFont="1" applyFill="1" applyBorder="1" applyAlignment="1">
      <alignment horizontal="center"/>
    </xf>
    <xf numFmtId="0" fontId="25" fillId="9" borderId="8" xfId="11" applyFont="1" applyFill="1" applyBorder="1" applyAlignment="1">
      <alignment horizontal="center"/>
    </xf>
    <xf numFmtId="0" fontId="1" fillId="0" borderId="11" xfId="11" applyFont="1" applyBorder="1" applyAlignment="1">
      <alignment horizontal="center"/>
    </xf>
    <xf numFmtId="0" fontId="2" fillId="0" borderId="1" xfId="11" applyBorder="1" applyAlignment="1">
      <alignment horizontal="center"/>
    </xf>
    <xf numFmtId="0" fontId="2" fillId="0" borderId="12" xfId="11" applyBorder="1" applyAlignment="1">
      <alignment horizontal="center"/>
    </xf>
    <xf numFmtId="0" fontId="2" fillId="7" borderId="31" xfId="11" applyFill="1" applyBorder="1" applyAlignment="1">
      <alignment horizontal="center"/>
    </xf>
    <xf numFmtId="0" fontId="2" fillId="7" borderId="32" xfId="11" applyFill="1" applyBorder="1" applyAlignment="1">
      <alignment horizontal="center"/>
    </xf>
    <xf numFmtId="0" fontId="2" fillId="7" borderId="33" xfId="11" applyFill="1" applyBorder="1" applyAlignment="1">
      <alignment horizontal="center"/>
    </xf>
  </cellXfs>
  <cellStyles count="12">
    <cellStyle name="Comma" xfId="10" builtinId="3"/>
    <cellStyle name="Comma 2" xfId="5" xr:uid="{00000000-0005-0000-0000-000001000000}"/>
    <cellStyle name="Comma 3" xfId="3" xr:uid="{00000000-0005-0000-0000-000002000000}"/>
    <cellStyle name="Normal" xfId="0" builtinId="0"/>
    <cellStyle name="Normal 2" xfId="2" xr:uid="{00000000-0005-0000-0000-000004000000}"/>
    <cellStyle name="Normal 2 2" xfId="6" xr:uid="{00000000-0005-0000-0000-000005000000}"/>
    <cellStyle name="Normal 2 3" xfId="9" xr:uid="{00000000-0005-0000-0000-000006000000}"/>
    <cellStyle name="Normal 3" xfId="4" xr:uid="{00000000-0005-0000-0000-000007000000}"/>
    <cellStyle name="Normal 4" xfId="7" xr:uid="{00000000-0005-0000-0000-000008000000}"/>
    <cellStyle name="Normal 5" xfId="11" xr:uid="{00000000-0005-0000-0000-000009000000}"/>
    <cellStyle name="Normal_BENOMYL" xfId="1" xr:uid="{00000000-0005-0000-0000-00000A000000}"/>
    <cellStyle name="Percent 2" xfId="8" xr:uid="{00000000-0005-0000-0000-00000B000000}"/>
  </cellStyles>
  <dxfs count="9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54"/>
  <sheetViews>
    <sheetView tabSelected="1" zoomScale="75" zoomScaleNormal="75" workbookViewId="0">
      <selection activeCell="E17" sqref="E17"/>
    </sheetView>
  </sheetViews>
  <sheetFormatPr defaultColWidth="9.140625" defaultRowHeight="15.75" x14ac:dyDescent="0.25"/>
  <cols>
    <col min="1" max="1" width="9.140625" style="2"/>
    <col min="2" max="2" width="11.85546875" style="2" customWidth="1"/>
    <col min="3" max="3" width="43.85546875" style="2" customWidth="1"/>
    <col min="4" max="4" width="44.140625" style="2" customWidth="1"/>
    <col min="5" max="5" width="43.85546875" style="2" bestFit="1" customWidth="1"/>
    <col min="6" max="16384" width="9.140625" style="2"/>
  </cols>
  <sheetData>
    <row r="1" spans="2:4" ht="22.5" x14ac:dyDescent="0.3">
      <c r="B1" s="215" t="s">
        <v>0</v>
      </c>
    </row>
    <row r="2" spans="2:4" ht="12.75" customHeight="1" thickBot="1" x14ac:dyDescent="0.3"/>
    <row r="3" spans="2:4" ht="22.5" customHeight="1" thickBot="1" x14ac:dyDescent="0.3">
      <c r="B3" s="219" t="s">
        <v>1</v>
      </c>
      <c r="C3" s="220"/>
      <c r="D3" s="43" t="s">
        <v>2</v>
      </c>
    </row>
    <row r="4" spans="2:4" ht="16.5" customHeight="1" thickBot="1" x14ac:dyDescent="0.3"/>
    <row r="5" spans="2:4" ht="16.5" customHeight="1" thickBot="1" x14ac:dyDescent="0.3">
      <c r="B5" s="225" t="s">
        <v>3</v>
      </c>
      <c r="C5" s="226"/>
      <c r="D5" s="44"/>
    </row>
    <row r="6" spans="2:4" ht="16.5" customHeight="1" thickBot="1" x14ac:dyDescent="0.35">
      <c r="C6" s="37"/>
      <c r="D6" s="6"/>
    </row>
    <row r="7" spans="2:4" ht="37.5" customHeight="1" thickBot="1" x14ac:dyDescent="0.35">
      <c r="B7" s="227" t="s">
        <v>4</v>
      </c>
      <c r="C7" s="228"/>
      <c r="D7" s="84"/>
    </row>
    <row r="8" spans="2:4" ht="21" thickBot="1" x14ac:dyDescent="0.35">
      <c r="B8" s="73"/>
      <c r="C8" s="74"/>
      <c r="D8" s="75"/>
    </row>
    <row r="9" spans="2:4" x14ac:dyDescent="0.25">
      <c r="B9" s="235" t="s">
        <v>5</v>
      </c>
      <c r="C9" s="236"/>
      <c r="D9" s="237"/>
    </row>
    <row r="10" spans="2:4" s="4" customFormat="1" x14ac:dyDescent="0.25">
      <c r="B10" s="238" t="s">
        <v>6</v>
      </c>
      <c r="C10" s="72" t="s">
        <v>7</v>
      </c>
      <c r="D10" s="70"/>
    </row>
    <row r="11" spans="2:4" s="4" customFormat="1" x14ac:dyDescent="0.25">
      <c r="B11" s="238"/>
      <c r="C11" s="72" t="s">
        <v>8</v>
      </c>
      <c r="D11" s="70"/>
    </row>
    <row r="12" spans="2:4" s="4" customFormat="1" x14ac:dyDescent="0.25">
      <c r="B12" s="78"/>
      <c r="C12" s="79"/>
      <c r="D12" s="80"/>
    </row>
    <row r="13" spans="2:4" x14ac:dyDescent="0.25">
      <c r="B13" s="223" t="s">
        <v>9</v>
      </c>
      <c r="C13" s="1" t="s">
        <v>7</v>
      </c>
      <c r="D13" s="70"/>
    </row>
    <row r="14" spans="2:4" x14ac:dyDescent="0.25">
      <c r="B14" s="223"/>
      <c r="C14" s="1" t="s">
        <v>10</v>
      </c>
      <c r="D14" s="70"/>
    </row>
    <row r="15" spans="2:4" x14ac:dyDescent="0.25">
      <c r="B15" s="223"/>
      <c r="C15" s="1" t="s">
        <v>11</v>
      </c>
      <c r="D15" s="69"/>
    </row>
    <row r="16" spans="2:4" x14ac:dyDescent="0.25">
      <c r="B16" s="223"/>
      <c r="C16" s="1" t="s">
        <v>12</v>
      </c>
      <c r="D16" s="70"/>
    </row>
    <row r="17" spans="2:15" x14ac:dyDescent="0.25">
      <c r="B17" s="223"/>
      <c r="C17" s="1" t="s">
        <v>8</v>
      </c>
      <c r="D17" s="70"/>
    </row>
    <row r="18" spans="2:15" x14ac:dyDescent="0.25">
      <c r="B18" s="81"/>
      <c r="C18" s="82"/>
      <c r="D18" s="83"/>
    </row>
    <row r="19" spans="2:15" x14ac:dyDescent="0.25">
      <c r="B19" s="223" t="s">
        <v>13</v>
      </c>
      <c r="C19" s="1" t="s">
        <v>14</v>
      </c>
      <c r="D19" s="70"/>
      <c r="E19" s="217"/>
      <c r="F19" s="218"/>
      <c r="G19" s="218"/>
      <c r="H19" s="218"/>
      <c r="I19" s="218"/>
      <c r="J19" s="218"/>
      <c r="K19" s="218"/>
      <c r="L19" s="218"/>
      <c r="M19" s="218"/>
      <c r="N19" s="218"/>
      <c r="O19" s="218"/>
    </row>
    <row r="20" spans="2:15" x14ac:dyDescent="0.25">
      <c r="B20" s="223"/>
      <c r="C20" s="1" t="s">
        <v>15</v>
      </c>
      <c r="D20" s="70"/>
    </row>
    <row r="21" spans="2:15" x14ac:dyDescent="0.25">
      <c r="B21" s="223"/>
      <c r="C21" s="1" t="s">
        <v>10</v>
      </c>
      <c r="D21" s="70"/>
    </row>
    <row r="22" spans="2:15" ht="31.5" x14ac:dyDescent="0.25">
      <c r="B22" s="223"/>
      <c r="C22" s="1" t="s">
        <v>16</v>
      </c>
      <c r="D22" s="70"/>
    </row>
    <row r="23" spans="2:15" x14ac:dyDescent="0.25">
      <c r="B23" s="223"/>
      <c r="C23" s="1" t="s">
        <v>11</v>
      </c>
      <c r="D23" s="70"/>
    </row>
    <row r="24" spans="2:15" ht="16.5" thickBot="1" x14ac:dyDescent="0.3">
      <c r="B24" s="224"/>
      <c r="C24" s="77" t="s">
        <v>8</v>
      </c>
      <c r="D24" s="71"/>
    </row>
    <row r="25" spans="2:15" ht="16.5" thickBot="1" x14ac:dyDescent="0.3">
      <c r="B25" s="85"/>
      <c r="C25" s="86"/>
      <c r="D25" s="87"/>
    </row>
    <row r="26" spans="2:15" x14ac:dyDescent="0.25">
      <c r="B26" s="232" t="s">
        <v>17</v>
      </c>
      <c r="C26" s="233"/>
      <c r="D26" s="234"/>
    </row>
    <row r="27" spans="2:15" ht="15.75" customHeight="1" x14ac:dyDescent="0.25">
      <c r="B27" s="223" t="s">
        <v>18</v>
      </c>
      <c r="C27" s="1" t="s">
        <v>9</v>
      </c>
      <c r="D27" s="93"/>
    </row>
    <row r="28" spans="2:15" ht="15.75" customHeight="1" x14ac:dyDescent="0.25">
      <c r="B28" s="223"/>
      <c r="C28" s="1" t="s">
        <v>13</v>
      </c>
      <c r="D28" s="93"/>
    </row>
    <row r="29" spans="2:15" ht="15.75" customHeight="1" x14ac:dyDescent="0.25">
      <c r="B29" s="223" t="s">
        <v>19</v>
      </c>
      <c r="C29" s="3" t="s">
        <v>20</v>
      </c>
      <c r="D29" s="88">
        <v>11</v>
      </c>
    </row>
    <row r="30" spans="2:15" ht="15.75" customHeight="1" thickBot="1" x14ac:dyDescent="0.3">
      <c r="B30" s="224"/>
      <c r="C30" s="89" t="s">
        <v>21</v>
      </c>
      <c r="D30" s="90">
        <v>19</v>
      </c>
    </row>
    <row r="31" spans="2:15" ht="15.75" customHeight="1" thickBot="1" x14ac:dyDescent="0.3">
      <c r="B31" s="91"/>
      <c r="C31" s="85"/>
      <c r="D31" s="91"/>
    </row>
    <row r="32" spans="2:15" x14ac:dyDescent="0.25">
      <c r="B32" s="229" t="s">
        <v>22</v>
      </c>
      <c r="C32" s="230"/>
      <c r="D32" s="231"/>
    </row>
    <row r="33" spans="2:4" x14ac:dyDescent="0.25">
      <c r="B33" s="242" t="s">
        <v>18</v>
      </c>
      <c r="C33" s="243"/>
      <c r="D33" s="76">
        <v>0.64</v>
      </c>
    </row>
    <row r="34" spans="2:4" x14ac:dyDescent="0.25">
      <c r="B34" s="223" t="s">
        <v>19</v>
      </c>
      <c r="C34" s="3" t="s">
        <v>20</v>
      </c>
      <c r="D34" s="88">
        <v>0.33</v>
      </c>
    </row>
    <row r="35" spans="2:4" ht="16.5" thickBot="1" x14ac:dyDescent="0.3">
      <c r="B35" s="224"/>
      <c r="C35" s="89" t="s">
        <v>21</v>
      </c>
      <c r="D35" s="90">
        <v>0.42</v>
      </c>
    </row>
    <row r="36" spans="2:4" ht="16.5" thickBot="1" x14ac:dyDescent="0.3"/>
    <row r="37" spans="2:4" x14ac:dyDescent="0.25">
      <c r="B37" s="239" t="s">
        <v>23</v>
      </c>
      <c r="C37" s="240"/>
      <c r="D37" s="241"/>
    </row>
    <row r="38" spans="2:4" x14ac:dyDescent="0.25">
      <c r="B38" s="52" t="s">
        <v>24</v>
      </c>
      <c r="C38" s="50" t="s">
        <v>25</v>
      </c>
      <c r="D38" s="53" t="s">
        <v>26</v>
      </c>
    </row>
    <row r="39" spans="2:4" x14ac:dyDescent="0.25">
      <c r="B39" s="54" t="s">
        <v>27</v>
      </c>
      <c r="C39" s="51" t="s">
        <v>28</v>
      </c>
      <c r="D39" s="55">
        <v>80</v>
      </c>
    </row>
    <row r="40" spans="2:4" x14ac:dyDescent="0.25">
      <c r="B40" s="54" t="s">
        <v>29</v>
      </c>
      <c r="C40" s="51" t="s">
        <v>30</v>
      </c>
      <c r="D40" s="55">
        <v>69</v>
      </c>
    </row>
    <row r="41" spans="2:4" ht="16.5" thickBot="1" x14ac:dyDescent="0.3">
      <c r="B41" s="56" t="s">
        <v>31</v>
      </c>
      <c r="C41" s="57" t="s">
        <v>32</v>
      </c>
      <c r="D41" s="58">
        <v>86</v>
      </c>
    </row>
    <row r="42" spans="2:4" ht="16.5" thickBot="1" x14ac:dyDescent="0.3"/>
    <row r="43" spans="2:4" x14ac:dyDescent="0.25">
      <c r="B43" s="221" t="s">
        <v>33</v>
      </c>
      <c r="C43" s="222"/>
    </row>
    <row r="44" spans="2:4" x14ac:dyDescent="0.25">
      <c r="B44" s="62" t="s">
        <v>34</v>
      </c>
      <c r="C44" s="63" t="s">
        <v>35</v>
      </c>
    </row>
    <row r="45" spans="2:4" x14ac:dyDescent="0.25">
      <c r="B45" s="64" t="s">
        <v>36</v>
      </c>
      <c r="C45" s="65" t="s">
        <v>37</v>
      </c>
    </row>
    <row r="46" spans="2:4" x14ac:dyDescent="0.25">
      <c r="B46" s="64" t="s">
        <v>38</v>
      </c>
      <c r="C46" s="65" t="s">
        <v>39</v>
      </c>
    </row>
    <row r="47" spans="2:4" x14ac:dyDescent="0.25">
      <c r="B47" s="64"/>
      <c r="C47" s="65" t="s">
        <v>40</v>
      </c>
    </row>
    <row r="48" spans="2:4" x14ac:dyDescent="0.25">
      <c r="B48" s="66"/>
      <c r="C48" s="65" t="s">
        <v>41</v>
      </c>
    </row>
    <row r="49" spans="2:4" ht="16.5" thickBot="1" x14ac:dyDescent="0.3">
      <c r="B49" s="67"/>
      <c r="C49" s="68" t="s">
        <v>42</v>
      </c>
    </row>
    <row r="50" spans="2:4" ht="16.5" thickBot="1" x14ac:dyDescent="0.3"/>
    <row r="51" spans="2:4" x14ac:dyDescent="0.25">
      <c r="B51" s="45" t="s">
        <v>43</v>
      </c>
      <c r="C51" s="59"/>
      <c r="D51" s="48"/>
    </row>
    <row r="52" spans="2:4" x14ac:dyDescent="0.25">
      <c r="B52" s="46" t="s">
        <v>44</v>
      </c>
      <c r="C52" s="60"/>
      <c r="D52" s="49"/>
    </row>
    <row r="53" spans="2:4" x14ac:dyDescent="0.25">
      <c r="B53" s="46" t="s">
        <v>45</v>
      </c>
      <c r="C53" s="60"/>
      <c r="D53" s="49"/>
    </row>
    <row r="54" spans="2:4" ht="16.5" thickBot="1" x14ac:dyDescent="0.3">
      <c r="B54" s="47" t="s">
        <v>46</v>
      </c>
      <c r="C54" s="61"/>
      <c r="D54" s="49"/>
    </row>
  </sheetData>
  <mergeCells count="16">
    <mergeCell ref="E19:O19"/>
    <mergeCell ref="B3:C3"/>
    <mergeCell ref="B43:C43"/>
    <mergeCell ref="B13:B17"/>
    <mergeCell ref="B19:B24"/>
    <mergeCell ref="B5:C5"/>
    <mergeCell ref="B7:C7"/>
    <mergeCell ref="B27:B28"/>
    <mergeCell ref="B29:B30"/>
    <mergeCell ref="B34:B35"/>
    <mergeCell ref="B32:D32"/>
    <mergeCell ref="B26:D26"/>
    <mergeCell ref="B9:D9"/>
    <mergeCell ref="B10:B11"/>
    <mergeCell ref="B37:D37"/>
    <mergeCell ref="B33:C33"/>
  </mergeCells>
  <phoneticPr fontId="4" type="noConversion"/>
  <dataValidations count="6">
    <dataValidation type="list" allowBlank="1" showInputMessage="1" showErrorMessage="1" sqref="D7" xr:uid="{00000000-0002-0000-0000-000000000000}">
      <formula1>$B$52:$B$54</formula1>
    </dataValidation>
    <dataValidation type="list" allowBlank="1" showInputMessage="1" showErrorMessage="1" sqref="D27:D28" xr:uid="{00000000-0002-0000-0000-000001000000}">
      <formula1>$D$39:$D$41</formula1>
    </dataValidation>
    <dataValidation type="list" allowBlank="1" showInputMessage="1" showErrorMessage="1" sqref="D8" xr:uid="{00000000-0002-0000-0000-000002000000}">
      <formula1>#REF!</formula1>
    </dataValidation>
    <dataValidation type="list" allowBlank="1" showInputMessage="1" showErrorMessage="1" sqref="D14 D21" xr:uid="{00000000-0002-0000-0000-000003000000}">
      <formula1>$B$45:$B$46</formula1>
    </dataValidation>
    <dataValidation type="list" allowBlank="1" showInputMessage="1" showErrorMessage="1" sqref="D16" xr:uid="{00000000-0002-0000-0000-000004000000}">
      <formula1>$C$45:$C$49</formula1>
    </dataValidation>
    <dataValidation allowBlank="1" showInputMessage="1" showErrorMessage="1" promptTitle="Absorption" prompt="If POD source is route-specific, enter &quot;1&quot;" sqref="D15" xr:uid="{00000000-0002-0000-0000-000005000000}"/>
  </dataValidation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50"/>
  <sheetViews>
    <sheetView topLeftCell="A31" zoomScale="75" zoomScaleNormal="75" workbookViewId="0">
      <selection activeCell="A31" sqref="A31:I31"/>
    </sheetView>
  </sheetViews>
  <sheetFormatPr defaultColWidth="9.140625" defaultRowHeight="12.75" x14ac:dyDescent="0.2"/>
  <cols>
    <col min="1" max="1" width="41.42578125" style="5" customWidth="1"/>
    <col min="2" max="2" width="20" style="5" customWidth="1"/>
    <col min="3" max="3" width="12.42578125" style="5" customWidth="1"/>
    <col min="4" max="4" width="11.42578125" style="5" customWidth="1"/>
    <col min="5" max="5" width="13.42578125" style="5" customWidth="1"/>
    <col min="6" max="6" width="14.42578125" style="5" customWidth="1"/>
    <col min="7" max="7" width="16.85546875" style="5" customWidth="1"/>
    <col min="8" max="8" width="14.42578125" style="5" customWidth="1"/>
    <col min="9" max="9" width="11.5703125" style="5" customWidth="1"/>
    <col min="10" max="10" width="14.140625" style="5" customWidth="1"/>
    <col min="11" max="11" width="11" style="5" customWidth="1"/>
    <col min="12" max="13" width="12.42578125" style="5" customWidth="1"/>
    <col min="14" max="14" width="9.140625" style="5"/>
    <col min="15" max="15" width="10.85546875" style="5" customWidth="1"/>
    <col min="16" max="16" width="9.140625" style="5"/>
    <col min="17" max="17" width="26.5703125" style="5" customWidth="1"/>
    <col min="18" max="19" width="9.140625" style="5"/>
    <col min="20" max="20" width="36.5703125" style="5" customWidth="1"/>
    <col min="21" max="16384" width="9.140625" style="5"/>
  </cols>
  <sheetData>
    <row r="1" spans="1:20" ht="20.25" x14ac:dyDescent="0.3">
      <c r="A1" s="42" t="s">
        <v>47</v>
      </c>
      <c r="P1" s="40"/>
      <c r="R1" s="40"/>
      <c r="S1" s="244" t="s">
        <v>48</v>
      </c>
      <c r="T1" s="245"/>
    </row>
    <row r="2" spans="1:20" x14ac:dyDescent="0.2">
      <c r="P2" s="40"/>
      <c r="R2" s="40"/>
      <c r="S2" s="156" t="s">
        <v>49</v>
      </c>
      <c r="T2" s="157" t="s">
        <v>49</v>
      </c>
    </row>
    <row r="3" spans="1:20" s="10" customFormat="1" ht="15.75" x14ac:dyDescent="0.25">
      <c r="A3" s="7" t="s">
        <v>50</v>
      </c>
      <c r="B3" s="94"/>
      <c r="D3" s="246" t="s">
        <v>51</v>
      </c>
      <c r="E3" s="247"/>
      <c r="G3" s="95" t="s">
        <v>2</v>
      </c>
      <c r="H3" s="96"/>
      <c r="I3" s="96"/>
      <c r="J3" s="4"/>
      <c r="P3" s="38"/>
      <c r="R3" s="38"/>
      <c r="S3" s="154" t="s">
        <v>52</v>
      </c>
      <c r="T3" s="157" t="s">
        <v>52</v>
      </c>
    </row>
    <row r="4" spans="1:20" s="10" customFormat="1" ht="15" x14ac:dyDescent="0.25">
      <c r="A4" s="7" t="s">
        <v>53</v>
      </c>
      <c r="B4" s="97"/>
      <c r="D4" s="9" t="s">
        <v>9</v>
      </c>
      <c r="E4" s="9">
        <f>'TOX and EXPO INPUTS'!D17</f>
        <v>0</v>
      </c>
      <c r="P4" s="38"/>
      <c r="R4" s="38"/>
      <c r="S4" s="154" t="s">
        <v>54</v>
      </c>
      <c r="T4" s="155" t="s">
        <v>55</v>
      </c>
    </row>
    <row r="5" spans="1:20" s="10" customFormat="1" ht="15" x14ac:dyDescent="0.25">
      <c r="A5" s="11" t="s">
        <v>56</v>
      </c>
      <c r="B5" s="94"/>
      <c r="D5" s="9" t="s">
        <v>13</v>
      </c>
      <c r="E5" s="9">
        <f>'TOX and EXPO INPUTS'!D24</f>
        <v>0</v>
      </c>
      <c r="P5" s="38"/>
      <c r="Q5" s="38"/>
      <c r="R5" s="38"/>
      <c r="S5" s="154"/>
      <c r="T5" s="155" t="s">
        <v>57</v>
      </c>
    </row>
    <row r="6" spans="1:20" s="10" customFormat="1" ht="30" x14ac:dyDescent="0.25">
      <c r="A6" s="30"/>
      <c r="B6" s="29"/>
      <c r="D6" s="28" t="s">
        <v>6</v>
      </c>
      <c r="E6" s="9">
        <f>'TOX and EXPO INPUTS'!D11</f>
        <v>0</v>
      </c>
      <c r="P6" s="38"/>
      <c r="Q6" s="38"/>
      <c r="R6" s="38"/>
      <c r="S6" s="38"/>
    </row>
    <row r="7" spans="1:20" s="10" customFormat="1" ht="15" x14ac:dyDescent="0.25">
      <c r="A7" s="8"/>
      <c r="B7" s="8"/>
    </row>
    <row r="8" spans="1:20" s="10" customFormat="1" ht="20.25" x14ac:dyDescent="0.3">
      <c r="A8" s="42" t="s">
        <v>58</v>
      </c>
    </row>
    <row r="9" spans="1:20" s="10" customFormat="1" ht="15" x14ac:dyDescent="0.25">
      <c r="A9" s="11" t="s">
        <v>59</v>
      </c>
      <c r="B9" s="97" t="s">
        <v>49</v>
      </c>
    </row>
    <row r="10" spans="1:20" s="10" customFormat="1" ht="15" x14ac:dyDescent="0.25">
      <c r="A10" s="12"/>
      <c r="H10" s="12"/>
    </row>
    <row r="11" spans="1:20" s="10" customFormat="1" ht="71.25" customHeight="1" x14ac:dyDescent="0.25">
      <c r="A11" s="248" t="s">
        <v>60</v>
      </c>
      <c r="B11" s="11" t="s">
        <v>56</v>
      </c>
      <c r="C11" s="11" t="s">
        <v>61</v>
      </c>
      <c r="D11" s="11" t="s">
        <v>62</v>
      </c>
      <c r="E11" s="11" t="s">
        <v>63</v>
      </c>
      <c r="F11" s="11" t="s">
        <v>64</v>
      </c>
      <c r="G11" s="11" t="s">
        <v>65</v>
      </c>
    </row>
    <row r="12" spans="1:20" s="10" customFormat="1" ht="15" x14ac:dyDescent="0.25">
      <c r="A12" s="249"/>
      <c r="B12" s="94">
        <f>B5</f>
        <v>0</v>
      </c>
      <c r="C12" s="13">
        <v>454</v>
      </c>
      <c r="D12" s="13">
        <f>1/43560</f>
        <v>2.295684113865932E-5</v>
      </c>
      <c r="E12" s="13">
        <f>20*20</f>
        <v>400</v>
      </c>
      <c r="F12" s="13">
        <v>1000</v>
      </c>
      <c r="G12" s="13">
        <f>B12*C12*D12*E12*F12</f>
        <v>0</v>
      </c>
    </row>
    <row r="13" spans="1:20" s="10" customFormat="1" ht="15" x14ac:dyDescent="0.25">
      <c r="A13" s="98"/>
      <c r="B13" s="14"/>
      <c r="C13" s="14"/>
      <c r="D13" s="14"/>
      <c r="E13" s="14"/>
      <c r="F13" s="14"/>
      <c r="G13" s="14"/>
    </row>
    <row r="14" spans="1:20" s="10" customFormat="1" ht="13.5" customHeight="1" x14ac:dyDescent="0.25">
      <c r="A14" s="12" t="str">
        <f>IF(OR(B9={"No"}),T4,IF(B9="Yes",T5,""))</f>
        <v>Don't use this</v>
      </c>
      <c r="B14" s="14"/>
      <c r="C14" s="14"/>
      <c r="D14" s="14"/>
      <c r="E14" s="14"/>
      <c r="F14" s="14"/>
    </row>
    <row r="15" spans="1:20" s="10" customFormat="1" ht="45" x14ac:dyDescent="0.25">
      <c r="A15" s="250" t="s">
        <v>66</v>
      </c>
      <c r="B15" s="7" t="s">
        <v>25</v>
      </c>
      <c r="C15" s="11" t="s">
        <v>67</v>
      </c>
      <c r="D15" s="11" t="s">
        <v>68</v>
      </c>
      <c r="E15" s="11" t="s">
        <v>69</v>
      </c>
      <c r="F15" s="11" t="s">
        <v>70</v>
      </c>
      <c r="G15" s="25" t="s">
        <v>71</v>
      </c>
      <c r="H15" s="11" t="s">
        <v>72</v>
      </c>
      <c r="I15" s="15" t="s">
        <v>73</v>
      </c>
    </row>
    <row r="16" spans="1:20" s="10" customFormat="1" ht="15" x14ac:dyDescent="0.25">
      <c r="A16" s="250"/>
      <c r="B16" s="39" t="s">
        <v>18</v>
      </c>
      <c r="C16" s="16">
        <f>$G$12</f>
        <v>0</v>
      </c>
      <c r="D16" s="16">
        <f>'TOX and EXPO INPUTS'!D33</f>
        <v>0.64</v>
      </c>
      <c r="E16" s="16">
        <v>5400</v>
      </c>
      <c r="F16" s="18">
        <f>(C16*D16)/E16</f>
        <v>0</v>
      </c>
      <c r="G16" s="16" t="e">
        <f>F16*'TOX and EXPO INPUTS'!D23/'TOX and EXPO INPUTS'!D28</f>
        <v>#DIV/0!</v>
      </c>
      <c r="H16" s="19" t="e">
        <f>'TOX and EXPO INPUTS'!D19/G16</f>
        <v>#DIV/0!</v>
      </c>
      <c r="I16" s="17" t="e">
        <f>VALUE(TEXT(H16,"0.0E+00"))</f>
        <v>#DIV/0!</v>
      </c>
    </row>
    <row r="17" spans="1:22" s="10" customFormat="1" ht="15" x14ac:dyDescent="0.25">
      <c r="A17" s="250"/>
      <c r="B17" s="13" t="s">
        <v>74</v>
      </c>
      <c r="C17" s="16">
        <f>$G$12</f>
        <v>0</v>
      </c>
      <c r="D17" s="16">
        <f>'TOX and EXPO INPUTS'!D34</f>
        <v>0.33</v>
      </c>
      <c r="E17" s="16">
        <v>5400</v>
      </c>
      <c r="F17" s="18">
        <f>(C17*D17)/E17</f>
        <v>0</v>
      </c>
      <c r="G17" s="16">
        <f>F17*'TOX and EXPO INPUTS'!D23/'TOX and EXPO INPUTS'!D29</f>
        <v>0</v>
      </c>
      <c r="H17" s="19" t="e">
        <f>'TOX and EXPO INPUTS'!D19/G17</f>
        <v>#DIV/0!</v>
      </c>
      <c r="I17" s="17" t="e">
        <f>VALUE(TEXT(H17,"0.0E+00"))</f>
        <v>#DIV/0!</v>
      </c>
      <c r="K17" s="38"/>
    </row>
    <row r="18" spans="1:22" s="10" customFormat="1" ht="15" x14ac:dyDescent="0.25">
      <c r="A18" s="98"/>
      <c r="B18" s="14"/>
      <c r="C18" s="32"/>
      <c r="D18" s="32"/>
      <c r="E18" s="32"/>
      <c r="F18" s="33"/>
      <c r="G18" s="32"/>
      <c r="H18" s="34"/>
      <c r="I18" s="99"/>
      <c r="J18" s="8"/>
      <c r="K18" s="100"/>
    </row>
    <row r="19" spans="1:22" s="10" customFormat="1" ht="15" x14ac:dyDescent="0.25">
      <c r="A19" s="98"/>
      <c r="B19" s="14"/>
      <c r="C19" s="32"/>
      <c r="D19" s="32"/>
      <c r="E19" s="32"/>
      <c r="F19" s="33"/>
      <c r="G19" s="32"/>
      <c r="H19" s="34"/>
      <c r="I19" s="99"/>
      <c r="J19" s="8"/>
      <c r="K19" s="100"/>
    </row>
    <row r="20" spans="1:22" s="10" customFormat="1" ht="15" x14ac:dyDescent="0.25">
      <c r="A20" s="212" t="str">
        <f>IF(OR(B9={"No"}),T5,IF(B9="Yes",T4,""))</f>
        <v>Use this</v>
      </c>
      <c r="B20" s="14"/>
      <c r="C20" s="32"/>
      <c r="D20" s="32"/>
      <c r="E20" s="32"/>
      <c r="F20" s="33"/>
      <c r="G20" s="32"/>
      <c r="H20" s="34"/>
      <c r="I20" s="99"/>
      <c r="J20" s="8"/>
      <c r="K20" s="100"/>
    </row>
    <row r="21" spans="1:22" s="10" customFormat="1" ht="60" x14ac:dyDescent="0.25">
      <c r="A21" s="250" t="s">
        <v>66</v>
      </c>
      <c r="B21" s="7" t="s">
        <v>25</v>
      </c>
      <c r="C21" s="11" t="s">
        <v>67</v>
      </c>
      <c r="D21" s="11" t="s">
        <v>69</v>
      </c>
      <c r="E21" s="11" t="s">
        <v>75</v>
      </c>
      <c r="F21" s="11" t="s">
        <v>76</v>
      </c>
      <c r="G21" s="11" t="s">
        <v>77</v>
      </c>
      <c r="H21" s="11" t="s">
        <v>72</v>
      </c>
      <c r="I21" s="15" t="s">
        <v>73</v>
      </c>
      <c r="J21" s="101"/>
    </row>
    <row r="22" spans="1:22" s="10" customFormat="1" ht="15" x14ac:dyDescent="0.25">
      <c r="A22" s="250"/>
      <c r="B22" s="39" t="s">
        <v>18</v>
      </c>
      <c r="C22" s="16">
        <f>$G$12</f>
        <v>0</v>
      </c>
      <c r="D22" s="16">
        <v>5400</v>
      </c>
      <c r="E22" s="16">
        <v>90</v>
      </c>
      <c r="F22" s="18">
        <v>1.5</v>
      </c>
      <c r="G22" s="9" t="e">
        <f>(((C22/D22)*(1-EXP(-(5400/E22)*F22)))/'TOX and EXPO INPUTS'!$D$22)</f>
        <v>#DIV/0!</v>
      </c>
      <c r="H22" s="19" t="e">
        <f>'TOX and EXPO INPUTS'!$D$20/G22</f>
        <v>#DIV/0!</v>
      </c>
      <c r="I22" s="17" t="e">
        <f>VALUE(TEXT(H22,"0.0E+00"))</f>
        <v>#DIV/0!</v>
      </c>
      <c r="J22" s="102"/>
    </row>
    <row r="23" spans="1:22" s="10" customFormat="1" ht="15" x14ac:dyDescent="0.25">
      <c r="A23" s="250"/>
      <c r="B23" s="13" t="s">
        <v>74</v>
      </c>
      <c r="C23" s="16">
        <f>$G$12</f>
        <v>0</v>
      </c>
      <c r="D23" s="16">
        <v>5400</v>
      </c>
      <c r="E23" s="16">
        <v>90</v>
      </c>
      <c r="F23" s="18">
        <v>1.5</v>
      </c>
      <c r="G23" s="9" t="e">
        <f>(((C23/D23)*(1-EXP(-(5400/E23)*F23)))/'TOX and EXPO INPUTS'!$D$22)</f>
        <v>#DIV/0!</v>
      </c>
      <c r="H23" s="19" t="e">
        <f>'TOX and EXPO INPUTS'!$D$20/G23</f>
        <v>#DIV/0!</v>
      </c>
      <c r="I23" s="17" t="e">
        <f>VALUE(TEXT(H23,"0.0E+00"))</f>
        <v>#DIV/0!</v>
      </c>
      <c r="J23" s="102"/>
    </row>
    <row r="24" spans="1:22" s="10" customFormat="1" ht="15" x14ac:dyDescent="0.25">
      <c r="K24" s="100"/>
    </row>
    <row r="25" spans="1:22" s="38" customFormat="1" ht="20.25" x14ac:dyDescent="0.3">
      <c r="A25" s="128" t="s">
        <v>78</v>
      </c>
      <c r="K25" s="100"/>
    </row>
    <row r="26" spans="1:22" s="38" customFormat="1" ht="20.25" x14ac:dyDescent="0.3">
      <c r="A26" s="128"/>
      <c r="K26" s="100"/>
    </row>
    <row r="27" spans="1:22" s="38" customFormat="1" ht="15" x14ac:dyDescent="0.25">
      <c r="A27" s="11" t="s">
        <v>79</v>
      </c>
      <c r="B27" s="97" t="s">
        <v>49</v>
      </c>
      <c r="K27" s="100"/>
    </row>
    <row r="28" spans="1:22" s="38" customFormat="1" ht="60" x14ac:dyDescent="0.25">
      <c r="A28" s="253"/>
      <c r="B28" s="254"/>
      <c r="C28" s="11" t="s">
        <v>80</v>
      </c>
      <c r="D28" s="11" t="s">
        <v>81</v>
      </c>
      <c r="E28" s="159" t="s">
        <v>82</v>
      </c>
      <c r="K28" s="100"/>
    </row>
    <row r="29" spans="1:22" s="38" customFormat="1" ht="15" x14ac:dyDescent="0.25">
      <c r="A29" s="11" t="s">
        <v>83</v>
      </c>
      <c r="B29" s="35" t="e">
        <f>((C29*B35)/D29)*E29</f>
        <v>#DIV/0!</v>
      </c>
      <c r="C29" s="158"/>
      <c r="D29" s="158"/>
      <c r="E29" s="173">
        <v>5.1999999999999998E-2</v>
      </c>
      <c r="K29" s="100"/>
    </row>
    <row r="30" spans="1:22" s="38" customFormat="1" ht="15" x14ac:dyDescent="0.25">
      <c r="A30" s="11" t="s">
        <v>84</v>
      </c>
      <c r="B30" s="152">
        <v>0.01</v>
      </c>
      <c r="K30" s="100"/>
    </row>
    <row r="31" spans="1:22" s="119" customFormat="1" ht="18.75" customHeight="1" x14ac:dyDescent="0.2">
      <c r="A31" s="255" t="s">
        <v>85</v>
      </c>
      <c r="B31" s="255"/>
      <c r="C31" s="255"/>
      <c r="D31" s="255"/>
      <c r="E31" s="255"/>
      <c r="F31" s="255"/>
      <c r="G31" s="255"/>
      <c r="H31" s="255"/>
      <c r="I31" s="255"/>
      <c r="J31" s="118"/>
      <c r="K31" s="126"/>
      <c r="L31" s="127"/>
      <c r="M31" s="125"/>
      <c r="N31" s="125"/>
      <c r="V31" s="120"/>
    </row>
    <row r="32" spans="1:22" s="38" customFormat="1" ht="20.25" x14ac:dyDescent="0.3">
      <c r="A32" s="128"/>
      <c r="K32" s="100"/>
    </row>
    <row r="33" spans="1:41" s="111" customFormat="1" ht="18.75" customHeight="1" x14ac:dyDescent="0.2">
      <c r="A33" s="264" t="s">
        <v>86</v>
      </c>
      <c r="B33" s="264"/>
      <c r="C33" s="264"/>
      <c r="D33" s="264"/>
      <c r="E33" s="264"/>
      <c r="F33" s="264"/>
      <c r="G33" s="264"/>
      <c r="H33" s="264"/>
      <c r="I33" s="264"/>
      <c r="J33" s="108"/>
      <c r="K33" s="109"/>
      <c r="L33" s="109"/>
      <c r="M33" s="109"/>
      <c r="N33" s="109"/>
      <c r="O33" s="109"/>
      <c r="P33" s="110"/>
      <c r="S33" s="110"/>
      <c r="W33" s="110"/>
      <c r="Y33" s="110"/>
      <c r="AB33" s="112"/>
      <c r="AC33" s="110"/>
      <c r="AF33" s="110"/>
      <c r="AG33" s="110"/>
      <c r="AN33" s="113"/>
      <c r="AO33" s="113"/>
    </row>
    <row r="34" spans="1:41" s="119" customFormat="1" ht="92.25" customHeight="1" x14ac:dyDescent="0.2">
      <c r="A34" s="23" t="s">
        <v>87</v>
      </c>
      <c r="B34" s="160" t="s">
        <v>88</v>
      </c>
      <c r="C34" s="161" t="s">
        <v>89</v>
      </c>
      <c r="D34" s="161" t="s">
        <v>90</v>
      </c>
      <c r="E34" s="161" t="s">
        <v>91</v>
      </c>
      <c r="F34" s="162" t="s">
        <v>92</v>
      </c>
      <c r="G34" s="162" t="s">
        <v>93</v>
      </c>
      <c r="H34" s="159" t="s">
        <v>82</v>
      </c>
      <c r="I34" s="163" t="s">
        <v>94</v>
      </c>
      <c r="J34" s="118"/>
      <c r="K34" s="256"/>
      <c r="L34" s="256"/>
      <c r="M34" s="256"/>
      <c r="N34" s="256"/>
      <c r="W34" s="120"/>
    </row>
    <row r="35" spans="1:41" s="119" customFormat="1" ht="18.75" customHeight="1" x14ac:dyDescent="0.2">
      <c r="A35" s="216" t="s">
        <v>95</v>
      </c>
      <c r="B35" s="121">
        <f>$B$5</f>
        <v>0</v>
      </c>
      <c r="C35" s="167" t="str">
        <f>IF(OR(B27={"Yes"}),S4,IF(B27="No",B30,""))</f>
        <v>N/A</v>
      </c>
      <c r="D35" s="130">
        <f>0.1</f>
        <v>0.1</v>
      </c>
      <c r="E35" s="123">
        <v>0</v>
      </c>
      <c r="F35" s="123">
        <v>450000000</v>
      </c>
      <c r="G35" s="124">
        <v>2.4699999999999999E-8</v>
      </c>
      <c r="H35" s="173">
        <v>5.1999999999999998E-2</v>
      </c>
      <c r="I35" s="123" t="e">
        <f>(B35*C35*((1-D35)^E35)*F35*G35)*H35</f>
        <v>#VALUE!</v>
      </c>
      <c r="J35" s="118"/>
      <c r="K35" s="126"/>
      <c r="L35" s="127"/>
      <c r="M35" s="125"/>
      <c r="N35" s="125"/>
      <c r="V35" s="120"/>
    </row>
    <row r="36" spans="1:41" s="119" customFormat="1" ht="18.75" customHeight="1" x14ac:dyDescent="0.2">
      <c r="A36" s="255" t="s">
        <v>85</v>
      </c>
      <c r="B36" s="255"/>
      <c r="C36" s="255"/>
      <c r="D36" s="255"/>
      <c r="E36" s="255"/>
      <c r="F36" s="255"/>
      <c r="G36" s="255"/>
      <c r="H36" s="255"/>
      <c r="I36" s="255"/>
      <c r="J36" s="118"/>
      <c r="K36" s="126"/>
      <c r="L36" s="127"/>
      <c r="M36" s="125"/>
      <c r="N36" s="125"/>
      <c r="V36" s="120"/>
    </row>
    <row r="37" spans="1:41" s="38" customFormat="1" ht="15" x14ac:dyDescent="0.25">
      <c r="A37" s="151"/>
    </row>
    <row r="38" spans="1:41" s="111" customFormat="1" ht="30.75" customHeight="1" x14ac:dyDescent="0.2">
      <c r="A38" s="257" t="s">
        <v>96</v>
      </c>
      <c r="B38" s="257"/>
      <c r="C38" s="257"/>
      <c r="D38" s="257"/>
      <c r="E38" s="257"/>
      <c r="F38" s="257"/>
      <c r="G38" s="257"/>
      <c r="H38" s="257"/>
      <c r="I38" s="257"/>
      <c r="J38" s="257"/>
      <c r="K38" s="109"/>
      <c r="L38" s="109"/>
      <c r="M38" s="109"/>
      <c r="N38" s="109"/>
      <c r="O38" s="109"/>
      <c r="P38" s="110"/>
      <c r="S38" s="110"/>
      <c r="W38" s="110"/>
      <c r="Y38" s="110"/>
      <c r="AB38" s="112"/>
      <c r="AC38" s="110"/>
      <c r="AF38" s="110"/>
      <c r="AG38" s="110"/>
      <c r="AN38" s="113"/>
      <c r="AO38" s="113"/>
    </row>
    <row r="39" spans="1:41" s="136" customFormat="1" ht="54" customHeight="1" x14ac:dyDescent="0.2">
      <c r="A39" s="23" t="s">
        <v>87</v>
      </c>
      <c r="B39" s="160" t="s">
        <v>25</v>
      </c>
      <c r="C39" s="163" t="s">
        <v>94</v>
      </c>
      <c r="D39" s="161" t="s">
        <v>97</v>
      </c>
      <c r="E39" s="164" t="s">
        <v>98</v>
      </c>
      <c r="F39" s="160" t="s">
        <v>99</v>
      </c>
      <c r="G39" s="164" t="s">
        <v>70</v>
      </c>
      <c r="H39" s="159" t="s">
        <v>71</v>
      </c>
      <c r="I39" s="160" t="s">
        <v>100</v>
      </c>
      <c r="J39" s="165" t="s">
        <v>101</v>
      </c>
      <c r="K39" s="134"/>
      <c r="L39" s="134"/>
      <c r="M39" s="134"/>
      <c r="N39" s="135"/>
      <c r="P39" s="134"/>
      <c r="Q39" s="134"/>
      <c r="S39" s="134"/>
      <c r="T39" s="134"/>
      <c r="U39" s="134"/>
      <c r="V39" s="134"/>
      <c r="X39" s="137"/>
      <c r="Y39" s="137"/>
      <c r="AC39" s="134"/>
      <c r="AE39" s="134"/>
      <c r="AG39" s="137"/>
      <c r="AH39" s="137"/>
    </row>
    <row r="40" spans="1:41" s="119" customFormat="1" ht="18.75" customHeight="1" x14ac:dyDescent="0.2">
      <c r="A40" s="258" t="s">
        <v>95</v>
      </c>
      <c r="B40" s="138" t="s">
        <v>102</v>
      </c>
      <c r="C40" s="148" t="e">
        <f>IF(OR(B27={"Yes"}),B29,IF(B27="No",I35,""))</f>
        <v>#DIV/0!</v>
      </c>
      <c r="D40" s="138">
        <v>1E-3</v>
      </c>
      <c r="E40" s="140">
        <v>180000</v>
      </c>
      <c r="F40" s="138">
        <v>1.5</v>
      </c>
      <c r="G40" s="141" t="e">
        <f>C40*D40*E40*F40</f>
        <v>#DIV/0!</v>
      </c>
      <c r="H40" s="153" t="e">
        <f>(G40*'TOX and EXPO INPUTS'!$D$15)/'TOX and EXPO INPUTS'!$D$27</f>
        <v>#DIV/0!</v>
      </c>
      <c r="I40" s="139" t="e">
        <f>'TOX and EXPO INPUTS'!$D$13/H40</f>
        <v>#DIV/0!</v>
      </c>
      <c r="J40" s="142" t="e">
        <f>VALUE(TEXT(I40,"0.0E+00"))</f>
        <v>#DIV/0!</v>
      </c>
      <c r="K40" s="172"/>
      <c r="L40" s="143"/>
      <c r="M40" s="143"/>
      <c r="P40" s="143"/>
      <c r="Q40" s="143"/>
      <c r="V40" s="120"/>
      <c r="W40" s="120"/>
      <c r="X40" s="120"/>
      <c r="Y40" s="120"/>
      <c r="Z40" s="120"/>
      <c r="AA40" s="120"/>
      <c r="AG40" s="120"/>
      <c r="AH40" s="120"/>
      <c r="AI40" s="120"/>
      <c r="AJ40" s="120"/>
    </row>
    <row r="41" spans="1:41" s="147" customFormat="1" ht="18.75" customHeight="1" x14ac:dyDescent="0.2">
      <c r="A41" s="258"/>
      <c r="B41" s="129" t="s">
        <v>103</v>
      </c>
      <c r="C41" s="148" t="e">
        <f>IF(OR(B27={"Yes"}),B29,IF(B27="No",I35,""))</f>
        <v>#DIV/0!</v>
      </c>
      <c r="D41" s="138">
        <v>1E-3</v>
      </c>
      <c r="E41" s="144">
        <v>49000</v>
      </c>
      <c r="F41" s="138">
        <v>1.5</v>
      </c>
      <c r="G41" s="149" t="e">
        <f>C41*D41*E41*F41</f>
        <v>#DIV/0!</v>
      </c>
      <c r="H41" s="153" t="e">
        <f>(G41*'TOX and EXPO INPUTS'!$D$15)/'TOX and EXPO INPUTS'!$D$29</f>
        <v>#DIV/0!</v>
      </c>
      <c r="I41" s="139" t="e">
        <f>'TOX and EXPO INPUTS'!$D$13/H41</f>
        <v>#DIV/0!</v>
      </c>
      <c r="J41" s="142" t="e">
        <f>VALUE(TEXT(I41,"0.0E+00"))</f>
        <v>#DIV/0!</v>
      </c>
      <c r="K41" s="172"/>
      <c r="L41" s="145"/>
      <c r="M41" s="145"/>
      <c r="N41" s="146"/>
      <c r="P41" s="145"/>
      <c r="S41" s="119"/>
      <c r="T41" s="119"/>
      <c r="U41" s="119"/>
      <c r="V41" s="120"/>
      <c r="W41" s="120"/>
      <c r="X41" s="120"/>
      <c r="Y41" s="120"/>
      <c r="Z41" s="120"/>
      <c r="AA41" s="120"/>
      <c r="AC41" s="119"/>
      <c r="AD41" s="119"/>
      <c r="AG41" s="120"/>
      <c r="AH41" s="120"/>
    </row>
    <row r="42" spans="1:41" s="38" customFormat="1" ht="15" x14ac:dyDescent="0.25"/>
    <row r="43" spans="1:41" s="38" customFormat="1" ht="15" x14ac:dyDescent="0.25"/>
    <row r="44" spans="1:41" s="38" customFormat="1" ht="20.25" x14ac:dyDescent="0.3">
      <c r="A44" s="128" t="s">
        <v>104</v>
      </c>
    </row>
    <row r="45" spans="1:41" s="38" customFormat="1" ht="16.5" x14ac:dyDescent="0.25">
      <c r="A45" s="259" t="s">
        <v>105</v>
      </c>
      <c r="B45" s="260" t="s">
        <v>25</v>
      </c>
      <c r="C45" s="23" t="s">
        <v>106</v>
      </c>
      <c r="D45" s="24" t="s">
        <v>107</v>
      </c>
      <c r="E45" s="24" t="s">
        <v>108</v>
      </c>
      <c r="F45" s="23" t="s">
        <v>109</v>
      </c>
      <c r="G45" s="24" t="s">
        <v>110</v>
      </c>
      <c r="H45" s="24" t="s">
        <v>111</v>
      </c>
      <c r="I45" s="262" t="s">
        <v>112</v>
      </c>
      <c r="J45" s="23" t="s">
        <v>113</v>
      </c>
      <c r="K45" s="23" t="s">
        <v>114</v>
      </c>
      <c r="L45" s="23" t="s">
        <v>115</v>
      </c>
      <c r="M45" s="262" t="s">
        <v>116</v>
      </c>
      <c r="N45" s="262" t="s">
        <v>117</v>
      </c>
      <c r="O45" s="251" t="s">
        <v>118</v>
      </c>
    </row>
    <row r="46" spans="1:41" s="38" customFormat="1" ht="105" x14ac:dyDescent="0.25">
      <c r="A46" s="259"/>
      <c r="B46" s="261"/>
      <c r="C46" s="25" t="s">
        <v>119</v>
      </c>
      <c r="D46" s="25" t="s">
        <v>120</v>
      </c>
      <c r="E46" s="25" t="s">
        <v>121</v>
      </c>
      <c r="F46" s="25" t="s">
        <v>122</v>
      </c>
      <c r="G46" s="26" t="s">
        <v>123</v>
      </c>
      <c r="H46" s="27" t="s">
        <v>124</v>
      </c>
      <c r="I46" s="263"/>
      <c r="J46" s="27" t="s">
        <v>125</v>
      </c>
      <c r="K46" s="25" t="s">
        <v>126</v>
      </c>
      <c r="L46" s="25" t="s">
        <v>127</v>
      </c>
      <c r="M46" s="263"/>
      <c r="N46" s="263"/>
      <c r="O46" s="252"/>
    </row>
    <row r="47" spans="1:41" s="38" customFormat="1" ht="15" x14ac:dyDescent="0.25">
      <c r="A47" s="259"/>
      <c r="B47" s="36" t="s">
        <v>74</v>
      </c>
      <c r="C47" s="21">
        <v>0.06</v>
      </c>
      <c r="D47" s="31" t="e">
        <f>G41</f>
        <v>#DIV/0!</v>
      </c>
      <c r="E47" s="22">
        <v>150</v>
      </c>
      <c r="F47" s="92" t="e">
        <f>(C47*D47)/(2*E47)</f>
        <v>#DIV/0!</v>
      </c>
      <c r="G47" s="21">
        <v>0.127</v>
      </c>
      <c r="H47" s="20">
        <v>1.5</v>
      </c>
      <c r="I47" s="20">
        <v>15</v>
      </c>
      <c r="J47" s="20">
        <f>60/I47</f>
        <v>4</v>
      </c>
      <c r="K47" s="21">
        <v>0.48</v>
      </c>
      <c r="L47" s="20">
        <v>13.9</v>
      </c>
      <c r="M47" s="20" t="e">
        <f>(((F47*(G47*E47))*(H47*J47)*(1-((1-K47)^(L47/J47))))/'TOX and EXPO INPUTS'!$D$29)</f>
        <v>#DIV/0!</v>
      </c>
      <c r="N47" s="22" t="e">
        <f>'TOX and EXPO INPUTS'!$D$10/M47</f>
        <v>#DIV/0!</v>
      </c>
      <c r="O47" s="150" t="e">
        <f>VALUE(TEXT(N47,"0.0E+00"))</f>
        <v>#DIV/0!</v>
      </c>
    </row>
    <row r="48" spans="1:41" s="10" customFormat="1" ht="15" x14ac:dyDescent="0.25"/>
    <row r="49" spans="3:5" x14ac:dyDescent="0.2">
      <c r="C49" s="40"/>
      <c r="D49" s="40"/>
      <c r="E49" s="40"/>
    </row>
    <row r="50" spans="3:5" x14ac:dyDescent="0.2">
      <c r="C50" s="41"/>
      <c r="D50" s="41"/>
      <c r="E50" s="40"/>
    </row>
  </sheetData>
  <mergeCells count="19">
    <mergeCell ref="O45:O46"/>
    <mergeCell ref="A28:B28"/>
    <mergeCell ref="A36:I36"/>
    <mergeCell ref="K34:L34"/>
    <mergeCell ref="M34:N34"/>
    <mergeCell ref="A31:I31"/>
    <mergeCell ref="A38:J38"/>
    <mergeCell ref="A40:A41"/>
    <mergeCell ref="A45:A47"/>
    <mergeCell ref="B45:B46"/>
    <mergeCell ref="I45:I46"/>
    <mergeCell ref="M45:M46"/>
    <mergeCell ref="N45:N46"/>
    <mergeCell ref="A33:I33"/>
    <mergeCell ref="S1:T1"/>
    <mergeCell ref="D3:E3"/>
    <mergeCell ref="A11:A12"/>
    <mergeCell ref="A15:A17"/>
    <mergeCell ref="A21:A23"/>
  </mergeCells>
  <conditionalFormatting sqref="I16:I17">
    <cfRule type="cellIs" dxfId="8" priority="4" operator="lessThan">
      <formula>$E$5</formula>
    </cfRule>
  </conditionalFormatting>
  <conditionalFormatting sqref="O47">
    <cfRule type="cellIs" dxfId="7" priority="3" operator="lessThan">
      <formula>$E$6</formula>
    </cfRule>
  </conditionalFormatting>
  <conditionalFormatting sqref="I22:I23">
    <cfRule type="cellIs" dxfId="6" priority="2" operator="lessThan">
      <formula>$E$5</formula>
    </cfRule>
  </conditionalFormatting>
  <conditionalFormatting sqref="J40:J41">
    <cfRule type="cellIs" dxfId="5" priority="1" operator="lessThan">
      <formula>$B$4</formula>
    </cfRule>
  </conditionalFormatting>
  <dataValidations count="2">
    <dataValidation type="list" allowBlank="1" showInputMessage="1" showErrorMessage="1" sqref="B9" xr:uid="{00000000-0002-0000-0100-000000000000}">
      <formula1>$S$2:$S$3</formula1>
    </dataValidation>
    <dataValidation type="list" allowBlank="1" showInputMessage="1" showErrorMessage="1" sqref="B27" xr:uid="{00000000-0002-0000-0100-000001000000}">
      <formula1>$T$2:$T$3</formula1>
    </dataValidation>
  </dataValidation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47"/>
  <sheetViews>
    <sheetView topLeftCell="A31" zoomScale="90" zoomScaleNormal="90" workbookViewId="0">
      <selection activeCell="I32" sqref="I32"/>
    </sheetView>
  </sheetViews>
  <sheetFormatPr defaultColWidth="9.140625" defaultRowHeight="12.75" x14ac:dyDescent="0.2"/>
  <cols>
    <col min="1" max="1" width="41.42578125" style="5" customWidth="1"/>
    <col min="2" max="2" width="20" style="5" customWidth="1"/>
    <col min="3" max="3" width="13.42578125" style="5" customWidth="1"/>
    <col min="4" max="4" width="15" style="5" customWidth="1"/>
    <col min="5" max="5" width="13.42578125" style="5" customWidth="1"/>
    <col min="6" max="6" width="14.42578125" style="5" customWidth="1"/>
    <col min="7" max="7" width="16.85546875" style="5" customWidth="1"/>
    <col min="8" max="8" width="14.42578125" style="5" customWidth="1"/>
    <col min="9" max="9" width="11.5703125" style="5" customWidth="1"/>
    <col min="10" max="10" width="14.140625" style="5" customWidth="1"/>
    <col min="11" max="11" width="11" style="5" customWidth="1"/>
    <col min="12" max="13" width="12.42578125" style="5" customWidth="1"/>
    <col min="14" max="14" width="9.140625" style="5"/>
    <col min="15" max="15" width="10.85546875" style="5" customWidth="1"/>
    <col min="16" max="16" width="9.140625" style="5"/>
    <col min="17" max="17" width="9.5703125" style="5" customWidth="1"/>
    <col min="18" max="19" width="9.140625" style="5"/>
    <col min="20" max="20" width="17.85546875" style="5" customWidth="1"/>
    <col min="21" max="16384" width="9.140625" style="5"/>
  </cols>
  <sheetData>
    <row r="1" spans="1:20" ht="20.25" x14ac:dyDescent="0.3">
      <c r="A1" s="42" t="s">
        <v>149</v>
      </c>
      <c r="P1" s="40"/>
      <c r="R1" s="40"/>
      <c r="S1" s="244" t="s">
        <v>48</v>
      </c>
      <c r="T1" s="245"/>
    </row>
    <row r="2" spans="1:20" x14ac:dyDescent="0.2">
      <c r="P2" s="40"/>
      <c r="R2" s="40"/>
      <c r="S2" s="156" t="s">
        <v>49</v>
      </c>
      <c r="T2" s="157" t="s">
        <v>49</v>
      </c>
    </row>
    <row r="3" spans="1:20" s="10" customFormat="1" ht="15.75" x14ac:dyDescent="0.25">
      <c r="A3" s="7" t="s">
        <v>50</v>
      </c>
      <c r="B3" s="94"/>
      <c r="D3" s="246" t="s">
        <v>51</v>
      </c>
      <c r="E3" s="247"/>
      <c r="G3" s="95" t="s">
        <v>2</v>
      </c>
      <c r="H3" s="96"/>
      <c r="I3" s="96"/>
      <c r="J3" s="4"/>
      <c r="P3" s="38"/>
      <c r="R3" s="38"/>
      <c r="S3" s="154" t="s">
        <v>52</v>
      </c>
      <c r="T3" s="157" t="s">
        <v>52</v>
      </c>
    </row>
    <row r="4" spans="1:20" s="10" customFormat="1" ht="15" x14ac:dyDescent="0.25">
      <c r="A4" s="7" t="s">
        <v>53</v>
      </c>
      <c r="B4" s="97"/>
      <c r="D4" s="9" t="s">
        <v>9</v>
      </c>
      <c r="E4" s="9">
        <f>'TOX and EXPO INPUTS'!D17</f>
        <v>0</v>
      </c>
      <c r="P4" s="38"/>
      <c r="R4" s="38"/>
      <c r="S4" s="154" t="s">
        <v>54</v>
      </c>
      <c r="T4" s="155" t="s">
        <v>55</v>
      </c>
    </row>
    <row r="5" spans="1:20" s="10" customFormat="1" ht="15" x14ac:dyDescent="0.25">
      <c r="A5" s="11" t="s">
        <v>56</v>
      </c>
      <c r="B5" s="94"/>
      <c r="D5" s="9" t="s">
        <v>13</v>
      </c>
      <c r="E5" s="9">
        <f>'TOX and EXPO INPUTS'!D24</f>
        <v>0</v>
      </c>
      <c r="P5" s="38"/>
      <c r="Q5" s="38"/>
      <c r="R5" s="38"/>
      <c r="S5" s="154"/>
      <c r="T5" s="155" t="s">
        <v>57</v>
      </c>
    </row>
    <row r="6" spans="1:20" s="10" customFormat="1" ht="15" x14ac:dyDescent="0.25">
      <c r="A6" s="30"/>
      <c r="B6" s="29"/>
      <c r="D6" s="28" t="s">
        <v>6</v>
      </c>
      <c r="E6" s="9">
        <f>'TOX and EXPO INPUTS'!D11</f>
        <v>0</v>
      </c>
      <c r="P6" s="38"/>
      <c r="Q6" s="38"/>
      <c r="R6" s="38"/>
      <c r="S6" s="38"/>
    </row>
    <row r="7" spans="1:20" s="10" customFormat="1" ht="15" x14ac:dyDescent="0.25">
      <c r="A7" s="8"/>
      <c r="B7" s="8"/>
    </row>
    <row r="8" spans="1:20" s="10" customFormat="1" ht="20.25" x14ac:dyDescent="0.3">
      <c r="A8" s="42" t="s">
        <v>58</v>
      </c>
    </row>
    <row r="9" spans="1:20" s="10" customFormat="1" ht="15" x14ac:dyDescent="0.25">
      <c r="A9" s="11" t="s">
        <v>59</v>
      </c>
      <c r="B9" s="97" t="s">
        <v>52</v>
      </c>
      <c r="C9" s="38"/>
      <c r="D9" s="210"/>
      <c r="E9" s="203" t="s">
        <v>150</v>
      </c>
      <c r="F9" s="201">
        <v>1</v>
      </c>
      <c r="G9" s="201" t="s">
        <v>151</v>
      </c>
      <c r="H9" s="201">
        <v>1000</v>
      </c>
      <c r="I9" s="201" t="s">
        <v>152</v>
      </c>
      <c r="J9" s="208">
        <f>(D9*F9*H9)/(F10*H10)</f>
        <v>0</v>
      </c>
      <c r="K9" s="203" t="s">
        <v>153</v>
      </c>
    </row>
    <row r="10" spans="1:20" s="38" customFormat="1" ht="15" x14ac:dyDescent="0.25">
      <c r="A10" s="30"/>
      <c r="B10" s="166"/>
      <c r="D10" s="204"/>
      <c r="E10" s="205"/>
      <c r="F10" s="202">
        <v>1000000</v>
      </c>
      <c r="G10" s="201" t="s">
        <v>154</v>
      </c>
      <c r="H10" s="201">
        <v>1</v>
      </c>
      <c r="I10" s="206" t="s">
        <v>155</v>
      </c>
      <c r="J10" s="207"/>
      <c r="K10" s="204"/>
    </row>
    <row r="11" spans="1:20" s="10" customFormat="1" ht="15" x14ac:dyDescent="0.25">
      <c r="A11" s="211" t="str">
        <f>IF(OR(B9={"No"}),T4,IF(B9="Yes",T5,""))</f>
        <v>Use this</v>
      </c>
      <c r="B11" s="29"/>
      <c r="C11" s="29"/>
      <c r="D11" s="29"/>
      <c r="E11" s="29"/>
      <c r="F11" s="29"/>
      <c r="G11" s="29"/>
      <c r="H11" s="100"/>
      <c r="I11" s="38"/>
      <c r="J11" s="38"/>
    </row>
    <row r="12" spans="1:20" s="10" customFormat="1" ht="63" x14ac:dyDescent="0.25">
      <c r="A12" s="279" t="s">
        <v>66</v>
      </c>
      <c r="B12" s="7" t="s">
        <v>25</v>
      </c>
      <c r="C12" s="11" t="s">
        <v>156</v>
      </c>
      <c r="D12" s="11" t="s">
        <v>68</v>
      </c>
      <c r="E12" s="11" t="s">
        <v>157</v>
      </c>
      <c r="F12" s="11" t="s">
        <v>70</v>
      </c>
      <c r="G12" s="25" t="s">
        <v>71</v>
      </c>
      <c r="H12" s="11" t="s">
        <v>72</v>
      </c>
      <c r="I12" s="15" t="s">
        <v>73</v>
      </c>
      <c r="J12" s="38"/>
    </row>
    <row r="13" spans="1:20" s="10" customFormat="1" ht="15" x14ac:dyDescent="0.25">
      <c r="A13" s="279"/>
      <c r="B13" s="39" t="s">
        <v>18</v>
      </c>
      <c r="C13" s="177"/>
      <c r="D13" s="39">
        <f>'TOX and EXPO INPUTS'!D33</f>
        <v>0.64</v>
      </c>
      <c r="E13" s="39">
        <v>1.5</v>
      </c>
      <c r="F13" s="169">
        <f>C13*D13*E13</f>
        <v>0</v>
      </c>
      <c r="G13" s="39" t="e">
        <f>F13*'TOX and EXPO INPUTS'!D23/'TOX and EXPO INPUTS'!D28</f>
        <v>#DIV/0!</v>
      </c>
      <c r="H13" s="168" t="e">
        <f>'TOX and EXPO INPUTS'!D19/G13</f>
        <v>#DIV/0!</v>
      </c>
      <c r="I13" s="170" t="e">
        <f>VALUE(TEXT(H13,"0.0E+00"))</f>
        <v>#DIV/0!</v>
      </c>
      <c r="J13" s="38"/>
    </row>
    <row r="14" spans="1:20" s="10" customFormat="1" ht="15" x14ac:dyDescent="0.25">
      <c r="A14" s="279"/>
      <c r="B14" s="36" t="s">
        <v>74</v>
      </c>
      <c r="C14" s="177"/>
      <c r="D14" s="39">
        <f>'TOX and EXPO INPUTS'!D34</f>
        <v>0.33</v>
      </c>
      <c r="E14" s="39">
        <v>1.5</v>
      </c>
      <c r="F14" s="169">
        <f>C14*D14*E14</f>
        <v>0</v>
      </c>
      <c r="G14" s="39">
        <f>F14*'TOX and EXPO INPUTS'!D23/'TOX and EXPO INPUTS'!D29</f>
        <v>0</v>
      </c>
      <c r="H14" s="168" t="e">
        <f>'TOX and EXPO INPUTS'!D19/G14</f>
        <v>#DIV/0!</v>
      </c>
      <c r="I14" s="170" t="e">
        <f>VALUE(TEXT(H14,"0.0E+00"))</f>
        <v>#DIV/0!</v>
      </c>
      <c r="J14" s="38"/>
      <c r="K14" s="38"/>
    </row>
    <row r="15" spans="1:20" s="10" customFormat="1" ht="15" x14ac:dyDescent="0.25">
      <c r="A15" s="278" t="s">
        <v>158</v>
      </c>
      <c r="B15" s="278"/>
      <c r="C15" s="278"/>
      <c r="D15" s="278"/>
      <c r="E15" s="174"/>
      <c r="F15" s="174"/>
      <c r="G15" s="174"/>
      <c r="H15" s="174"/>
      <c r="I15" s="174"/>
      <c r="J15" s="38"/>
      <c r="K15" s="38"/>
    </row>
    <row r="16" spans="1:20" s="10" customFormat="1" ht="15" x14ac:dyDescent="0.25">
      <c r="A16" s="98"/>
      <c r="B16" s="14"/>
      <c r="C16" s="32"/>
      <c r="D16" s="32"/>
      <c r="E16" s="32"/>
      <c r="F16" s="33"/>
      <c r="G16" s="32"/>
      <c r="H16" s="34"/>
      <c r="I16" s="99"/>
      <c r="J16" s="8"/>
      <c r="K16" s="100"/>
    </row>
    <row r="17" spans="1:41" s="10" customFormat="1" ht="15" x14ac:dyDescent="0.25">
      <c r="A17" s="12" t="str">
        <f>IF(OR(B9={"No"}),T5,IF(B9="Yes",T4,""))</f>
        <v>Don't use this</v>
      </c>
      <c r="H17" s="12"/>
    </row>
    <row r="18" spans="1:41" s="10" customFormat="1" ht="71.25" customHeight="1" x14ac:dyDescent="0.25">
      <c r="A18" s="279" t="s">
        <v>159</v>
      </c>
      <c r="B18" s="11" t="s">
        <v>156</v>
      </c>
      <c r="C18" s="11" t="s">
        <v>72</v>
      </c>
      <c r="D18" s="15" t="s">
        <v>73</v>
      </c>
      <c r="E18" s="30"/>
      <c r="F18" s="30"/>
      <c r="G18" s="30"/>
    </row>
    <row r="19" spans="1:41" s="10" customFormat="1" ht="15" x14ac:dyDescent="0.25">
      <c r="A19" s="279"/>
      <c r="B19" s="178"/>
      <c r="C19" s="13" t="e">
        <f>'TOX and EXPO INPUTS'!D20/B19</f>
        <v>#DIV/0!</v>
      </c>
      <c r="D19" s="13" t="e">
        <f>VALUE(TEXT(C19,"0.0E+00"))</f>
        <v>#DIV/0!</v>
      </c>
      <c r="E19" s="29"/>
      <c r="F19" s="29"/>
      <c r="G19" s="29"/>
    </row>
    <row r="20" spans="1:41" s="38" customFormat="1" ht="15" x14ac:dyDescent="0.25">
      <c r="A20" s="278" t="s">
        <v>158</v>
      </c>
      <c r="B20" s="278"/>
      <c r="C20" s="278"/>
      <c r="D20" s="278"/>
      <c r="E20" s="29"/>
      <c r="F20" s="29"/>
      <c r="G20" s="29"/>
    </row>
    <row r="21" spans="1:41" s="10" customFormat="1" ht="15" x14ac:dyDescent="0.25">
      <c r="K21" s="100"/>
    </row>
    <row r="22" spans="1:41" s="38" customFormat="1" ht="20.25" x14ac:dyDescent="0.3">
      <c r="A22" s="128" t="s">
        <v>78</v>
      </c>
      <c r="K22" s="100"/>
    </row>
    <row r="23" spans="1:41" s="38" customFormat="1" ht="20.25" x14ac:dyDescent="0.3">
      <c r="A23" s="128"/>
      <c r="K23" s="100"/>
    </row>
    <row r="24" spans="1:41" s="38" customFormat="1" ht="60" x14ac:dyDescent="0.25">
      <c r="A24" s="11" t="s">
        <v>79</v>
      </c>
      <c r="B24" s="11" t="s">
        <v>80</v>
      </c>
      <c r="C24" s="11" t="s">
        <v>81</v>
      </c>
      <c r="D24" s="11" t="s">
        <v>83</v>
      </c>
      <c r="E24" s="100"/>
      <c r="K24" s="100"/>
    </row>
    <row r="25" spans="1:41" s="38" customFormat="1" ht="15" x14ac:dyDescent="0.25">
      <c r="A25" s="97" t="s">
        <v>49</v>
      </c>
      <c r="B25" s="158"/>
      <c r="C25" s="158"/>
      <c r="D25" s="39" t="e">
        <f>((B25*B32)/C25)*B26</f>
        <v>#DIV/0!</v>
      </c>
      <c r="E25" s="135"/>
      <c r="K25" s="100"/>
    </row>
    <row r="26" spans="1:41" s="38" customFormat="1" ht="15.75" x14ac:dyDescent="0.25">
      <c r="A26" s="159" t="s">
        <v>160</v>
      </c>
      <c r="B26" s="173"/>
      <c r="C26" s="100"/>
      <c r="D26" s="100"/>
      <c r="E26" s="209"/>
      <c r="K26" s="100"/>
    </row>
    <row r="27" spans="1:41" s="38" customFormat="1" ht="15" x14ac:dyDescent="0.25">
      <c r="A27" s="11" t="s">
        <v>84</v>
      </c>
      <c r="B27" s="152">
        <v>0.01</v>
      </c>
      <c r="C27" s="100"/>
      <c r="D27" s="100"/>
      <c r="E27" s="100"/>
      <c r="K27" s="100"/>
    </row>
    <row r="28" spans="1:41" s="38" customFormat="1" ht="15" customHeight="1" x14ac:dyDescent="0.25">
      <c r="A28" s="273" t="s">
        <v>161</v>
      </c>
      <c r="B28" s="273"/>
      <c r="C28" s="273"/>
      <c r="D28" s="175"/>
      <c r="E28" s="175"/>
      <c r="K28" s="100"/>
    </row>
    <row r="29" spans="1:41" s="38" customFormat="1" ht="20.25" x14ac:dyDescent="0.3">
      <c r="A29" s="128"/>
      <c r="K29" s="100"/>
    </row>
    <row r="30" spans="1:41" s="111" customFormat="1" ht="18.75" customHeight="1" x14ac:dyDescent="0.2">
      <c r="A30" s="274" t="s">
        <v>86</v>
      </c>
      <c r="B30" s="275"/>
      <c r="C30" s="275"/>
      <c r="D30" s="275"/>
      <c r="E30" s="275"/>
      <c r="F30" s="275"/>
      <c r="G30" s="275"/>
      <c r="H30" s="275"/>
      <c r="I30" s="276"/>
      <c r="J30" s="108"/>
      <c r="K30" s="109"/>
      <c r="L30" s="109"/>
      <c r="M30" s="109"/>
      <c r="N30" s="109"/>
      <c r="O30" s="109"/>
      <c r="P30" s="110"/>
      <c r="S30" s="110"/>
      <c r="W30" s="110"/>
      <c r="Y30" s="110"/>
      <c r="AB30" s="112"/>
      <c r="AC30" s="110"/>
      <c r="AF30" s="110"/>
      <c r="AG30" s="110"/>
      <c r="AN30" s="113"/>
      <c r="AO30" s="113"/>
    </row>
    <row r="31" spans="1:41" s="119" customFormat="1" ht="92.25" customHeight="1" x14ac:dyDescent="0.2">
      <c r="A31" s="103" t="s">
        <v>87</v>
      </c>
      <c r="B31" s="114" t="s">
        <v>88</v>
      </c>
      <c r="C31" s="115" t="s">
        <v>89</v>
      </c>
      <c r="D31" s="115" t="s">
        <v>90</v>
      </c>
      <c r="E31" s="115" t="s">
        <v>91</v>
      </c>
      <c r="F31" s="116" t="s">
        <v>92</v>
      </c>
      <c r="G31" s="116" t="s">
        <v>93</v>
      </c>
      <c r="H31" s="131" t="s">
        <v>160</v>
      </c>
      <c r="I31" s="117" t="s">
        <v>94</v>
      </c>
      <c r="J31" s="118"/>
      <c r="K31" s="256"/>
      <c r="L31" s="256"/>
      <c r="M31" s="256"/>
      <c r="N31" s="256"/>
      <c r="W31" s="120"/>
    </row>
    <row r="32" spans="1:41" s="119" customFormat="1" ht="18.75" customHeight="1" x14ac:dyDescent="0.2">
      <c r="A32" s="216" t="s">
        <v>162</v>
      </c>
      <c r="B32" s="121"/>
      <c r="C32" s="122" t="str">
        <f>IF(OR(A25={"Yes"}),S4,IF(A25="No",B27,""))</f>
        <v>N/A</v>
      </c>
      <c r="D32" s="130">
        <f>0.1</f>
        <v>0.1</v>
      </c>
      <c r="E32" s="123">
        <v>0</v>
      </c>
      <c r="F32" s="123">
        <v>450000000</v>
      </c>
      <c r="G32" s="124">
        <v>2.4699999999999999E-8</v>
      </c>
      <c r="H32" s="173">
        <f>B26</f>
        <v>0</v>
      </c>
      <c r="I32" s="123" t="e">
        <f>(B32*C32*((1-D32)^E32)*F32*G32)*H32</f>
        <v>#VALUE!</v>
      </c>
      <c r="J32" s="118"/>
      <c r="K32" s="126"/>
      <c r="L32" s="127"/>
      <c r="M32" s="125"/>
      <c r="N32" s="125"/>
      <c r="V32" s="120"/>
    </row>
    <row r="33" spans="1:41" s="119" customFormat="1" ht="18.75" customHeight="1" x14ac:dyDescent="0.2">
      <c r="A33" s="277" t="s">
        <v>161</v>
      </c>
      <c r="B33" s="277"/>
      <c r="C33" s="277"/>
      <c r="D33" s="176"/>
      <c r="E33" s="176"/>
      <c r="F33" s="176"/>
      <c r="G33" s="176"/>
      <c r="H33" s="176"/>
      <c r="I33" s="176"/>
      <c r="J33" s="118"/>
      <c r="K33" s="126"/>
      <c r="L33" s="127"/>
      <c r="M33" s="125"/>
      <c r="N33" s="125"/>
      <c r="V33" s="120"/>
    </row>
    <row r="34" spans="1:41" s="38" customFormat="1" ht="15" x14ac:dyDescent="0.25">
      <c r="A34" s="151"/>
    </row>
    <row r="35" spans="1:41" s="111" customFormat="1" ht="30.75" customHeight="1" x14ac:dyDescent="0.2">
      <c r="A35" s="269" t="s">
        <v>96</v>
      </c>
      <c r="B35" s="269"/>
      <c r="C35" s="269"/>
      <c r="D35" s="269"/>
      <c r="E35" s="269"/>
      <c r="F35" s="269"/>
      <c r="G35" s="269"/>
      <c r="H35" s="269"/>
      <c r="I35" s="269"/>
      <c r="J35" s="269"/>
      <c r="K35" s="109"/>
      <c r="L35" s="109"/>
      <c r="M35" s="109"/>
      <c r="N35" s="109"/>
      <c r="O35" s="109"/>
      <c r="P35" s="110"/>
      <c r="S35" s="110"/>
      <c r="W35" s="110"/>
      <c r="Y35" s="110"/>
      <c r="AB35" s="112"/>
      <c r="AC35" s="110"/>
      <c r="AF35" s="110"/>
      <c r="AG35" s="110"/>
      <c r="AN35" s="113"/>
      <c r="AO35" s="113"/>
    </row>
    <row r="36" spans="1:41" s="136" customFormat="1" ht="54" customHeight="1" x14ac:dyDescent="0.2">
      <c r="A36" s="103" t="s">
        <v>87</v>
      </c>
      <c r="B36" s="114" t="s">
        <v>25</v>
      </c>
      <c r="C36" s="117" t="s">
        <v>94</v>
      </c>
      <c r="D36" s="115" t="s">
        <v>97</v>
      </c>
      <c r="E36" s="132" t="s">
        <v>98</v>
      </c>
      <c r="F36" s="114" t="s">
        <v>99</v>
      </c>
      <c r="G36" s="132" t="s">
        <v>70</v>
      </c>
      <c r="H36" s="131" t="s">
        <v>71</v>
      </c>
      <c r="I36" s="114" t="s">
        <v>100</v>
      </c>
      <c r="J36" s="133" t="s">
        <v>101</v>
      </c>
      <c r="K36" s="134"/>
      <c r="L36" s="134"/>
      <c r="M36" s="134"/>
      <c r="N36" s="135"/>
      <c r="P36" s="134"/>
      <c r="Q36" s="134"/>
      <c r="S36" s="134"/>
      <c r="T36" s="134"/>
      <c r="U36" s="134"/>
      <c r="V36" s="134"/>
      <c r="X36" s="137"/>
      <c r="Y36" s="137"/>
      <c r="AC36" s="134"/>
      <c r="AE36" s="134"/>
      <c r="AG36" s="137"/>
      <c r="AH36" s="137"/>
    </row>
    <row r="37" spans="1:41" s="119" customFormat="1" ht="18.75" customHeight="1" x14ac:dyDescent="0.2">
      <c r="A37" s="258" t="s">
        <v>162</v>
      </c>
      <c r="B37" s="138" t="s">
        <v>102</v>
      </c>
      <c r="C37" s="148" t="e">
        <f>IF(OR(A25={"Yes"}),D25,IF(A25="No",I32,""))</f>
        <v>#DIV/0!</v>
      </c>
      <c r="D37" s="138">
        <v>1E-3</v>
      </c>
      <c r="E37" s="140">
        <v>180000</v>
      </c>
      <c r="F37" s="138">
        <v>1.5</v>
      </c>
      <c r="G37" s="141" t="e">
        <f>C37*D37*E37*F37</f>
        <v>#DIV/0!</v>
      </c>
      <c r="H37" s="153" t="e">
        <f>(G37*'TOX and EXPO INPUTS'!$D$15)/'TOX and EXPO INPUTS'!D27</f>
        <v>#DIV/0!</v>
      </c>
      <c r="I37" s="139" t="e">
        <f>'TOX and EXPO INPUTS'!$D$13/H37</f>
        <v>#DIV/0!</v>
      </c>
      <c r="J37" s="142" t="e">
        <f>VALUE(TEXT(I37,"0.0E+00"))</f>
        <v>#DIV/0!</v>
      </c>
      <c r="K37" s="171"/>
      <c r="L37" s="143"/>
      <c r="M37" s="143"/>
      <c r="P37" s="143"/>
      <c r="Q37" s="143"/>
      <c r="V37" s="120"/>
      <c r="W37" s="120"/>
      <c r="X37" s="120"/>
      <c r="Y37" s="120"/>
      <c r="Z37" s="120"/>
      <c r="AA37" s="120"/>
      <c r="AG37" s="120"/>
      <c r="AH37" s="120"/>
      <c r="AI37" s="120"/>
      <c r="AJ37" s="120"/>
    </row>
    <row r="38" spans="1:41" s="147" customFormat="1" ht="18.75" customHeight="1" x14ac:dyDescent="0.2">
      <c r="A38" s="258"/>
      <c r="B38" s="129" t="s">
        <v>103</v>
      </c>
      <c r="C38" s="148" t="e">
        <f>IF(OR(A25={"Yes"}),D25,IF(A25="No",I32,""))</f>
        <v>#DIV/0!</v>
      </c>
      <c r="D38" s="138">
        <v>1E-3</v>
      </c>
      <c r="E38" s="144">
        <v>49000</v>
      </c>
      <c r="F38" s="138">
        <v>1.5</v>
      </c>
      <c r="G38" s="149" t="e">
        <f>C38*D38*E38*F38</f>
        <v>#DIV/0!</v>
      </c>
      <c r="H38" s="153" t="e">
        <f>(G38*'TOX and EXPO INPUTS'!$D$15)/'TOX and EXPO INPUTS'!D29</f>
        <v>#DIV/0!</v>
      </c>
      <c r="I38" s="139" t="e">
        <f>'TOX and EXPO INPUTS'!$D$13/H38</f>
        <v>#DIV/0!</v>
      </c>
      <c r="J38" s="142" t="e">
        <f>VALUE(TEXT(I38,"0.0E+00"))</f>
        <v>#DIV/0!</v>
      </c>
      <c r="K38" s="171"/>
      <c r="L38" s="145"/>
      <c r="M38" s="145"/>
      <c r="N38" s="146"/>
      <c r="P38" s="145"/>
      <c r="S38" s="119"/>
      <c r="T38" s="119"/>
      <c r="U38" s="119"/>
      <c r="V38" s="120"/>
      <c r="W38" s="120"/>
      <c r="X38" s="120"/>
      <c r="Y38" s="120"/>
      <c r="Z38" s="120"/>
      <c r="AA38" s="120"/>
      <c r="AC38" s="119"/>
      <c r="AD38" s="119"/>
      <c r="AG38" s="120"/>
      <c r="AH38" s="120"/>
    </row>
    <row r="39" spans="1:41" s="38" customFormat="1" ht="15" x14ac:dyDescent="0.25"/>
    <row r="40" spans="1:41" s="38" customFormat="1" ht="15" x14ac:dyDescent="0.25"/>
    <row r="41" spans="1:41" s="38" customFormat="1" ht="20.25" x14ac:dyDescent="0.3">
      <c r="A41" s="128" t="s">
        <v>104</v>
      </c>
    </row>
    <row r="42" spans="1:41" s="38" customFormat="1" ht="16.5" x14ac:dyDescent="0.25">
      <c r="A42" s="270" t="s">
        <v>105</v>
      </c>
      <c r="B42" s="271" t="s">
        <v>25</v>
      </c>
      <c r="C42" s="103" t="s">
        <v>106</v>
      </c>
      <c r="D42" s="104" t="s">
        <v>107</v>
      </c>
      <c r="E42" s="104" t="s">
        <v>108</v>
      </c>
      <c r="F42" s="103" t="s">
        <v>109</v>
      </c>
      <c r="G42" s="104" t="s">
        <v>110</v>
      </c>
      <c r="H42" s="104" t="s">
        <v>111</v>
      </c>
      <c r="I42" s="265" t="s">
        <v>112</v>
      </c>
      <c r="J42" s="103" t="s">
        <v>113</v>
      </c>
      <c r="K42" s="103" t="s">
        <v>114</v>
      </c>
      <c r="L42" s="103" t="s">
        <v>115</v>
      </c>
      <c r="M42" s="265" t="s">
        <v>116</v>
      </c>
      <c r="N42" s="265" t="s">
        <v>117</v>
      </c>
      <c r="O42" s="267" t="s">
        <v>118</v>
      </c>
    </row>
    <row r="43" spans="1:41" s="38" customFormat="1" ht="105" x14ac:dyDescent="0.25">
      <c r="A43" s="270"/>
      <c r="B43" s="272"/>
      <c r="C43" s="105" t="s">
        <v>119</v>
      </c>
      <c r="D43" s="105" t="s">
        <v>120</v>
      </c>
      <c r="E43" s="105" t="s">
        <v>121</v>
      </c>
      <c r="F43" s="105" t="s">
        <v>122</v>
      </c>
      <c r="G43" s="106" t="s">
        <v>123</v>
      </c>
      <c r="H43" s="107" t="s">
        <v>124</v>
      </c>
      <c r="I43" s="266"/>
      <c r="J43" s="107" t="s">
        <v>125</v>
      </c>
      <c r="K43" s="105" t="s">
        <v>126</v>
      </c>
      <c r="L43" s="105" t="s">
        <v>127</v>
      </c>
      <c r="M43" s="266"/>
      <c r="N43" s="266"/>
      <c r="O43" s="268"/>
    </row>
    <row r="44" spans="1:41" s="38" customFormat="1" ht="15" x14ac:dyDescent="0.25">
      <c r="A44" s="270"/>
      <c r="B44" s="36" t="s">
        <v>74</v>
      </c>
      <c r="C44" s="21">
        <v>0.06</v>
      </c>
      <c r="D44" s="31" t="e">
        <f>G38</f>
        <v>#DIV/0!</v>
      </c>
      <c r="E44" s="22">
        <v>150</v>
      </c>
      <c r="F44" s="92" t="e">
        <f>(C44*D44)/(2*E44)</f>
        <v>#DIV/0!</v>
      </c>
      <c r="G44" s="21">
        <v>0.127</v>
      </c>
      <c r="H44" s="20">
        <v>1.5</v>
      </c>
      <c r="I44" s="20">
        <v>15</v>
      </c>
      <c r="J44" s="20">
        <f>60/I44</f>
        <v>4</v>
      </c>
      <c r="K44" s="21">
        <v>0.48</v>
      </c>
      <c r="L44" s="20">
        <v>13.9</v>
      </c>
      <c r="M44" s="20" t="e">
        <f>(((F44*(G44*E44))*(H44*J44)*(1-((1-K44)^(L44/J44))))/'TOX and EXPO INPUTS'!$D$29)</f>
        <v>#DIV/0!</v>
      </c>
      <c r="N44" s="22" t="e">
        <f>'TOX and EXPO INPUTS'!$D$10/M44</f>
        <v>#DIV/0!</v>
      </c>
      <c r="O44" s="150" t="e">
        <f>VALUE(TEXT(N44,"0.0E+00"))</f>
        <v>#DIV/0!</v>
      </c>
    </row>
    <row r="45" spans="1:41" s="10" customFormat="1" ht="15" x14ac:dyDescent="0.25"/>
    <row r="46" spans="1:41" x14ac:dyDescent="0.2">
      <c r="C46" s="40"/>
      <c r="D46" s="40"/>
      <c r="E46" s="40"/>
    </row>
    <row r="47" spans="1:41" x14ac:dyDescent="0.2">
      <c r="C47" s="41"/>
      <c r="D47" s="41"/>
      <c r="E47" s="40"/>
    </row>
  </sheetData>
  <mergeCells count="19">
    <mergeCell ref="A20:D20"/>
    <mergeCell ref="S1:T1"/>
    <mergeCell ref="D3:E3"/>
    <mergeCell ref="A12:A14"/>
    <mergeCell ref="A15:D15"/>
    <mergeCell ref="A18:A19"/>
    <mergeCell ref="A28:C28"/>
    <mergeCell ref="A30:I30"/>
    <mergeCell ref="K31:L31"/>
    <mergeCell ref="M31:N31"/>
    <mergeCell ref="A33:C33"/>
    <mergeCell ref="N42:N43"/>
    <mergeCell ref="O42:O43"/>
    <mergeCell ref="A35:J35"/>
    <mergeCell ref="A37:A38"/>
    <mergeCell ref="A42:A44"/>
    <mergeCell ref="B42:B43"/>
    <mergeCell ref="I42:I43"/>
    <mergeCell ref="M42:M43"/>
  </mergeCells>
  <conditionalFormatting sqref="I13:I14">
    <cfRule type="cellIs" dxfId="4" priority="5" operator="lessThan">
      <formula>$E$5</formula>
    </cfRule>
  </conditionalFormatting>
  <conditionalFormatting sqref="O44">
    <cfRule type="cellIs" dxfId="3" priority="4" operator="lessThan">
      <formula>$E$6</formula>
    </cfRule>
  </conditionalFormatting>
  <conditionalFormatting sqref="J37:J38">
    <cfRule type="cellIs" dxfId="2" priority="2" operator="lessThan">
      <formula>$E$4</formula>
    </cfRule>
    <cfRule type="cellIs" dxfId="1" priority="3" operator="lessThan">
      <formula>$B$4</formula>
    </cfRule>
  </conditionalFormatting>
  <conditionalFormatting sqref="D19">
    <cfRule type="cellIs" dxfId="0" priority="1" operator="lessThan">
      <formula>$E$5</formula>
    </cfRule>
  </conditionalFormatting>
  <dataValidations count="2">
    <dataValidation type="list" allowBlank="1" showInputMessage="1" showErrorMessage="1" sqref="B9:B10" xr:uid="{00000000-0002-0000-0300-000000000000}">
      <formula1>$S$2:$S$3</formula1>
    </dataValidation>
    <dataValidation type="list" allowBlank="1" showInputMessage="1" showErrorMessage="1" sqref="A25" xr:uid="{00000000-0002-0000-0300-000001000000}">
      <formula1>$T$2:$T$3</formula1>
    </dataValidation>
  </dataValidation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5"/>
  <sheetViews>
    <sheetView zoomScale="90" zoomScaleNormal="90" workbookViewId="0">
      <selection activeCell="E35" sqref="E35"/>
    </sheetView>
  </sheetViews>
  <sheetFormatPr defaultColWidth="9.140625" defaultRowHeight="15" x14ac:dyDescent="0.25"/>
  <cols>
    <col min="1" max="1" width="29.42578125" style="179" customWidth="1"/>
    <col min="2" max="2" width="12.85546875" style="179" customWidth="1"/>
    <col min="3" max="3" width="10.85546875" style="179" customWidth="1"/>
    <col min="4" max="5" width="11" style="179" bestFit="1" customWidth="1"/>
    <col min="6" max="6" width="12" style="179" bestFit="1" customWidth="1"/>
    <col min="7" max="7" width="9.140625" style="179"/>
    <col min="8" max="8" width="20.140625" style="179" customWidth="1"/>
    <col min="9" max="16384" width="9.140625" style="179"/>
  </cols>
  <sheetData>
    <row r="1" spans="1:10" ht="30" customHeight="1" thickBot="1" x14ac:dyDescent="0.3">
      <c r="A1" s="280" t="s">
        <v>128</v>
      </c>
      <c r="B1" s="281"/>
      <c r="C1" s="281"/>
      <c r="D1" s="281"/>
      <c r="E1" s="281"/>
      <c r="F1" s="282"/>
    </row>
    <row r="2" spans="1:10" ht="15.75" thickBot="1" x14ac:dyDescent="0.3"/>
    <row r="3" spans="1:10" ht="15.75" thickBot="1" x14ac:dyDescent="0.3">
      <c r="A3" s="283" t="s">
        <v>129</v>
      </c>
      <c r="B3" s="284"/>
      <c r="C3" s="284"/>
      <c r="D3" s="284"/>
      <c r="E3" s="284"/>
      <c r="F3" s="285"/>
      <c r="H3" s="289" t="s">
        <v>130</v>
      </c>
      <c r="I3" s="290"/>
      <c r="J3" s="291"/>
    </row>
    <row r="4" spans="1:10" x14ac:dyDescent="0.25">
      <c r="A4" s="184" t="s">
        <v>131</v>
      </c>
      <c r="B4" s="195" t="s">
        <v>132</v>
      </c>
      <c r="C4" s="195" t="s">
        <v>132</v>
      </c>
      <c r="D4" s="195" t="s">
        <v>132</v>
      </c>
      <c r="E4" s="195" t="s">
        <v>132</v>
      </c>
      <c r="F4" s="195" t="s">
        <v>132</v>
      </c>
      <c r="H4" s="188" t="s">
        <v>133</v>
      </c>
      <c r="I4" s="189">
        <v>8.34</v>
      </c>
      <c r="J4" s="190" t="s">
        <v>134</v>
      </c>
    </row>
    <row r="5" spans="1:10" ht="15.75" thickBot="1" x14ac:dyDescent="0.3">
      <c r="A5" s="185" t="s">
        <v>53</v>
      </c>
      <c r="B5" s="196"/>
      <c r="C5" s="214"/>
      <c r="D5" s="214"/>
      <c r="E5" s="196"/>
      <c r="F5" s="197"/>
      <c r="H5" s="191" t="s">
        <v>135</v>
      </c>
      <c r="I5" s="192">
        <v>6.67</v>
      </c>
      <c r="J5" s="193" t="s">
        <v>134</v>
      </c>
    </row>
    <row r="6" spans="1:10" x14ac:dyDescent="0.25">
      <c r="A6" s="185" t="s">
        <v>136</v>
      </c>
      <c r="B6" s="196"/>
      <c r="C6" s="214"/>
      <c r="D6" s="214"/>
      <c r="E6" s="196"/>
      <c r="F6" s="197"/>
    </row>
    <row r="7" spans="1:10" ht="15.75" x14ac:dyDescent="0.25">
      <c r="A7" s="185" t="s">
        <v>137</v>
      </c>
      <c r="B7" s="196"/>
      <c r="C7" s="214"/>
      <c r="D7" s="214"/>
      <c r="E7" s="196"/>
      <c r="F7" s="197"/>
      <c r="H7" s="95" t="s">
        <v>2</v>
      </c>
      <c r="I7" s="194"/>
      <c r="J7" s="194"/>
    </row>
    <row r="8" spans="1:10" x14ac:dyDescent="0.25">
      <c r="A8" s="185" t="s">
        <v>138</v>
      </c>
      <c r="B8" s="198" t="s">
        <v>139</v>
      </c>
      <c r="C8" s="198" t="s">
        <v>139</v>
      </c>
      <c r="D8" s="198" t="s">
        <v>139</v>
      </c>
      <c r="E8" s="198" t="s">
        <v>140</v>
      </c>
      <c r="F8" s="198" t="s">
        <v>141</v>
      </c>
    </row>
    <row r="9" spans="1:10" x14ac:dyDescent="0.25">
      <c r="A9" s="185" t="s">
        <v>142</v>
      </c>
      <c r="B9" s="198">
        <v>1</v>
      </c>
      <c r="C9" s="198">
        <v>1</v>
      </c>
      <c r="D9" s="198">
        <v>1</v>
      </c>
      <c r="E9" s="198">
        <v>2</v>
      </c>
      <c r="F9" s="198">
        <v>3</v>
      </c>
    </row>
    <row r="10" spans="1:10" x14ac:dyDescent="0.25">
      <c r="A10" s="286" t="s">
        <v>143</v>
      </c>
      <c r="B10" s="287"/>
      <c r="C10" s="287"/>
      <c r="D10" s="287"/>
      <c r="E10" s="287"/>
      <c r="F10" s="288"/>
    </row>
    <row r="11" spans="1:10" x14ac:dyDescent="0.25">
      <c r="A11" s="185" t="s">
        <v>144</v>
      </c>
      <c r="B11" s="180" t="e">
        <f>(B7/B6)*B9</f>
        <v>#DIV/0!</v>
      </c>
      <c r="C11" s="180" t="e">
        <f t="shared" ref="C11:F11" si="0">(C7/C6)*C9</f>
        <v>#DIV/0!</v>
      </c>
      <c r="D11" s="180" t="e">
        <f t="shared" si="0"/>
        <v>#DIV/0!</v>
      </c>
      <c r="E11" s="180" t="e">
        <f t="shared" si="0"/>
        <v>#DIV/0!</v>
      </c>
      <c r="F11" s="180" t="e">
        <f t="shared" si="0"/>
        <v>#DIV/0!</v>
      </c>
    </row>
    <row r="12" spans="1:10" x14ac:dyDescent="0.25">
      <c r="A12" s="185" t="s">
        <v>145</v>
      </c>
      <c r="B12" s="196">
        <f>1/1</f>
        <v>1</v>
      </c>
      <c r="C12" s="196">
        <f>1/1</f>
        <v>1</v>
      </c>
      <c r="D12" s="196">
        <f>1/1</f>
        <v>1</v>
      </c>
      <c r="E12" s="199">
        <f>1/(1+2)</f>
        <v>0.33333333333333331</v>
      </c>
      <c r="F12" s="200">
        <f>1/(1+4.5)</f>
        <v>0.18181818181818182</v>
      </c>
    </row>
    <row r="13" spans="1:10" x14ac:dyDescent="0.25">
      <c r="A13" s="185" t="s">
        <v>146</v>
      </c>
      <c r="B13" s="181">
        <f t="shared" ref="B13:C13" si="1">B5/100*B12</f>
        <v>0</v>
      </c>
      <c r="C13" s="181">
        <f t="shared" si="1"/>
        <v>0</v>
      </c>
      <c r="D13" s="181">
        <f>D5/100*D12</f>
        <v>0</v>
      </c>
      <c r="E13" s="181">
        <f t="shared" ref="E13:F13" si="2">E5/100*E12</f>
        <v>0</v>
      </c>
      <c r="F13" s="181">
        <f t="shared" si="2"/>
        <v>0</v>
      </c>
    </row>
    <row r="14" spans="1:10" x14ac:dyDescent="0.25">
      <c r="A14" s="185" t="s">
        <v>147</v>
      </c>
      <c r="B14" s="182" t="e">
        <f>B6/B13/$I$4</f>
        <v>#DIV/0!</v>
      </c>
      <c r="C14" s="213" t="e">
        <f>C6/C13/$I$4</f>
        <v>#DIV/0!</v>
      </c>
      <c r="D14" s="213" t="e">
        <f t="shared" ref="D14:F14" si="3">D6/D13/$I$4</f>
        <v>#DIV/0!</v>
      </c>
      <c r="E14" s="213" t="e">
        <f>E6/E13/$I$5</f>
        <v>#DIV/0!</v>
      </c>
      <c r="F14" s="213" t="e">
        <f t="shared" si="3"/>
        <v>#DIV/0!</v>
      </c>
    </row>
    <row r="15" spans="1:10" ht="15.75" thickBot="1" x14ac:dyDescent="0.3">
      <c r="A15" s="186" t="s">
        <v>148</v>
      </c>
      <c r="B15" s="187">
        <f>$I$5/$I$4</f>
        <v>0.79976019184652281</v>
      </c>
      <c r="C15" s="187">
        <f>$I$5/$I$4</f>
        <v>0.79976019184652281</v>
      </c>
      <c r="D15" s="183">
        <f>$I$5/$I$4</f>
        <v>0.79976019184652281</v>
      </c>
      <c r="E15" s="187">
        <f>$I$5/$I$4</f>
        <v>0.79976019184652281</v>
      </c>
      <c r="F15" s="187">
        <f>$I$5/$I$4</f>
        <v>0.79976019184652281</v>
      </c>
    </row>
  </sheetData>
  <mergeCells count="4">
    <mergeCell ref="A1:F1"/>
    <mergeCell ref="A3:F3"/>
    <mergeCell ref="A10:F10"/>
    <mergeCell ref="H3:J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F2BBCE7EF4AA4283832F7D2CF131DF" ma:contentTypeVersion="27" ma:contentTypeDescription="Create a new document." ma:contentTypeScope="" ma:versionID="95a6117c7a86f4fe6efc09138fcc102c">
  <xsd:schema xmlns:xsd="http://www.w3.org/2001/XMLSchema" xmlns:xs="http://www.w3.org/2001/XMLSchema" xmlns:p="http://schemas.microsoft.com/office/2006/metadata/properties" xmlns:ns1="http://schemas.microsoft.com/sharepoint/v3" xmlns:ns2="4ffa91fb-a0ff-4ac5-b2db-65c790d184a4" xmlns:ns3="http://schemas.microsoft.com/sharepoint.v3" xmlns:ns4="http://schemas.microsoft.com/sharepoint/v3/fields" xmlns:ns5="6ae1a0b1-0357-4b04-a96c-b97bba8da24d" xmlns:ns6="06ea9a19-e749-41e3-8e31-31a882691bf6" targetNamespace="http://schemas.microsoft.com/office/2006/metadata/properties" ma:root="true" ma:fieldsID="97d87d5d92131bf39a57e4e6709b528e" ns1:_="" ns2:_="" ns3:_="" ns4:_="" ns5:_="" ns6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6ae1a0b1-0357-4b04-a96c-b97bba8da24d"/>
    <xsd:import namespace="06ea9a19-e749-41e3-8e31-31a882691bf6"/>
    <xsd:element name="properties">
      <xsd:complexType>
        <xsd:sequence>
          <xsd:element name="documentManagement">
            <xsd:complexType>
              <xsd:all>
                <xsd:element ref="ns2:Document_x0020_Creation_x0020_Date" minOccurs="0"/>
                <xsd:element ref="ns2:Creator" minOccurs="0"/>
                <xsd:element ref="ns2:EPA_x0020_Office" minOccurs="0"/>
                <xsd:element ref="ns2:Record" minOccurs="0"/>
                <xsd:element ref="ns3:CategoryDescription" minOccurs="0"/>
                <xsd:element ref="ns2:Identifier" minOccurs="0"/>
                <xsd:element ref="ns2:EPA_x0020_Contributor" minOccurs="0"/>
                <xsd:element ref="ns2:External_x0020_Contributor" minOccurs="0"/>
                <xsd:element ref="ns4:_Coverage" minOccurs="0"/>
                <xsd:element ref="ns2:EPA_x0020_Related_x0020_Documents" minOccurs="0"/>
                <xsd:element ref="ns4:_Source" minOccurs="0"/>
                <xsd:element ref="ns2:Rights" minOccurs="0"/>
                <xsd:element ref="ns1:Language" minOccurs="0"/>
                <xsd:element ref="ns2:j747ac98061d40f0aa7bd47e1db5675d" minOccurs="0"/>
                <xsd:element ref="ns2:TaxKeywordTaxHTField" minOccurs="0"/>
                <xsd:element ref="ns2:TaxCatchAllLabel" minOccurs="0"/>
                <xsd:element ref="ns2:TaxCatchAll" minOccurs="0"/>
                <xsd:element ref="ns2:e3f09c3df709400db2417a7161762d62" minOccurs="0"/>
                <xsd:element ref="ns5:SharedWithUsers" minOccurs="0"/>
                <xsd:element ref="ns5:SharingHintHash" minOccurs="0"/>
                <xsd:element ref="ns5:SharedWithDetails" minOccurs="0"/>
                <xsd:element ref="ns5:LastSharedByUser" minOccurs="0"/>
                <xsd:element ref="ns5:LastSharedByTime" minOccurs="0"/>
                <xsd:element ref="ns6:MediaServiceMetadata" minOccurs="0"/>
                <xsd:element ref="ns6:MediaServiceFastMetadata" minOccurs="0"/>
                <xsd:element ref="ns6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hidden="true" ma:list="{12331871-f22f-4f1e-b241-7c04b4cb386a}" ma:internalName="TaxCatchAllLabel" ma:readOnly="true" ma:showField="CatchAllDataLabel" ma:web="a5d1ca4e-0a3f-4119-b619-e20b93ebd1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hidden="true" ma:list="{12331871-f22f-4f1e-b241-7c04b4cb386a}" ma:internalName="TaxCatchAll" ma:showField="CatchAllData" ma:web="a5d1ca4e-0a3f-4119-b619-e20b93ebd1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3f09c3df709400db2417a7161762d62" ma:index="28" nillable="true" ma:taxonomy="true" ma:internalName="e3f09c3df709400db2417a7161762d62" ma:taxonomyFieldName="EPA_x0020_Subject" ma:displayName="EPA Subject" ma:readOnly="false" ma:default="" ma:fieldId="{e3f09c3d-f709-400d-b241-7a7161762d62}" ma:taxonomyMulti="true" ma:sspId="29f62856-1543-49d4-a736-4569d363f533" ma:termSetId="7a3d4ae0-7e62-45a2-a406-c6a8a6a8eee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e1a0b1-0357-4b04-a96c-b97bba8da24d" elementFormDefault="qualified">
    <xsd:import namespace="http://schemas.microsoft.com/office/2006/documentManagement/types"/>
    <xsd:import namespace="http://schemas.microsoft.com/office/infopath/2007/PartnerControls"/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30" nillable="true" ma:displayName="Sharing Hint Hash" ma:internalName="SharingHintHash" ma:readOnly="true">
      <xsd:simpleType>
        <xsd:restriction base="dms:Text"/>
      </xsd:simple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32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33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ea9a19-e749-41e3-8e31-31a882691b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ObjectDetectorVersions" ma:index="3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29f62856-1543-49d4-a736-4569d363f533" ContentTypeId="0x0101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ource xmlns="http://schemas.microsoft.com/sharepoint/v3/fields" xsi:nil="true"/>
    <Language xmlns="http://schemas.microsoft.com/sharepoint/v3">English</Language>
    <j747ac98061d40f0aa7bd47e1db5675d xmlns="4ffa91fb-a0ff-4ac5-b2db-65c790d184a4">
      <Terms xmlns="http://schemas.microsoft.com/office/infopath/2007/PartnerControls"/>
    </j747ac98061d40f0aa7bd47e1db5675d>
    <External_x0020_Contributor xmlns="4ffa91fb-a0ff-4ac5-b2db-65c790d184a4" xsi:nil="true"/>
    <TaxKeywordTaxHTField xmlns="4ffa91fb-a0ff-4ac5-b2db-65c790d184a4">
      <Terms xmlns="http://schemas.microsoft.com/office/infopath/2007/PartnerControls"/>
    </TaxKeywordTaxHTField>
    <Record xmlns="4ffa91fb-a0ff-4ac5-b2db-65c790d184a4">Shared</Record>
    <Rights xmlns="4ffa91fb-a0ff-4ac5-b2db-65c790d184a4" xsi:nil="true"/>
    <Document_x0020_Creation_x0020_Date xmlns="4ffa91fb-a0ff-4ac5-b2db-65c790d184a4">2012-04-01T04:00:00+00:00</Document_x0020_Creation_x0020_Date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>Crowley, Matthew</DisplayName>
        <AccountId>162</AccountId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  <TaxCatchAll xmlns="4ffa91fb-a0ff-4ac5-b2db-65c790d184a4" xsi:nil="true"/>
    <SharedWithUsers xmlns="6ae1a0b1-0357-4b04-a96c-b97bba8da24d">
      <UserInfo>
        <DisplayName>Office of Chemical Safety and Pollution Prevention Community Moderators</DisplayName>
        <AccountId>9</AccountId>
        <AccountType/>
      </UserInfo>
      <UserInfo>
        <DisplayName>EPA Nano Community Owners</DisplayName>
        <AccountId>21</AccountId>
        <AccountType/>
      </UserInfo>
      <UserInfo>
        <DisplayName>Kovack, David</DisplayName>
        <AccountId>16</AccountId>
        <AccountType/>
      </UserInfo>
      <UserInfo>
        <DisplayName>Stewart, Troy</DisplayName>
        <AccountId>15</AccountId>
        <AccountType/>
      </UserInfo>
      <UserInfo>
        <DisplayName>Crowley, Matthew</DisplayName>
        <AccountId>162</AccountId>
        <AccountType/>
      </UserInfo>
      <UserInfo>
        <DisplayName>Moriarty, Thomas (he/him/his)</DisplayName>
        <AccountId>1012</AccountId>
        <AccountType/>
      </UserInfo>
      <UserInfo>
        <DisplayName>Hardie, Alexis (she/her/hers)</DisplayName>
        <AccountId>10462</AccountId>
        <AccountType/>
      </UserInfo>
      <UserInfo>
        <DisplayName>Shelat, Shalu (she/her/hers)</DisplayName>
        <AccountId>264</AccountId>
        <AccountType/>
      </UserInfo>
      <UserInfo>
        <DisplayName>Davis, Brent</DisplayName>
        <AccountId>10063</AccountId>
        <AccountType/>
      </UserInfo>
      <UserInfo>
        <DisplayName>Tyler, Jennifer-R (she/her/hers)</DisplayName>
        <AccountId>386</AccountId>
        <AccountType/>
      </UserInfo>
      <UserInfo>
        <DisplayName>Evans, Elizabeth</DisplayName>
        <AccountId>375</AccountId>
        <AccountType/>
      </UserInfo>
      <UserInfo>
        <DisplayName>Thornton, Gerad</DisplayName>
        <AccountId>1738</AccountId>
        <AccountType/>
      </UserInfo>
      <UserInfo>
        <DisplayName>Nadrchal, David</DisplayName>
        <AccountId>3745</AccountId>
        <AccountType/>
      </UserInfo>
      <UserInfo>
        <DisplayName>Dawson, Jeffrey</DisplayName>
        <AccountId>271</AccountId>
        <AccountType/>
      </UserInfo>
      <UserInfo>
        <DisplayName>Lowe, Kelly (she/her/hers)</DisplayName>
        <AccountId>158</AccountId>
        <AccountType/>
      </UserInfo>
      <UserInfo>
        <DisplayName>Venkateshwara, Lata (she/her/hers)</DisplayName>
        <AccountId>387</AccountId>
        <AccountType/>
      </UserInfo>
      <UserInfo>
        <DisplayName>Bacon, Laura (she/her/hers)</DisplayName>
        <AccountId>1611</AccountId>
        <AccountType/>
      </UserInfo>
      <UserInfo>
        <DisplayName>Britton, Wade</DisplayName>
        <AccountId>267</AccountId>
        <AccountType/>
      </UserInfo>
      <UserInfo>
        <DisplayName>Walls, Cassi</DisplayName>
        <AccountId>388</AccountId>
        <AccountType/>
      </UserInfo>
      <UserInfo>
        <DisplayName>Hawkins, Monica</DisplayName>
        <AccountId>377</AccountId>
        <AccountType/>
      </UserInfo>
      <UserInfo>
        <DisplayName>Godshall, Joshua</DisplayName>
        <AccountId>1377</AccountId>
        <AccountType/>
      </UserInfo>
      <UserInfo>
        <DisplayName>Van Deusen, Brian</DisplayName>
        <AccountId>3501</AccountId>
        <AccountType/>
      </UserInfo>
      <UserInfo>
        <DisplayName>Deleon, Heriberto</DisplayName>
        <AccountId>8310</AccountId>
        <AccountType/>
      </UserInfo>
      <UserInfo>
        <DisplayName>Giordano, Jonathon</DisplayName>
        <AccountId>7606</AccountId>
        <AccountType/>
      </UserInfo>
      <UserInfo>
        <DisplayName>Hale, Jesse</DisplayName>
        <AccountId>10102</AccountId>
        <AccountType/>
      </UserInfo>
      <UserInfo>
        <DisplayName>Severini, Christopher</DisplayName>
        <AccountId>8962</AccountId>
        <AccountType/>
      </UserInfo>
      <UserInfo>
        <DisplayName>Leahigh, Arion</DisplayName>
        <AccountId>10065</AccountId>
        <AccountType/>
      </UserInfo>
      <UserInfo>
        <DisplayName>Zampariello, Matthew</DisplayName>
        <AccountId>8784</AccountId>
        <AccountType/>
      </UserInfo>
      <UserInfo>
        <DisplayName>Britt, Adrian</DisplayName>
        <AccountId>10216</AccountId>
        <AccountType/>
      </UserInfo>
      <UserInfo>
        <DisplayName>Staley, Zachery</DisplayName>
        <AccountId>10142</AccountId>
        <AccountType/>
      </UserInfo>
      <UserInfo>
        <DisplayName>Jackson, Melantha</DisplayName>
        <AccountId>10152</AccountId>
        <AccountType/>
      </UserInfo>
      <UserInfo>
        <DisplayName>Carter, Destiny</DisplayName>
        <AccountId>9574</AccountId>
        <AccountType/>
      </UserInfo>
      <UserInfo>
        <DisplayName>Lee, Briana (she/her/hers)</DisplayName>
        <AccountId>10105</AccountId>
        <AccountType/>
      </UserInfo>
      <UserInfo>
        <DisplayName>Lang, Elizabeth (she/her/hers)</DisplayName>
        <AccountId>10137</AccountId>
        <AccountType/>
      </UserInfo>
      <UserInfo>
        <DisplayName>Chan, Kevin</DisplayName>
        <AccountId>10561</AccountId>
        <AccountType/>
      </UserInfo>
      <UserInfo>
        <DisplayName>Ford, Emma</DisplayName>
        <AccountId>10306</AccountId>
        <AccountType/>
      </UserInfo>
      <UserInfo>
        <DisplayName>ExpoSAC Admin Members</DisplayName>
        <AccountId>13716</AccountId>
        <AccountType/>
      </UserInfo>
    </SharedWithUsers>
    <e3f09c3df709400db2417a7161762d62 xmlns="4ffa91fb-a0ff-4ac5-b2db-65c790d184a4">
      <Terms xmlns="http://schemas.microsoft.com/office/infopath/2007/PartnerControls"/>
    </e3f09c3df709400db2417a7161762d62>
  </documentManagement>
</p:properties>
</file>

<file path=customXml/itemProps1.xml><?xml version="1.0" encoding="utf-8"?>
<ds:datastoreItem xmlns:ds="http://schemas.openxmlformats.org/officeDocument/2006/customXml" ds:itemID="{F59C48C8-1925-4340-906A-54FC518942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ffa91fb-a0ff-4ac5-b2db-65c790d184a4"/>
    <ds:schemaRef ds:uri="http://schemas.microsoft.com/sharepoint.v3"/>
    <ds:schemaRef ds:uri="http://schemas.microsoft.com/sharepoint/v3/fields"/>
    <ds:schemaRef ds:uri="6ae1a0b1-0357-4b04-a96c-b97bba8da24d"/>
    <ds:schemaRef ds:uri="06ea9a19-e749-41e3-8e31-31a882691b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31026A-1A06-4C15-B3AE-77DD205EAC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5A0F67-A911-4D0E-ACFF-F1DCB80A2652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DAA8DC1B-06B2-4E8F-A8AB-C3CA5311DC36}">
  <ds:schemaRefs>
    <ds:schemaRef ds:uri="c8b13fb6-76df-4471-bc22-b4ca10cc8f1f"/>
    <ds:schemaRef ds:uri="http://schemas.microsoft.com/sharepoint/v3"/>
    <ds:schemaRef ds:uri="http://www.w3.org/XML/1998/namespace"/>
    <ds:schemaRef ds:uri="http://schemas.microsoft.com/sharepoint/v3/fields"/>
    <ds:schemaRef ds:uri="http://schemas.openxmlformats.org/package/2006/metadata/core-properties"/>
    <ds:schemaRef ds:uri="http://purl.org/dc/elements/1.1/"/>
    <ds:schemaRef ds:uri="http://schemas.microsoft.com/sharepoint.v3"/>
    <ds:schemaRef ds:uri="http://schemas.microsoft.com/office/2006/metadata/properties"/>
    <ds:schemaRef ds:uri="http://purl.org/dc/terms/"/>
    <ds:schemaRef ds:uri="4ffa91fb-a0ff-4ac5-b2db-65c790d184a4"/>
    <ds:schemaRef ds:uri="http://schemas.microsoft.com/office/2006/documentManagement/types"/>
    <ds:schemaRef ds:uri="175c9727-2ee8-439c-be84-ca7b9f5fd023"/>
    <ds:schemaRef ds:uri="http://schemas.microsoft.com/office/infopath/2007/PartnerControls"/>
    <ds:schemaRef ds:uri="http://purl.org/dc/dcmitype/"/>
    <ds:schemaRef ds:uri="6ae1a0b1-0357-4b04-a96c-b97bba8da24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TOX and EXPO INPUTS</vt:lpstr>
      <vt:lpstr>Ground-Based ULV </vt:lpstr>
      <vt:lpstr>Aerial ULV</vt:lpstr>
      <vt:lpstr>AGDISP Spray Material Inputs</vt:lpstr>
    </vt:vector>
  </TitlesOfParts>
  <Manager/>
  <Company>EPA OPP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Kelly Lowe</dc:creator>
  <cp:keywords/>
  <dc:description/>
  <cp:lastModifiedBy>Hardie, Alexis (she/her/hers)</cp:lastModifiedBy>
  <cp:revision/>
  <dcterms:created xsi:type="dcterms:W3CDTF">2009-03-03T19:45:35Z</dcterms:created>
  <dcterms:modified xsi:type="dcterms:W3CDTF">2024-09-03T15:18:51Z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0x01010009F2BBCE7EF4AA4283832F7D2CF131DF</vt:lpwstr>
  </property>
  <property fmtid="{D5CDD505-2E9C-101B-9397-08002B2CF9AE}" pid="3" name="TaxKeyword">
    <vt:lpwstr/>
  </property>
  <property fmtid="{D5CDD505-2E9C-101B-9397-08002B2CF9AE}" pid="4" name="Document Type">
    <vt:lpwstr/>
  </property>
  <property fmtid="{D5CDD505-2E9C-101B-9397-08002B2CF9AE}" pid="5" name="EPA Subject">
    <vt:lpwstr/>
  </property>
  <property fmtid="{D5CDD505-2E9C-101B-9397-08002B2CF9AE}" pid="6" name="e3f09c3df709400db2417a7161762d62">
    <vt:lpwstr/>
  </property>
</Properties>
</file>