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6.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7.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sepa-my.sharepoint.com/personal/ruzicka_william_epa_gov/Documents/Desktop/"/>
    </mc:Choice>
  </mc:AlternateContent>
  <xr:revisionPtr revIDLastSave="0" documentId="8_{6DF4A01C-EF4A-419A-B859-0772926FD7D9}" xr6:coauthVersionLast="47" xr6:coauthVersionMax="47" xr10:uidLastSave="{00000000-0000-0000-0000-000000000000}"/>
  <bookViews>
    <workbookView xWindow="17430" yWindow="-16380" windowWidth="29040" windowHeight="15720" tabRatio="741" activeTab="6" xr2:uid="{1F61FBBF-28CD-4DB2-8F40-AE13B87493E8}"/>
  </bookViews>
  <sheets>
    <sheet name="Notes" sheetId="14" r:id="rId1"/>
    <sheet name="SNCR_gas" sheetId="17" r:id="rId2"/>
    <sheet name="SNCR_coal" sheetId="18" r:id="rId3"/>
    <sheet name="SCR_gas" sheetId="15" r:id="rId4"/>
    <sheet name="SCR_coal" sheetId="16" r:id="rId5"/>
    <sheet name="SDA FGD" sheetId="12" r:id="rId6"/>
    <sheet name="Wet FGD" sheetId="13" r:id="rId7"/>
    <sheet name="DSI" sheetId="10" r:id="rId8"/>
  </sheets>
  <definedNames>
    <definedName name="auxpower">#REF!</definedName>
    <definedName name="Capco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3" i="10" l="1"/>
  <c r="C97" i="10"/>
  <c r="D101" i="16" l="1"/>
  <c r="H84" i="16"/>
  <c r="I80" i="16"/>
  <c r="H76" i="16"/>
  <c r="H77" i="16" s="1"/>
  <c r="H78" i="16" s="1"/>
  <c r="H79" i="16" s="1"/>
  <c r="J60" i="16"/>
  <c r="J36" i="16"/>
  <c r="J35" i="16"/>
  <c r="I20" i="16"/>
  <c r="J70" i="16" s="1"/>
  <c r="I16" i="16"/>
  <c r="J33" i="16" s="1"/>
  <c r="I13" i="16"/>
  <c r="I17" i="16" s="1"/>
  <c r="I12" i="16"/>
  <c r="I11" i="16"/>
  <c r="D100" i="15"/>
  <c r="H83" i="15"/>
  <c r="I79" i="15"/>
  <c r="H76" i="15"/>
  <c r="H77" i="15" s="1"/>
  <c r="H78" i="15" s="1"/>
  <c r="H75" i="15"/>
  <c r="J59" i="15"/>
  <c r="I20" i="15"/>
  <c r="J69" i="15" s="1"/>
  <c r="I17" i="15"/>
  <c r="I18" i="15" s="1"/>
  <c r="I16" i="15"/>
  <c r="J33" i="15" s="1"/>
  <c r="I13" i="15"/>
  <c r="I12" i="15"/>
  <c r="I11" i="15"/>
  <c r="J68" i="15" s="1"/>
  <c r="H83" i="18"/>
  <c r="I79" i="18"/>
  <c r="H75" i="18"/>
  <c r="H76" i="18" s="1"/>
  <c r="H77" i="18" s="1"/>
  <c r="H78" i="18" s="1"/>
  <c r="J69" i="18"/>
  <c r="J59" i="18"/>
  <c r="I13" i="18"/>
  <c r="I16" i="18" s="1"/>
  <c r="I12" i="18"/>
  <c r="I11" i="18"/>
  <c r="J34" i="18" s="1"/>
  <c r="H82" i="17"/>
  <c r="I78" i="17"/>
  <c r="H74" i="17"/>
  <c r="H75" i="17" s="1"/>
  <c r="H76" i="17" s="1"/>
  <c r="H77" i="17" s="1"/>
  <c r="J68" i="17"/>
  <c r="J58" i="17"/>
  <c r="I16" i="17"/>
  <c r="I17" i="17" s="1"/>
  <c r="I13" i="17"/>
  <c r="I12" i="17"/>
  <c r="I11" i="17"/>
  <c r="J33" i="17" s="1"/>
  <c r="H81" i="13"/>
  <c r="I77" i="13"/>
  <c r="H73" i="13"/>
  <c r="H74" i="13" s="1"/>
  <c r="H75" i="13" s="1"/>
  <c r="H76" i="13" s="1"/>
  <c r="J69" i="13"/>
  <c r="J57" i="13"/>
  <c r="I15" i="13"/>
  <c r="J65" i="13" s="1"/>
  <c r="I12" i="13"/>
  <c r="I11" i="13"/>
  <c r="I10" i="13"/>
  <c r="I18" i="13" s="1"/>
  <c r="J68" i="13" s="1"/>
  <c r="J32" i="13"/>
  <c r="H79" i="12"/>
  <c r="I75" i="12"/>
  <c r="H71" i="12"/>
  <c r="H72" i="12" s="1"/>
  <c r="H73" i="12" s="1"/>
  <c r="H74" i="12" s="1"/>
  <c r="J55" i="12"/>
  <c r="J31" i="12"/>
  <c r="I12" i="12"/>
  <c r="I11" i="12"/>
  <c r="I16" i="12" s="1"/>
  <c r="J64" i="12" s="1"/>
  <c r="I10" i="12"/>
  <c r="I18" i="12" s="1"/>
  <c r="J66" i="12" s="1"/>
  <c r="F125" i="10"/>
  <c r="E125" i="10"/>
  <c r="D125" i="10"/>
  <c r="C125" i="10"/>
  <c r="F124" i="10"/>
  <c r="E124" i="10"/>
  <c r="D124" i="10"/>
  <c r="C124" i="10"/>
  <c r="F123" i="10"/>
  <c r="E123" i="10"/>
  <c r="D123" i="10"/>
  <c r="C123" i="10"/>
  <c r="F112" i="10"/>
  <c r="E112" i="10"/>
  <c r="D112" i="10"/>
  <c r="C112" i="10"/>
  <c r="F111" i="10"/>
  <c r="E111" i="10"/>
  <c r="D111" i="10"/>
  <c r="C111" i="10"/>
  <c r="E103" i="10"/>
  <c r="D103" i="10"/>
  <c r="C103" i="10"/>
  <c r="F102" i="10"/>
  <c r="E102" i="10"/>
  <c r="D102" i="10"/>
  <c r="C102" i="10"/>
  <c r="F98" i="10"/>
  <c r="E98" i="10"/>
  <c r="D98" i="10"/>
  <c r="C98" i="10"/>
  <c r="F97" i="10"/>
  <c r="E97" i="10"/>
  <c r="D97" i="10"/>
  <c r="I21" i="10"/>
  <c r="J34" i="16" l="1"/>
  <c r="J37" i="16" s="1"/>
  <c r="I18" i="16"/>
  <c r="H80" i="16"/>
  <c r="H81" i="16" s="1"/>
  <c r="H82" i="16" s="1"/>
  <c r="I82" i="16" s="1"/>
  <c r="J69" i="16"/>
  <c r="I19" i="15"/>
  <c r="J70" i="15" s="1"/>
  <c r="J67" i="15"/>
  <c r="J73" i="15" s="1"/>
  <c r="I86" i="15" s="1"/>
  <c r="H79" i="15"/>
  <c r="H80" i="15" s="1"/>
  <c r="H81" i="15" s="1"/>
  <c r="I81" i="15" s="1"/>
  <c r="J34" i="15"/>
  <c r="J36" i="15" s="1"/>
  <c r="J35" i="15"/>
  <c r="I17" i="18"/>
  <c r="J35" i="18"/>
  <c r="H79" i="18"/>
  <c r="H80" i="18" s="1"/>
  <c r="H81" i="18" s="1"/>
  <c r="J33" i="18"/>
  <c r="J36" i="18" s="1"/>
  <c r="J66" i="17"/>
  <c r="I18" i="17"/>
  <c r="H78" i="17"/>
  <c r="H79" i="17" s="1"/>
  <c r="H80" i="17" s="1"/>
  <c r="J34" i="17"/>
  <c r="J35" i="17" s="1"/>
  <c r="G95" i="10"/>
  <c r="H77" i="13"/>
  <c r="H78" i="13"/>
  <c r="H79" i="13" s="1"/>
  <c r="I79" i="13" s="1"/>
  <c r="J34" i="13"/>
  <c r="I16" i="13"/>
  <c r="J66" i="13" s="1"/>
  <c r="I17" i="13"/>
  <c r="J67" i="13" s="1"/>
  <c r="J33" i="13"/>
  <c r="J30" i="13"/>
  <c r="J31" i="13"/>
  <c r="H75" i="12"/>
  <c r="H76" i="12" s="1"/>
  <c r="H77" i="12" s="1"/>
  <c r="I77" i="12" s="1"/>
  <c r="J30" i="12"/>
  <c r="I15" i="12"/>
  <c r="J63" i="12" s="1"/>
  <c r="J69" i="12" s="1"/>
  <c r="I82" i="12" s="1"/>
  <c r="J32" i="12"/>
  <c r="I17" i="12"/>
  <c r="J65" i="12" s="1"/>
  <c r="C126" i="10"/>
  <c r="E126" i="10"/>
  <c r="D126" i="10"/>
  <c r="F126" i="10"/>
  <c r="G111" i="10" s="1"/>
  <c r="J43" i="16" l="1"/>
  <c r="J41" i="16"/>
  <c r="J45" i="16" s="1"/>
  <c r="J42" i="16"/>
  <c r="J61" i="16"/>
  <c r="J38" i="16"/>
  <c r="J68" i="16"/>
  <c r="I19" i="16"/>
  <c r="J71" i="16" s="1"/>
  <c r="J41" i="15"/>
  <c r="J37" i="15"/>
  <c r="J40" i="15"/>
  <c r="J44" i="15" s="1"/>
  <c r="J60" i="15"/>
  <c r="J42" i="15"/>
  <c r="I96" i="15"/>
  <c r="I91" i="15"/>
  <c r="J42" i="18"/>
  <c r="J41" i="18"/>
  <c r="J40" i="18"/>
  <c r="J37" i="18"/>
  <c r="J60" i="18"/>
  <c r="J44" i="18"/>
  <c r="I18" i="18"/>
  <c r="J67" i="18"/>
  <c r="J39" i="17"/>
  <c r="J36" i="17"/>
  <c r="J59" i="17"/>
  <c r="J41" i="17"/>
  <c r="J40" i="17"/>
  <c r="J43" i="17"/>
  <c r="I21" i="17"/>
  <c r="J67" i="17" s="1"/>
  <c r="J72" i="17" s="1"/>
  <c r="I85" i="17" s="1"/>
  <c r="J69" i="17"/>
  <c r="I19" i="17"/>
  <c r="J71" i="13"/>
  <c r="I84" i="13" s="1"/>
  <c r="J35" i="13"/>
  <c r="J33" i="12"/>
  <c r="I92" i="12"/>
  <c r="I87" i="12"/>
  <c r="I18" i="10"/>
  <c r="M12" i="10"/>
  <c r="H77" i="10"/>
  <c r="I73" i="10"/>
  <c r="H69" i="10"/>
  <c r="H70" i="10" s="1"/>
  <c r="H71" i="10" s="1"/>
  <c r="H72" i="10" s="1"/>
  <c r="J53" i="10"/>
  <c r="I13" i="10"/>
  <c r="J48" i="16" l="1"/>
  <c r="J49" i="16" s="1"/>
  <c r="J46" i="16"/>
  <c r="J74" i="16"/>
  <c r="I87" i="16" s="1"/>
  <c r="J62" i="16"/>
  <c r="J65" i="16" s="1"/>
  <c r="I86" i="16" s="1"/>
  <c r="J47" i="15"/>
  <c r="J48" i="15" s="1"/>
  <c r="J45" i="15"/>
  <c r="J61" i="15"/>
  <c r="J64" i="15" s="1"/>
  <c r="I85" i="15" s="1"/>
  <c r="J61" i="18"/>
  <c r="J64" i="18" s="1"/>
  <c r="I85" i="18" s="1"/>
  <c r="J47" i="18"/>
  <c r="J48" i="18" s="1"/>
  <c r="J49" i="18" s="1"/>
  <c r="J45" i="18"/>
  <c r="J53" i="18" s="1"/>
  <c r="J70" i="18"/>
  <c r="I21" i="18"/>
  <c r="J68" i="18" s="1"/>
  <c r="J73" i="18" s="1"/>
  <c r="I86" i="18" s="1"/>
  <c r="I19" i="18"/>
  <c r="I95" i="17"/>
  <c r="I90" i="17"/>
  <c r="J60" i="17"/>
  <c r="J63" i="17" s="1"/>
  <c r="I84" i="17" s="1"/>
  <c r="J44" i="17"/>
  <c r="J46" i="17"/>
  <c r="J47" i="17" s="1"/>
  <c r="J48" i="17" s="1"/>
  <c r="I94" i="13"/>
  <c r="I89" i="13"/>
  <c r="J41" i="13"/>
  <c r="J40" i="13"/>
  <c r="J39" i="13"/>
  <c r="J36" i="13"/>
  <c r="J58" i="13"/>
  <c r="J39" i="12"/>
  <c r="J38" i="12"/>
  <c r="J56" i="12"/>
  <c r="J37" i="12"/>
  <c r="J34" i="12"/>
  <c r="J41" i="12"/>
  <c r="I14" i="10"/>
  <c r="I16" i="10"/>
  <c r="H73" i="10"/>
  <c r="H74" i="10" s="1"/>
  <c r="H75" i="10" s="1"/>
  <c r="I75" i="10" s="1"/>
  <c r="I96" i="16" l="1"/>
  <c r="I91" i="16"/>
  <c r="J52" i="16"/>
  <c r="J56" i="16" s="1"/>
  <c r="J50" i="16"/>
  <c r="J53" i="16"/>
  <c r="I97" i="16"/>
  <c r="I92" i="16"/>
  <c r="I95" i="15"/>
  <c r="I90" i="15"/>
  <c r="J49" i="15"/>
  <c r="J51" i="15"/>
  <c r="J52" i="15"/>
  <c r="I96" i="18"/>
  <c r="I91" i="18"/>
  <c r="I90" i="18"/>
  <c r="I95" i="18"/>
  <c r="J55" i="18"/>
  <c r="I94" i="17"/>
  <c r="I89" i="17"/>
  <c r="J52" i="17"/>
  <c r="J54" i="17" s="1"/>
  <c r="E107" i="10"/>
  <c r="D107" i="10"/>
  <c r="J43" i="13"/>
  <c r="J44" i="13" s="1"/>
  <c r="J59" i="13"/>
  <c r="J62" i="13" s="1"/>
  <c r="J57" i="12"/>
  <c r="J60" i="12" s="1"/>
  <c r="I81" i="12" s="1"/>
  <c r="J42" i="12"/>
  <c r="J44" i="12"/>
  <c r="J45" i="12" s="1"/>
  <c r="F107" i="10"/>
  <c r="C107" i="10"/>
  <c r="J57" i="16" l="1"/>
  <c r="I85" i="16"/>
  <c r="J55" i="15"/>
  <c r="J56" i="18"/>
  <c r="I84" i="18"/>
  <c r="J55" i="17"/>
  <c r="I83" i="17"/>
  <c r="I15" i="10"/>
  <c r="C116" i="10" s="1"/>
  <c r="J46" i="13"/>
  <c r="J47" i="13" s="1"/>
  <c r="J50" i="13" s="1"/>
  <c r="J51" i="13" s="1"/>
  <c r="J53" i="13" s="1"/>
  <c r="I83" i="13"/>
  <c r="I91" i="12"/>
  <c r="I86" i="12"/>
  <c r="J48" i="12"/>
  <c r="J51" i="12" s="1"/>
  <c r="J46" i="12"/>
  <c r="J49" i="12"/>
  <c r="I90" i="16" l="1"/>
  <c r="I93" i="16" s="1"/>
  <c r="I88" i="16"/>
  <c r="I95" i="16"/>
  <c r="I98" i="16" s="1"/>
  <c r="J56" i="15"/>
  <c r="I84" i="15"/>
  <c r="I87" i="18"/>
  <c r="I94" i="18"/>
  <c r="I97" i="18" s="1"/>
  <c r="I89" i="18"/>
  <c r="I92" i="18" s="1"/>
  <c r="I86" i="17"/>
  <c r="I88" i="17"/>
  <c r="I91" i="17" s="1"/>
  <c r="I93" i="17"/>
  <c r="I96" i="17" s="1"/>
  <c r="C120" i="10"/>
  <c r="D116" i="10"/>
  <c r="E120" i="10"/>
  <c r="E116" i="10"/>
  <c r="F116" i="10"/>
  <c r="I17" i="10" s="1"/>
  <c r="J62" i="10" s="1"/>
  <c r="F120" i="10"/>
  <c r="I19" i="10"/>
  <c r="J63" i="10" s="1"/>
  <c r="J61" i="10"/>
  <c r="D120" i="10"/>
  <c r="H76" i="10"/>
  <c r="J48" i="13"/>
  <c r="J54" i="13"/>
  <c r="I82" i="13"/>
  <c r="I93" i="13"/>
  <c r="I88" i="13"/>
  <c r="I80" i="12"/>
  <c r="J52" i="12"/>
  <c r="I89" i="15" l="1"/>
  <c r="I92" i="15" s="1"/>
  <c r="I87" i="15"/>
  <c r="I94" i="15"/>
  <c r="I97" i="15" s="1"/>
  <c r="J31" i="10"/>
  <c r="J32" i="10" s="1"/>
  <c r="J67" i="10"/>
  <c r="I80" i="10" s="1"/>
  <c r="I90" i="10" s="1"/>
  <c r="I85" i="13"/>
  <c r="I92" i="13"/>
  <c r="I95" i="13" s="1"/>
  <c r="I87" i="13"/>
  <c r="I90" i="13" s="1"/>
  <c r="I83" i="12"/>
  <c r="I90" i="12"/>
  <c r="I93" i="12" s="1"/>
  <c r="I85" i="12"/>
  <c r="I88" i="12" s="1"/>
  <c r="J35" i="10" l="1"/>
  <c r="J54" i="10"/>
  <c r="J55" i="10" s="1"/>
  <c r="J58" i="10" s="1"/>
  <c r="I79" i="10" s="1"/>
  <c r="I89" i="10" s="1"/>
  <c r="J37" i="10"/>
  <c r="J36" i="10"/>
  <c r="I85" i="10"/>
  <c r="J39" i="10" l="1"/>
  <c r="J40" i="10" s="1"/>
  <c r="I84" i="10"/>
  <c r="J42" i="10" l="1"/>
  <c r="J43" i="10" s="1"/>
  <c r="J44" i="10" s="1"/>
  <c r="J47" i="10" l="1"/>
  <c r="J46" i="10"/>
  <c r="J49" i="10" l="1"/>
  <c r="I78" i="10" s="1"/>
  <c r="I83" i="10" s="1"/>
  <c r="I86" i="10" s="1"/>
  <c r="I81" i="10" l="1"/>
  <c r="J50" i="10"/>
  <c r="I88" i="10"/>
  <c r="I91" i="10" s="1"/>
</calcChain>
</file>

<file path=xl/sharedStrings.xml><?xml version="1.0" encoding="utf-8"?>
<sst xmlns="http://schemas.openxmlformats.org/spreadsheetml/2006/main" count="1357" uniqueCount="388">
  <si>
    <t>Notes for example results:</t>
  </si>
  <si>
    <t xml:space="preserve">1. All costs are in either 2021$ or 2024$; Capital Costs include Owners Costs and AFUDC.  </t>
  </si>
  <si>
    <t>2. Capital Charge Rate = 14.3% (blended average of utility and merchant owned at 15-yr book life)</t>
  </si>
  <si>
    <t>3. VOM Cost includes Aux Power at $60/MWh and waste disposal at various $/ton rates</t>
  </si>
  <si>
    <t>4. In the Dry Sorbent Injection for SO2/HCl Control Cost Development Methodology document, the example utilizes a bituminous coal with an HCl content of 0.04 lb/mmBtu.  In the RCA, EPA has created default HCL content values for each coal type using the average from Table 7-4 Coal Quality Characteristics in the IPM v6 documentation. (see "DSI_SO2 worksheet cells B121 through B123).</t>
  </si>
  <si>
    <t>5. VOM and FOM cost components are typically based on market prices based on the year the Reference Document is finalized.  Consequently, adjustments to these values may be warranted to account for inflation and/or changes in base prices.</t>
  </si>
  <si>
    <t>Worksheet</t>
  </si>
  <si>
    <t>Revision Date</t>
  </si>
  <si>
    <t>Year Dollars in Reference Document</t>
  </si>
  <si>
    <t>Reference Document</t>
  </si>
  <si>
    <t>SNCR_gas</t>
  </si>
  <si>
    <t>Feb. 2023</t>
  </si>
  <si>
    <t>SNCR Cost Development Methodology for Oil/Gas-fired Boilers</t>
  </si>
  <si>
    <t>SNCR_coal</t>
  </si>
  <si>
    <t>SNCR Cost Development Methodology for Coal-fired Boilers</t>
  </si>
  <si>
    <t>SCR_gas</t>
  </si>
  <si>
    <t>SCR Cost Development Methodology for Oil/Gas-fired Boilers</t>
  </si>
  <si>
    <t>SCR_coal</t>
  </si>
  <si>
    <t>SCR Cost Development Methodology for Coal-fired Boilers</t>
  </si>
  <si>
    <t>DSI</t>
  </si>
  <si>
    <t>Mar. 2023</t>
  </si>
  <si>
    <r>
      <t>Dry Sorbent Injection for SO</t>
    </r>
    <r>
      <rPr>
        <vertAlign val="subscript"/>
        <sz val="11"/>
        <color theme="1"/>
        <rFont val="Calibri"/>
        <family val="2"/>
        <scheme val="minor"/>
      </rPr>
      <t>2</t>
    </r>
    <r>
      <rPr>
        <sz val="11"/>
        <color theme="1"/>
        <rFont val="Calibri"/>
        <family val="2"/>
        <scheme val="minor"/>
      </rPr>
      <t>/HCl Control Cost Development Methodology</t>
    </r>
  </si>
  <si>
    <t>SDA FGD</t>
  </si>
  <si>
    <t>SDA FGD Cost Development Methodology</t>
  </si>
  <si>
    <t>WET FGD</t>
  </si>
  <si>
    <t>Wet FGD Cost Development Methodology</t>
  </si>
  <si>
    <t>Fill in the yellow cells with the known data inputs.  The resulting costs are tabulated below.  Variable names are defined as outlined in the table.</t>
  </si>
  <si>
    <t>Variable</t>
  </si>
  <si>
    <t>Designation</t>
  </si>
  <si>
    <t>Units</t>
  </si>
  <si>
    <t>Value</t>
  </si>
  <si>
    <t>Calculation</t>
  </si>
  <si>
    <t>EPC Project?</t>
  </si>
  <si>
    <t>Unit Size</t>
  </si>
  <si>
    <t>A</t>
  </si>
  <si>
    <t>(MW)</t>
  </si>
  <si>
    <t>&lt;--- User Input (Greater than 50 MW)</t>
  </si>
  <si>
    <t>Retrofit Factor</t>
  </si>
  <si>
    <t>B</t>
  </si>
  <si>
    <t>&lt;--- User Input (An "average" retrofit has a factor = 1.0)</t>
  </si>
  <si>
    <t>Heat Rate</t>
  </si>
  <si>
    <t>C</t>
  </si>
  <si>
    <t>(Btu/kWh)</t>
  </si>
  <si>
    <t>&lt;--- User Input</t>
  </si>
  <si>
    <t>SO2 Rate</t>
  </si>
  <si>
    <t>D</t>
  </si>
  <si>
    <t>(lb/MMBtu)</t>
  </si>
  <si>
    <t>&lt;--- User Input (SDA FGD Estimation only valid up to 3 lb/MMBtu SO2 Rate)</t>
  </si>
  <si>
    <t>Type of Coal</t>
  </si>
  <si>
    <t>E</t>
  </si>
  <si>
    <t>Coal Factor</t>
  </si>
  <si>
    <t>F</t>
  </si>
  <si>
    <t>Bit = 1.0, PRB = 1.05, Lig = 1.07</t>
  </si>
  <si>
    <t>Heat Rate Factor</t>
  </si>
  <si>
    <t>G</t>
  </si>
  <si>
    <t>C/10000</t>
  </si>
  <si>
    <t>Heat Input</t>
  </si>
  <si>
    <t>H</t>
  </si>
  <si>
    <t>(Btu/hr)</t>
  </si>
  <si>
    <t>A*C*1000</t>
  </si>
  <si>
    <t>Capacity Factor</t>
  </si>
  <si>
    <t>I</t>
  </si>
  <si>
    <t>(%)</t>
  </si>
  <si>
    <t>Operating SO2 Removal</t>
  </si>
  <si>
    <t>J</t>
  </si>
  <si>
    <t>&lt;--- User Input (Used to adjust actual operating costs)</t>
  </si>
  <si>
    <t>Design Lime Rate</t>
  </si>
  <si>
    <t>K</t>
  </si>
  <si>
    <t>(ton/hr)</t>
  </si>
  <si>
    <t>(0.6702*(D^2)+13.42*D)*A*G/2000 (Based on 95% SO2 removal)</t>
  </si>
  <si>
    <t>Design Waste Rate</t>
  </si>
  <si>
    <t>L</t>
  </si>
  <si>
    <t>(0.8016*(D^2)+31.1917*D)*A*G/2000 (Based on 95% SO2 removal)</t>
  </si>
  <si>
    <t>Aux Power
Include in VOM?</t>
  </si>
  <si>
    <t>M</t>
  </si>
  <si>
    <t>(0.000547*D^2+0.00649*D+1.3)*F*G</t>
  </si>
  <si>
    <t>Makeup Water Rate</t>
  </si>
  <si>
    <t>N</t>
  </si>
  <si>
    <t>(1000 gph)</t>
  </si>
  <si>
    <t>(0.04898*D^2+0.5925*D+55.11)*A*F*G/1000</t>
  </si>
  <si>
    <t>Lime Cost</t>
  </si>
  <si>
    <t>P</t>
  </si>
  <si>
    <t>($/ton)</t>
  </si>
  <si>
    <t>Waste Disposal Cost</t>
  </si>
  <si>
    <t>Q</t>
  </si>
  <si>
    <t>Aux Power Cost</t>
  </si>
  <si>
    <t>R</t>
  </si>
  <si>
    <t>($/kWh)</t>
  </si>
  <si>
    <t>Makeup Water Cost</t>
  </si>
  <si>
    <t>S</t>
  </si>
  <si>
    <t>($/kgal)</t>
  </si>
  <si>
    <t>Operating Labor Rate</t>
  </si>
  <si>
    <t>T</t>
  </si>
  <si>
    <t>($/hr)</t>
  </si>
  <si>
    <t>&lt;--- User Input (Labor cost including all benefits)</t>
  </si>
  <si>
    <t>Capital Cost Calcuation</t>
  </si>
  <si>
    <t>Example</t>
  </si>
  <si>
    <t>Comments</t>
  </si>
  <si>
    <t>Includes - Equipment, intallation, buildings, foundations, electrical, and retrofit difficulty.</t>
  </si>
  <si>
    <t>BMR ($) =</t>
  </si>
  <si>
    <t>if (A&gt;600 then (A*145000) else 941000*(A^0.716))*B*(F*G)^0.6*(D/4)^0.01</t>
  </si>
  <si>
    <t>Base module absorber island cost</t>
  </si>
  <si>
    <t>BMF ($) =</t>
  </si>
  <si>
    <t>if (A&gt;600 then (A*77000) else 499000*(A^0.716))*B*(G*D)^0.2</t>
  </si>
  <si>
    <t>Base module reagent preparation and waste recycle/handling cost</t>
  </si>
  <si>
    <t>BMB ($) =</t>
  </si>
  <si>
    <t>if (A&gt;600 then (A*204000) else 1328000*(A^0.716))*B*(G*F)^0.4</t>
  </si>
  <si>
    <t>Base balance of plant costs including: ID or booster fans, piping, ductwork modifications and strengthening, electrical, etc...</t>
  </si>
  <si>
    <t>BM ($) =</t>
  </si>
  <si>
    <t>BMR + BMF +  BMB</t>
  </si>
  <si>
    <t>Total base module cost including retrofit factor</t>
  </si>
  <si>
    <t>BM ($/kW) =</t>
  </si>
  <si>
    <t>Base cost per kW</t>
  </si>
  <si>
    <t>Total Project Cost</t>
  </si>
  <si>
    <t>A1 = 10% of BM</t>
  </si>
  <si>
    <t>Engineering and Construction Management costs</t>
  </si>
  <si>
    <t>A2= 10% of BM</t>
  </si>
  <si>
    <t>Labor adjustment for 6 x 10 hour shift premium, per diem, etc…</t>
  </si>
  <si>
    <t>A3 = 10% of BM</t>
  </si>
  <si>
    <t>Contractor profit and fees</t>
  </si>
  <si>
    <t>CECC ($) = BM + A1 + A2 + A3</t>
  </si>
  <si>
    <t>Capital, engineering and construction cost subtotal</t>
  </si>
  <si>
    <t xml:space="preserve">CECC ($/kW) = </t>
  </si>
  <si>
    <t>Capital, engineering and construction cost subtotal per kW</t>
  </si>
  <si>
    <t>B1 = 2% of CECC if EPC TRUE, else 5% of CECC</t>
  </si>
  <si>
    <t>Owners costs including all "home office" costs (owners engineering, management, and procuement activities)</t>
  </si>
  <si>
    <t>TPC' ($) - Includes Owner's Costs = CECC + B1</t>
  </si>
  <si>
    <t>Total project cost without AFUDC</t>
  </si>
  <si>
    <t>TPC' ($/kW) - Includes Owner's Costs</t>
  </si>
  <si>
    <t>Total project cost per kW without AFUDC</t>
  </si>
  <si>
    <t>B2 = 10% of (CECC + B1)</t>
  </si>
  <si>
    <t>AFUDC (Based on a 3 year engineering and construction cycle)</t>
  </si>
  <si>
    <t>C1 = if EPC = TRUE, 15% of (CECC+B1), else 0</t>
  </si>
  <si>
    <t>EPC fees of 15%</t>
  </si>
  <si>
    <t>TPC ($) = Includes Owner's Costs and AFUDC = CECC + B1 + B2 + C1</t>
  </si>
  <si>
    <t>Total project cost</t>
  </si>
  <si>
    <t>TPC ($/kW) =  Includes Owner's Costs and AFUDC</t>
  </si>
  <si>
    <t>Total project cost per kW</t>
  </si>
  <si>
    <t>Fixed O&amp;M Cost</t>
  </si>
  <si>
    <t>FOMO ($/kW yr) = (8 operators)*2080*T/(A*1000)</t>
  </si>
  <si>
    <t>Fixed O&amp;M additional operating labor costs</t>
  </si>
  <si>
    <t>FOMM ($/kW yr) =(BM*0.015)/(B*A*1000)</t>
  </si>
  <si>
    <t>Fixed O&amp;M additional maintenance material and labor costs</t>
  </si>
  <si>
    <t>FOMA ($/kW yr) = 0.03*(FOMO + 0.4*FOMM)</t>
  </si>
  <si>
    <t>Fixed O&amp;M additional administrative labor costs</t>
  </si>
  <si>
    <t>FOM ($/kW yr) = FOMO +FOMM+FOMA</t>
  </si>
  <si>
    <t>Total Fixed O&amp;M costs</t>
  </si>
  <si>
    <t>Variable O&amp;M Cost</t>
  </si>
  <si>
    <t>VOMR ($/MWh) = K*P/(A*J)/98</t>
  </si>
  <si>
    <t>Variable O&amp;M costs for limestone reagent</t>
  </si>
  <si>
    <t>VOMW ($/MWh) = L*Q/(A*J)/98</t>
  </si>
  <si>
    <t>Variable O&amp;M costs for waste disposal</t>
  </si>
  <si>
    <t>VOMP ($/MWh) = M*R*10</t>
  </si>
  <si>
    <t>Variable O&amp;M costs for additional auxiliary power required including additional fan power (Refer to Aux Power % above)</t>
  </si>
  <si>
    <t>VOMM ($/MWh) = N*S/A</t>
  </si>
  <si>
    <t>Variable O&amp;M costs for makeup water</t>
  </si>
  <si>
    <t>VOM ($/MWh) = VOMR + VOMW + VOMP + VOMM</t>
  </si>
  <si>
    <t>Total Variable O&amp;M costs</t>
  </si>
  <si>
    <t xml:space="preserve">Annual Capacity Factor = </t>
  </si>
  <si>
    <t xml:space="preserve">Annual MWhs = </t>
  </si>
  <si>
    <t xml:space="preserve">Annual Heat Input MMBtu = </t>
  </si>
  <si>
    <t xml:space="preserve">Annual Tons SO2 Created = </t>
  </si>
  <si>
    <t>at 100% S conversion</t>
  </si>
  <si>
    <t xml:space="preserve">Annual Tons SO2 Removed = </t>
  </si>
  <si>
    <t xml:space="preserve">Annual Tons SO2 Emission = </t>
  </si>
  <si>
    <t xml:space="preserve">Annual Avg SO2 Emission Rate, lb/MMBtu = </t>
  </si>
  <si>
    <t xml:space="preserve">Annual Capital Recovery Factor = </t>
  </si>
  <si>
    <t>Wet FGD</t>
  </si>
  <si>
    <t xml:space="preserve">Annual Capital Cost (Including AFUDC), $ = </t>
  </si>
  <si>
    <t xml:space="preserve">Annual FOM Cost, $ = </t>
  </si>
  <si>
    <t xml:space="preserve">Annual VOM Cost, $ = </t>
  </si>
  <si>
    <t xml:space="preserve">Total Annual SDA FGD Cost, $ = </t>
  </si>
  <si>
    <t>Capital Cost, $/MWh =</t>
  </si>
  <si>
    <t>FOM Cost, $/MWh =</t>
  </si>
  <si>
    <t>VOM Cost, $/MWh =</t>
  </si>
  <si>
    <t>Total SDA FGD Cost, $/MWh =</t>
  </si>
  <si>
    <t>Capital Cost, $/ton =</t>
  </si>
  <si>
    <t>FOM Cost, $/ton =</t>
  </si>
  <si>
    <t>VOM Cost, $/ton =</t>
  </si>
  <si>
    <t>Total SDA FGD Cost, $/ton =</t>
  </si>
  <si>
    <t>Lookup Table</t>
  </si>
  <si>
    <t>Coal</t>
  </si>
  <si>
    <t>PRB</t>
  </si>
  <si>
    <t>Lignite</t>
  </si>
  <si>
    <t>Bituminous</t>
  </si>
  <si>
    <t>Aux Power</t>
  </si>
  <si>
    <t>Wastewater Treatment</t>
  </si>
  <si>
    <t>&lt;--- User Input (Greater than 100 MW)</t>
  </si>
  <si>
    <t>Design Limestone Rate</t>
  </si>
  <si>
    <t>17.52*A*D*G/2000 (Based on 98% removal)</t>
  </si>
  <si>
    <t>1.811*K (Based on 98% removal)</t>
  </si>
  <si>
    <t>(1.12e^(0.155*D))*F*G</t>
  </si>
  <si>
    <t>(1.674*D+74.68)*A*F*G/1000</t>
  </si>
  <si>
    <t>Limestone Cost</t>
  </si>
  <si>
    <t>863000*(B)*((F*G)^0.6)*((D/2)^0.02)*(A^0.716)</t>
  </si>
  <si>
    <t>Base absorber island cost</t>
  </si>
  <si>
    <t>298000*(B)*((D*G)^0.3)*(A^0.716)</t>
  </si>
  <si>
    <t>Base reagent preparation cost</t>
  </si>
  <si>
    <t>BMW ($) =</t>
  </si>
  <si>
    <t>157000*(B)*((D*G)^0.45)*(A^0.716)</t>
  </si>
  <si>
    <t>Base waste handling cost</t>
  </si>
  <si>
    <t>1581000*(B)*((F*G)^0.4)*(A^0.716)</t>
  </si>
  <si>
    <t>Base balance of plant costs including: ID or booster fans, new wet chimney, piping, ductwork modifications and strengthening, minor WWT, etc...</t>
  </si>
  <si>
    <t>BMWW ($) =</t>
  </si>
  <si>
    <t>If type is Bio-Chem, then 15661000*(B)*A/500^0.6), else 0</t>
  </si>
  <si>
    <t>Base wastewater treatment facility, beyond minor physical/chemical treatment</t>
  </si>
  <si>
    <t>BMR + BMF + BMW + BMB + BMWW</t>
  </si>
  <si>
    <t>B1 = 5% of CECC</t>
  </si>
  <si>
    <t>C1 = 15% of CECC+B1</t>
  </si>
  <si>
    <t>FOMO ($/kW yr) = (if MW&gt;500 then 16 additional operators, else 12 operators)*2080*T/(A*1000)</t>
  </si>
  <si>
    <t xml:space="preserve">FOMWW ($/kW yr) = </t>
  </si>
  <si>
    <t>Fixed O&amp;M costs for wastewater treatment facility</t>
  </si>
  <si>
    <t>FOM ($/kW yr) = FOMO +FOMM+FOMA+ FOMWW</t>
  </si>
  <si>
    <t xml:space="preserve">VOMWW ($/MWh) = </t>
  </si>
  <si>
    <t>Variable O&amp;M costs for wastewater treatment facility</t>
  </si>
  <si>
    <t>VOM ($/MWh) = VOMR + VOMW + VOMP + VOMM + VOMWW</t>
  </si>
  <si>
    <t xml:space="preserve">Total Annual Wet FGD Cost, $ = </t>
  </si>
  <si>
    <t>Total Wet FGD Cost, $/MWh =</t>
  </si>
  <si>
    <t>Total Wet FGD Cost, $/ton =</t>
  </si>
  <si>
    <t>Wastewater</t>
  </si>
  <si>
    <t>Minor physical/chemical</t>
  </si>
  <si>
    <t>Phys Chem-Biological</t>
  </si>
  <si>
    <t>TBD</t>
  </si>
  <si>
    <t>Particulate Capture</t>
  </si>
  <si>
    <t>Sorbent</t>
  </si>
  <si>
    <t>Removal Target</t>
  </si>
  <si>
    <t>Maximum Removal Targets:
Unmilled Trona with an ESP = 70%
Milled Trona with an ESP = 85%
Unmilled Trona with a BGH = 85%
Milled Trona with a BGH = 90%
Sodium Bicarbonate (SBC) with an ESP = 95%
Sodium Bicarbonate (SBC) with a BGH = 98%
Hydrated Lime with an ESP = 40%
Hydrated Lime with a BGH = 50%</t>
  </si>
  <si>
    <t>NSR</t>
  </si>
  <si>
    <t>Unmilled Trona with an ESP = if (H&lt;40,0.0310*H,0.352e^(0.0313*H))
Milled Trona with an ESP = if (H&lt;40,0.0245*H,0.355e^(0.0254*H))
Unmilled Trona with an BGH = if (H&lt;40, 0.0196*H, 0.296e^(0.0242*H))
Milled Trona with an BGH = if (H&lt;40, 0.0150*H, 0.220e^(0.0255*H))
Sodium Bicarbonate (SBC) with an ESP = if (H&lt;60, 0.0185*H, 0.255e^(0.0248*H))
Sodium Bicarbonate (SBC) with a BGH = if (H&lt;60,0.0120*H, 0.165e^(0.0243*H))
Hydrated Lime with an ESP = if (H&lt;10, 0.34*H^0.51, 0.82EXP(0.031*H))
Hydrated Lime with a BGH =  if (H&lt;10, 0.40*H^0.31, 0.62EXP(0.025*H))</t>
  </si>
  <si>
    <t>Sorbent Feed Rate</t>
  </si>
  <si>
    <t>Trona = (1.2011x10^-06)*K*A*C*D
Hydrated Lime =(6.055*(10^-7))*K*A*C*D
Sodium Bicarbonate =(1.3125x10^-06)*K*A*C*D</t>
  </si>
  <si>
    <t>Estimated HCL Removal</t>
  </si>
  <si>
    <t>V</t>
  </si>
  <si>
    <t>Unmilled Trona with an ESP = 60.86*H^0.1081, or 0.002 lb/MMBtu 
Milled Trona with an ESP = 60.86*H^0.1081, or 0.002 lb/MMBtu
Unmilled Trona with an BGH = 84.598*H^0.0346, or 0.002 lb/MMBtu
Milled Trona with an BGH =  84.598*H^0.0346, or 0.002 lb/MMBtu
Sodium Bicarbonate with an ESP = 60.86*H^0.1081, or 0.002 lb/MMBtu
Sodium Bicarbonate with a BGH =  84.598*H^0.0346, or 0.002 lb/MMBtu
Hydrated Lime with an ESP = 54.92*H^0.197, or 0.002 lb/MMBtu
Hydrated Lime with a BGH = 0.0085*H+99.12, or 0.002 lb/MMBtu</t>
  </si>
  <si>
    <t xml:space="preserve">Sorbent Waste Rate </t>
  </si>
  <si>
    <t>Trona (0.7387+0.002372*H/K)*M, 
Lime = (1.00 + 0.00777*H/K)*M.  
Sodium Bicarbonate = (0.6310 + 0.003143*H/K)*M.  
Waste product adjusted for a maximum of 5% inert in the Trona sorbent and 2% for Hydrated Lime and 0% for Sodium Bicarbonate.</t>
  </si>
  <si>
    <t>Fly Ash Waste Rate
Include in VOM?</t>
  </si>
  <si>
    <t>(A*C)*Ash in Coal*(1-Boiler Ash Removal)/(2*HHV)
For Bituminous Coal: Ash in Coal = 0.12; Boiler Ash Removal = 0.2; HHV = 11000
For PRB Coal: Ash in Coal = 0.06; Boiler Ash Removal = 0.2; HHV = 8400
For Lignite Coal: Ash in Coal = 0.08; Boiler Ash Removal = 0.2; HHV = 7200</t>
  </si>
  <si>
    <t>=if Milled Trona M*20/A else M*18/A</t>
  </si>
  <si>
    <t>Sorbent Cost</t>
  </si>
  <si>
    <t>&lt;--- User Input (Trona = $270, Hydrated Lime = $150, Sodium Bicarbonate = $380)</t>
  </si>
  <si>
    <t>&lt;--- User Input (Disposal cost with fly ash = $50.  Without fly ash, the sorbent waste alone
                                                                           will be more dificult to dispose = $100)</t>
  </si>
  <si>
    <t>U</t>
  </si>
  <si>
    <t>Costs are all based on 2021 dollars</t>
  </si>
  <si>
    <t xml:space="preserve">Unmilled Trona if (M&gt;25 then (860,000*B*M) else 6,290,000*B*(M^0.378) Milled Trona if (M&gt;25 then (950,000*B*M) else 6,970,000*B*(M^0.378) Hydrated Lime if (M&gt;25 then (910,000*B*M) else 6,690,000*B*(M^0.378) Sodium Bicarbonate if (M&gt;25 then (920,000*B*M) else 6,730,000*B*(M^0.378) </t>
  </si>
  <si>
    <t>Base module for unmilled sorbent includes all equipment from unloading to injection, including dehumidification system</t>
  </si>
  <si>
    <t>A2= 5% of BM</t>
  </si>
  <si>
    <t>A3 = 5% of BM</t>
  </si>
  <si>
    <t>CECC ($/kW) =  Excludes Owner's Costs =</t>
  </si>
  <si>
    <t>AFUDC (Zero for less than 1  year engineering and construction cycle)</t>
  </si>
  <si>
    <t>FOMO ($/kW yr) = (2 additional operators)*2080*U/(A*1000)</t>
  </si>
  <si>
    <t>FOMM ($/kW yr) =(BM*0.01)/(B*A*1000)</t>
  </si>
  <si>
    <t>FOM ($/kW yr) = FOMO + FOMM + FOMA</t>
  </si>
  <si>
    <t>VOMR ($/MWh) = M*R/A</t>
  </si>
  <si>
    <t>Variable O&amp;M costs for Trona reagent</t>
  </si>
  <si>
    <t>VOMW ($/MWh) = (N+P)*S/A</t>
  </si>
  <si>
    <t>Variable O&amp;M costs for waste disposal that includes both the sorbent and the fly ash waste not removed prior to the sorbent injection</t>
  </si>
  <si>
    <t>VOMP ($/MWh) = Q*T*10</t>
  </si>
  <si>
    <t>VOM ($/MWh) = VOMR + VOMW + VOMP</t>
  </si>
  <si>
    <t>Trona MMtpy per 1.0 MMtpy SO2 Reduction =</t>
  </si>
  <si>
    <t xml:space="preserve">Total Annual DSI Cost, $ = </t>
  </si>
  <si>
    <t>Total DSI Cost, $/MWh =</t>
  </si>
  <si>
    <t>Total DSI Cost, $/ton =</t>
  </si>
  <si>
    <t>Removal target</t>
  </si>
  <si>
    <t>Max Removal</t>
  </si>
  <si>
    <t>Particulate</t>
  </si>
  <si>
    <t>Milled Trona</t>
  </si>
  <si>
    <t>Unmilled Trona</t>
  </si>
  <si>
    <t>Sodium Bicarbonate (SBC)</t>
  </si>
  <si>
    <t>Hydrated Lime</t>
  </si>
  <si>
    <t>ESP</t>
  </si>
  <si>
    <t>Baghouse</t>
  </si>
  <si>
    <t>Sorbent Waste Rate</t>
  </si>
  <si>
    <t>BM</t>
  </si>
  <si>
    <t>% of Ash</t>
  </si>
  <si>
    <t>Boiler Removal %</t>
  </si>
  <si>
    <t>HHV</t>
  </si>
  <si>
    <t>HCl content (lb/mmBtu), average from Table 7-4 Coal Quality Characteristics in the IPM v6 documentation.</t>
  </si>
  <si>
    <t>Fly Ash Waste</t>
  </si>
  <si>
    <t>Default Trona Cost</t>
  </si>
  <si>
    <t>Costs are all based on 2024 dollars</t>
  </si>
  <si>
    <t>Boiler Type</t>
  </si>
  <si>
    <t>BT</t>
  </si>
  <si>
    <t>NOx Rate</t>
  </si>
  <si>
    <t>Type of Fuel</t>
  </si>
  <si>
    <t>Natural gas = 1.0, Oil = 1.06</t>
  </si>
  <si>
    <t>NOx Removal Efficiency</t>
  </si>
  <si>
    <t>NOx Removed</t>
  </si>
  <si>
    <t>(lb/hr)</t>
  </si>
  <si>
    <t>D*I/10^6*K/100</t>
  </si>
  <si>
    <t>Urea Rate (100%)</t>
  </si>
  <si>
    <t>L/UF/46*30; If Boiler Type = CFB or D&gt;0.3 THEN UF = 0.25 ELSE UF = 0.15</t>
  </si>
  <si>
    <t>Water Required</t>
  </si>
  <si>
    <t>M*19</t>
  </si>
  <si>
    <t>Heat Rate Penalty Include in VOM?</t>
  </si>
  <si>
    <t>1175*N/I*100</t>
  </si>
  <si>
    <t>O</t>
  </si>
  <si>
    <t>0.05 default value</t>
  </si>
  <si>
    <t>Dilution Water Rate</t>
  </si>
  <si>
    <t>N*0.1199/1000</t>
  </si>
  <si>
    <t>Urea Cost (50% wt solution)</t>
  </si>
  <si>
    <t>Dilution Water Cost</t>
  </si>
  <si>
    <t>($/klb)</t>
  </si>
  <si>
    <t>Replacement Coal Cost</t>
  </si>
  <si>
    <t>BMS ($) =</t>
  </si>
  <si>
    <t>BT*B*G*202400*(A*H)^0.42; IF CFB then BT = 0.75, ELSE BT = 1)</t>
  </si>
  <si>
    <t>SNCR (injectors, blowers, DCS, reagent system) cost</t>
  </si>
  <si>
    <t>BT*(L^0.12)*358400*(A)^0.33; (IF CFB then BT = 0.75, ELSE BT = 1)</t>
  </si>
  <si>
    <t>Balance of plant costs (piping, site upgrades, water treatment for the dilution water, etc…)</t>
  </si>
  <si>
    <t>BMS + BMA + BMB</t>
  </si>
  <si>
    <t>B2 = 0% of (CECC + B1)</t>
  </si>
  <si>
    <t>AFUDC (Zero for less than 1 year engineering and construction cycle)</t>
  </si>
  <si>
    <t>TPC ($) = CECC + B1 + B2 + C1</t>
  </si>
  <si>
    <t xml:space="preserve">TPC ($/kW) = </t>
  </si>
  <si>
    <t>FOMO ($/kW yr) = (No operator time assumed)*2080*T/(A*1000)</t>
  </si>
  <si>
    <t>FOMM ($/kW yr) =(0.012*BM)/(B*A*1000)</t>
  </si>
  <si>
    <t>VOMR ($/MWh) = M*Q/(A*1000)</t>
  </si>
  <si>
    <t>Variable O&amp;M costs for Urea</t>
  </si>
  <si>
    <t>VOMM ($/MWh) = P*S/A</t>
  </si>
  <si>
    <t>Variable O&amp;M costs for dilution water</t>
  </si>
  <si>
    <t>VOMP ($/MWh) = O*R*10</t>
  </si>
  <si>
    <t>Variable O&amp;M costs for additional auxiliary power required.</t>
  </si>
  <si>
    <t>VOMB ($/MWh) = 0.001175*N*U/A</t>
  </si>
  <si>
    <t>Variable O&amp;M costs for heat rate increase due to water injected into the boiler</t>
  </si>
  <si>
    <t xml:space="preserve">Annual Tons NOx Created = </t>
  </si>
  <si>
    <t xml:space="preserve">Annual Tons NOx Removed = </t>
  </si>
  <si>
    <t>current NOx Emission</t>
  </si>
  <si>
    <t xml:space="preserve">Annual Tons NOx Emission = </t>
  </si>
  <si>
    <t xml:space="preserve">Annual Avg NOx Emission Rate, lb/MMBtu = </t>
  </si>
  <si>
    <t>SNCR</t>
  </si>
  <si>
    <t xml:space="preserve">Total Annual SNCR Cost, $ = </t>
  </si>
  <si>
    <t>Total SNCR Cost, $/MWh =</t>
  </si>
  <si>
    <t>Total SNCR Cost, $/ton =</t>
  </si>
  <si>
    <t>Fuel</t>
  </si>
  <si>
    <t>Fuel Factor</t>
  </si>
  <si>
    <t>Natural gas</t>
  </si>
  <si>
    <t>Oil</t>
  </si>
  <si>
    <t>CFB</t>
  </si>
  <si>
    <t>Tangential</t>
  </si>
  <si>
    <t>Wall</t>
  </si>
  <si>
    <t>Cyclone</t>
  </si>
  <si>
    <t>Heat Rate Penalty</t>
  </si>
  <si>
    <t>BT*B*G*253000*(A*H)^0.42; IF CFB then BT = 0.75, ELSE BT = 1)</t>
  </si>
  <si>
    <t>BMA ($) =</t>
  </si>
  <si>
    <t>IF E&gt;= 3 and F = Bituminous, THEN 69000*(B)*(A*G*H)^0.78, ELSE 0</t>
  </si>
  <si>
    <t>Air heater modifications /SO3 control (Bituminous only and &gt;= 3 lb/MMBtu)</t>
  </si>
  <si>
    <t>BT*(L^0.12)*448000*(A)^0.33; (IF CFB then BT = 0.75, ELSE BT = 1)</t>
  </si>
  <si>
    <t>Type of fuel</t>
  </si>
  <si>
    <t>NOx Removal Factor</t>
  </si>
  <si>
    <t>K/80</t>
  </si>
  <si>
    <t>M*0.525*60/46*1.01/0.99</t>
  </si>
  <si>
    <t>Steam Required</t>
  </si>
  <si>
    <t>N*1.1315</t>
  </si>
  <si>
    <t>0.28*(G*H)^0.43</t>
  </si>
  <si>
    <t>Catalyst Cost</t>
  </si>
  <si>
    <t>($/m3)</t>
  </si>
  <si>
    <t>&lt;--- User Input (includes removal and disposal of existing catalyst and installation of new catalyst)</t>
  </si>
  <si>
    <t>Steam Cost</t>
  </si>
  <si>
    <t>129500*(B)*(L)^0.2*(A*G*H)^0.92</t>
  </si>
  <si>
    <t>SCR (ductwork modifications and strengthening, reactor, bypass) island cost</t>
  </si>
  <si>
    <t>671000*(M)^0.25</t>
  </si>
  <si>
    <t>315000*(B)*(A*G*H)^0.42</t>
  </si>
  <si>
    <t>ID or booster fans and auxiliary power modification costs</t>
  </si>
  <si>
    <t>BMR + BMF + BMA + BMB</t>
  </si>
  <si>
    <t>B2 = 6% of (CECC + B1)</t>
  </si>
  <si>
    <t>AFUDC (Based on a 2 year engineering and construction cycle)</t>
  </si>
  <si>
    <t>FOMO ($/kW yr) = 1/2 operator time assumed)*2080*V/(A*1000)</t>
  </si>
  <si>
    <t>FOMM ($/kW yr) =(IF A &lt; 300 then 0.005*BM ELSE 0.003*BM)/(B*A*1000)</t>
  </si>
  <si>
    <t>VOMR ($/MWh) = N*R/(A*1000)</t>
  </si>
  <si>
    <t>VOMW ($/MWh) = (0.065*(G^2.9)*(L^0.71)*S)/(8760)</t>
  </si>
  <si>
    <t>Variable O&amp;M costs for catalyst: replacement &amp; disposal</t>
  </si>
  <si>
    <t>VOMP ($/MWh) = P*T*10</t>
  </si>
  <si>
    <t>Variable O&amp;M costs for additional auxiliary power required including additional fan power</t>
  </si>
  <si>
    <t>VOMM ($/MWh) = O*U/A/1000</t>
  </si>
  <si>
    <t>Variable O&amp;M costs for steam</t>
  </si>
  <si>
    <t>SCR</t>
  </si>
  <si>
    <t xml:space="preserve">Total Annual SCR Cost, $ = </t>
  </si>
  <si>
    <t>Total SCR Cost, $/MWh =</t>
  </si>
  <si>
    <t>Total SCR Cost, $/ton =</t>
  </si>
  <si>
    <t>NOx Floor Limit (this is expected to range from 0.02 to 0.05 lb/mmBtu)</t>
  </si>
  <si>
    <t>0.56*(G*H)^0.43</t>
  </si>
  <si>
    <t>370000*(B)*(L)^0.2*(A*G*H)^0.92</t>
  </si>
  <si>
    <t>IF E&gt;= 3 and F = Bituminous, THEN 60000*(B)*(A*G*H)^0.78, ELSE 0</t>
  </si>
  <si>
    <t>Air heater modifications /SO3 control (Bituminous only and &gt;= 3 lb/MMBtu)  For SO3 control cost refer to PJFF+PM2.5 spreadsheet</t>
  </si>
  <si>
    <t>630000*(B)*(A*G*H)^0.42</t>
  </si>
  <si>
    <t>VOMW ($/MWh) = (0.4*(G^2.9)*(L^0.71)*S)/(8760)</t>
  </si>
  <si>
    <t>NOx Floor Limit (lb/mmBtu)</t>
  </si>
  <si>
    <t>Mar.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</si>
</sst>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00"/>
    <numFmt numFmtId="168" formatCode="&quot;$&quot;#,##0.00"/>
    <numFmt numFmtId="169" formatCode="0.0000000000"/>
    <numFmt numFmtId="170" formatCode="0.0000"/>
  </numFmts>
  <fonts count="15"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0"/>
      <color theme="1"/>
      <name val="Arial"/>
      <family val="2"/>
    </font>
    <font>
      <b/>
      <sz val="18"/>
      <color theme="1"/>
      <name val="Arial"/>
      <family val="2"/>
    </font>
    <font>
      <b/>
      <sz val="10"/>
      <name val="Arial"/>
      <family val="2"/>
    </font>
    <font>
      <b/>
      <sz val="10"/>
      <color indexed="12"/>
      <name val="Arial"/>
      <family val="2"/>
    </font>
    <font>
      <u/>
      <sz val="11"/>
      <color theme="10"/>
      <name val="Calibri"/>
      <family val="2"/>
      <scheme val="minor"/>
    </font>
    <font>
      <sz val="10"/>
      <color theme="1"/>
      <name val="Arial"/>
    </font>
    <font>
      <vertAlign val="subscript"/>
      <sz val="11"/>
      <color theme="1"/>
      <name val="Calibri"/>
      <family val="2"/>
      <scheme val="minor"/>
    </font>
    <font>
      <sz val="11"/>
      <color rgb="FF444444"/>
      <name val="Calibri"/>
      <family val="2"/>
      <scheme val="minor"/>
    </font>
    <font>
      <sz val="11"/>
      <color rgb="FF000000"/>
      <name val="Calibri"/>
      <family val="2"/>
      <scheme val="minor"/>
    </font>
    <font>
      <sz val="11"/>
      <name val="Calibri"/>
      <family val="2"/>
      <scheme val="minor"/>
    </font>
    <font>
      <sz val="10"/>
      <color indexed="12"/>
      <name val="Arial"/>
      <family val="2"/>
    </font>
  </fonts>
  <fills count="7">
    <fill>
      <patternFill patternType="none"/>
    </fill>
    <fill>
      <patternFill patternType="gray125"/>
    </fill>
    <fill>
      <patternFill patternType="solid">
        <fgColor rgb="FFFFC000"/>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rgb="FF00B050"/>
        <bgColor indexed="64"/>
      </patternFill>
    </fill>
  </fills>
  <borders count="23">
    <border>
      <left/>
      <right/>
      <top/>
      <bottom/>
      <diagonal/>
    </border>
    <border>
      <left style="medium">
        <color auto="1"/>
      </left>
      <right/>
      <top style="thin">
        <color auto="1"/>
      </top>
      <bottom style="thin">
        <color auto="1"/>
      </bottom>
      <diagonal/>
    </border>
    <border>
      <left/>
      <right/>
      <top style="thin">
        <color auto="1"/>
      </top>
      <bottom/>
      <diagonal/>
    </border>
    <border>
      <left/>
      <right/>
      <top style="double">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62">
    <xf numFmtId="0" fontId="0" fillId="0" borderId="0" xfId="0"/>
    <xf numFmtId="0" fontId="0" fillId="0" borderId="0" xfId="0" applyAlignment="1">
      <alignment horizontal="left"/>
    </xf>
    <xf numFmtId="0" fontId="0" fillId="0" borderId="0" xfId="0" applyAlignment="1">
      <alignment horizontal="center"/>
    </xf>
    <xf numFmtId="2" fontId="0" fillId="0" borderId="0" xfId="0" applyNumberFormat="1" applyAlignment="1">
      <alignment horizontal="center"/>
    </xf>
    <xf numFmtId="0" fontId="2" fillId="0" borderId="0" xfId="0" applyFont="1"/>
    <xf numFmtId="0" fontId="3" fillId="0" borderId="0" xfId="0" applyFont="1"/>
    <xf numFmtId="166" fontId="3" fillId="0" borderId="2" xfId="0" applyNumberFormat="1" applyFont="1" applyBorder="1"/>
    <xf numFmtId="0" fontId="3" fillId="0" borderId="2" xfId="0" applyFont="1" applyBorder="1" applyAlignment="1">
      <alignment horizontal="right"/>
    </xf>
    <xf numFmtId="0" fontId="3" fillId="0" borderId="2" xfId="0" applyFont="1" applyBorder="1"/>
    <xf numFmtId="166" fontId="3" fillId="0" borderId="0" xfId="1" applyNumberFormat="1" applyFont="1"/>
    <xf numFmtId="0" fontId="3" fillId="0" borderId="0" xfId="0" applyFont="1" applyAlignment="1">
      <alignment horizontal="right"/>
    </xf>
    <xf numFmtId="166" fontId="3" fillId="0" borderId="3" xfId="1" applyNumberFormat="1" applyFont="1" applyBorder="1"/>
    <xf numFmtId="0" fontId="3" fillId="0" borderId="3" xfId="0" applyFont="1" applyBorder="1" applyAlignment="1">
      <alignment horizontal="right"/>
    </xf>
    <xf numFmtId="0" fontId="3" fillId="0" borderId="3" xfId="0" applyFont="1" applyBorder="1"/>
    <xf numFmtId="2" fontId="3" fillId="0" borderId="2" xfId="0" applyNumberFormat="1" applyFont="1" applyBorder="1"/>
    <xf numFmtId="2" fontId="3" fillId="0" borderId="0" xfId="0" applyNumberFormat="1" applyFont="1"/>
    <xf numFmtId="2" fontId="3" fillId="0" borderId="3" xfId="0" applyNumberFormat="1" applyFont="1" applyBorder="1"/>
    <xf numFmtId="167" fontId="4" fillId="2" borderId="0" xfId="0" applyNumberFormat="1" applyFont="1" applyFill="1"/>
    <xf numFmtId="2" fontId="2" fillId="0" borderId="0" xfId="0" applyNumberFormat="1" applyFont="1"/>
    <xf numFmtId="0" fontId="2" fillId="0" borderId="0" xfId="0" applyFont="1" applyAlignment="1">
      <alignment horizontal="right"/>
    </xf>
    <xf numFmtId="0" fontId="0" fillId="0" borderId="0" xfId="0" applyAlignment="1">
      <alignment vertical="center"/>
    </xf>
    <xf numFmtId="167" fontId="3" fillId="0" borderId="0" xfId="0" applyNumberFormat="1" applyFont="1"/>
    <xf numFmtId="166" fontId="3" fillId="0" borderId="0" xfId="0" applyNumberFormat="1" applyFont="1"/>
    <xf numFmtId="43" fontId="3" fillId="0" borderId="0" xfId="0" applyNumberFormat="1" applyFont="1"/>
    <xf numFmtId="9" fontId="4" fillId="2" borderId="0" xfId="3" applyFont="1" applyFill="1"/>
    <xf numFmtId="44" fontId="4" fillId="0" borderId="0" xfId="0" applyNumberFormat="1" applyFont="1"/>
    <xf numFmtId="0" fontId="4" fillId="0" borderId="0" xfId="0" applyFont="1"/>
    <xf numFmtId="44" fontId="3" fillId="0" borderId="0" xfId="2" applyFont="1"/>
    <xf numFmtId="1" fontId="4" fillId="0" borderId="0" xfId="0" applyNumberFormat="1" applyFont="1"/>
    <xf numFmtId="164" fontId="4" fillId="0" borderId="0" xfId="0" applyNumberFormat="1" applyFont="1"/>
    <xf numFmtId="164" fontId="3" fillId="0" borderId="0" xfId="2" applyNumberFormat="1" applyFont="1"/>
    <xf numFmtId="1" fontId="3" fillId="0" borderId="0" xfId="0" applyNumberFormat="1" applyFont="1"/>
    <xf numFmtId="0" fontId="2" fillId="0" borderId="0" xfId="0" applyFont="1" applyAlignment="1">
      <alignment vertical="center" wrapText="1"/>
    </xf>
    <xf numFmtId="164" fontId="3" fillId="0" borderId="0" xfId="0" applyNumberFormat="1" applyFont="1"/>
    <xf numFmtId="0" fontId="3" fillId="0" borderId="0" xfId="0" applyFont="1" applyAlignment="1">
      <alignment vertical="top"/>
    </xf>
    <xf numFmtId="0" fontId="5" fillId="0" borderId="0" xfId="0" applyFont="1"/>
    <xf numFmtId="0" fontId="3" fillId="0" borderId="4" xfId="0" applyFont="1" applyBorder="1"/>
    <xf numFmtId="0" fontId="3" fillId="0" borderId="5" xfId="0" applyFont="1" applyBorder="1"/>
    <xf numFmtId="0" fontId="3" fillId="0" borderId="6" xfId="0" applyFont="1" applyBorder="1"/>
    <xf numFmtId="0" fontId="3" fillId="0" borderId="7"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0" fillId="0" borderId="4" xfId="0" applyBorder="1"/>
    <xf numFmtId="0" fontId="0" fillId="0" borderId="5" xfId="0" applyBorder="1"/>
    <xf numFmtId="0" fontId="2" fillId="0" borderId="6" xfId="0" applyFont="1" applyBorder="1" applyAlignment="1">
      <alignment horizontal="left"/>
    </xf>
    <xf numFmtId="2" fontId="3" fillId="0" borderId="7" xfId="0" applyNumberFormat="1" applyFont="1" applyBorder="1" applyAlignment="1">
      <alignment horizontal="center" vertical="center"/>
    </xf>
    <xf numFmtId="0" fontId="0" fillId="0" borderId="1" xfId="0" applyBorder="1"/>
    <xf numFmtId="1" fontId="3" fillId="0" borderId="7" xfId="0" applyNumberFormat="1" applyFont="1" applyBorder="1" applyAlignment="1">
      <alignment horizontal="center" vertical="center"/>
    </xf>
    <xf numFmtId="11" fontId="3" fillId="0" borderId="7" xfId="0" applyNumberFormat="1" applyFont="1" applyBorder="1" applyAlignment="1">
      <alignment horizontal="center" vertical="center"/>
    </xf>
    <xf numFmtId="0" fontId="3" fillId="0" borderId="0" xfId="0" applyFont="1" applyAlignment="1">
      <alignment horizontal="left" vertical="center"/>
    </xf>
    <xf numFmtId="0" fontId="0" fillId="0" borderId="7" xfId="0"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pplyProtection="1">
      <alignment horizontal="center" vertical="center"/>
      <protection locked="0"/>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169" fontId="0" fillId="0" borderId="0" xfId="0" applyNumberFormat="1"/>
    <xf numFmtId="0" fontId="3" fillId="0" borderId="7" xfId="0" applyFont="1" applyBorder="1" applyAlignment="1">
      <alignment horizontal="center"/>
    </xf>
    <xf numFmtId="0" fontId="6" fillId="0" borderId="9" xfId="0" applyFont="1" applyBorder="1" applyAlignment="1" applyProtection="1">
      <alignment horizontal="center"/>
      <protection locked="0"/>
    </xf>
    <xf numFmtId="0" fontId="6" fillId="0" borderId="8" xfId="0" applyFont="1" applyBorder="1" applyAlignment="1">
      <alignment horizontal="center"/>
    </xf>
    <xf numFmtId="0" fontId="7" fillId="0" borderId="6" xfId="0" applyFont="1" applyBorder="1" applyAlignment="1" applyProtection="1">
      <alignment horizontal="center"/>
      <protection locked="0"/>
    </xf>
    <xf numFmtId="44" fontId="3" fillId="0" borderId="0" xfId="0" applyNumberFormat="1" applyFont="1"/>
    <xf numFmtId="44" fontId="9" fillId="0" borderId="0" xfId="2" applyFont="1"/>
    <xf numFmtId="0" fontId="4" fillId="3" borderId="7" xfId="0" applyFont="1" applyFill="1" applyBorder="1" applyAlignment="1">
      <alignment horizontal="center"/>
    </xf>
    <xf numFmtId="2" fontId="4" fillId="3" borderId="7" xfId="0" applyNumberFormat="1" applyFont="1" applyFill="1" applyBorder="1" applyAlignment="1">
      <alignment horizontal="center"/>
    </xf>
    <xf numFmtId="164" fontId="9" fillId="0" borderId="0" xfId="2" applyNumberFormat="1" applyFont="1"/>
    <xf numFmtId="0" fontId="3" fillId="5" borderId="6" xfId="0" applyFont="1" applyFill="1" applyBorder="1"/>
    <xf numFmtId="0" fontId="3" fillId="5" borderId="5" xfId="0" applyFont="1" applyFill="1" applyBorder="1"/>
    <xf numFmtId="0" fontId="3" fillId="5" borderId="4" xfId="0" applyFont="1" applyFill="1" applyBorder="1"/>
    <xf numFmtId="11" fontId="3" fillId="0" borderId="7" xfId="0" applyNumberFormat="1" applyFont="1" applyBorder="1" applyAlignment="1">
      <alignment horizontal="center"/>
    </xf>
    <xf numFmtId="1" fontId="3" fillId="0" borderId="7" xfId="0" applyNumberFormat="1" applyFont="1" applyBorder="1" applyAlignment="1">
      <alignment horizontal="center"/>
    </xf>
    <xf numFmtId="2" fontId="3" fillId="0" borderId="7" xfId="0" applyNumberFormat="1" applyFont="1" applyBorder="1" applyAlignment="1">
      <alignment horizontal="center"/>
    </xf>
    <xf numFmtId="0" fontId="3" fillId="5" borderId="0" xfId="0" applyFont="1" applyFill="1"/>
    <xf numFmtId="0" fontId="0" fillId="5" borderId="0" xfId="0" applyFill="1"/>
    <xf numFmtId="9" fontId="3" fillId="5" borderId="0" xfId="0" applyNumberFormat="1" applyFont="1" applyFill="1"/>
    <xf numFmtId="0" fontId="3" fillId="6" borderId="0" xfId="0" applyFont="1" applyFill="1"/>
    <xf numFmtId="0" fontId="7" fillId="4" borderId="6" xfId="0" applyFont="1" applyFill="1" applyBorder="1" applyAlignment="1" applyProtection="1">
      <alignment horizontal="center"/>
      <protection locked="0"/>
    </xf>
    <xf numFmtId="0" fontId="0" fillId="0" borderId="0" xfId="0"/>
    <xf numFmtId="0" fontId="0" fillId="0" borderId="0" xfId="0" applyFont="1" applyFill="1" applyBorder="1"/>
    <xf numFmtId="0" fontId="0" fillId="0" borderId="0" xfId="0" applyFont="1" applyFill="1"/>
    <xf numFmtId="0" fontId="0" fillId="0" borderId="0" xfId="0" applyFont="1" applyFill="1" applyBorder="1" applyAlignment="1">
      <alignment horizontal="center" wrapText="1"/>
    </xf>
    <xf numFmtId="0" fontId="11" fillId="0" borderId="0" xfId="0" applyFont="1" applyFill="1"/>
    <xf numFmtId="0" fontId="12" fillId="0" borderId="0" xfId="0" applyFont="1" applyFill="1" applyAlignment="1"/>
    <xf numFmtId="0" fontId="12" fillId="0" borderId="0" xfId="0" applyFont="1" applyFill="1" applyBorder="1" applyAlignment="1"/>
    <xf numFmtId="0" fontId="13" fillId="0" borderId="0" xfId="0" applyFont="1" applyFill="1"/>
    <xf numFmtId="17" fontId="0" fillId="0" borderId="0" xfId="0" applyNumberFormat="1" applyFont="1" applyFill="1" applyBorder="1"/>
    <xf numFmtId="0" fontId="13" fillId="0" borderId="0" xfId="0" applyFont="1" applyFill="1" applyAlignment="1">
      <alignment horizont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3" fillId="0" borderId="11" xfId="0" applyFont="1" applyBorder="1"/>
    <xf numFmtId="0" fontId="3" fillId="0" borderId="15" xfId="0" applyFont="1" applyBorder="1"/>
    <xf numFmtId="0" fontId="3" fillId="0" borderId="1" xfId="0" applyFont="1" applyBorder="1" applyAlignment="1">
      <alignment vertical="center"/>
    </xf>
    <xf numFmtId="0" fontId="3" fillId="0" borderId="16" xfId="0" applyFont="1" applyBorder="1"/>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horizontal="center" vertical="center"/>
    </xf>
    <xf numFmtId="0" fontId="3" fillId="0" borderId="21" xfId="0" applyFont="1" applyBorder="1"/>
    <xf numFmtId="0" fontId="3" fillId="0" borderId="18" xfId="0" applyFont="1" applyBorder="1"/>
    <xf numFmtId="0" fontId="3" fillId="0" borderId="22" xfId="0" applyFont="1" applyBorder="1"/>
    <xf numFmtId="165" fontId="0" fillId="0" borderId="7" xfId="0" applyNumberFormat="1" applyBorder="1" applyAlignment="1">
      <alignment horizontal="center" vertical="center"/>
    </xf>
    <xf numFmtId="165" fontId="0" fillId="5" borderId="7" xfId="0" applyNumberFormat="1" applyFill="1" applyBorder="1" applyAlignment="1">
      <alignment horizontal="center" vertical="center"/>
    </xf>
    <xf numFmtId="0" fontId="0" fillId="5" borderId="7" xfId="0" applyFill="1" applyBorder="1" applyAlignment="1">
      <alignment horizontal="center" vertical="center"/>
    </xf>
    <xf numFmtId="2" fontId="0" fillId="0" borderId="7" xfId="0" quotePrefix="1" applyNumberFormat="1" applyBorder="1" applyAlignment="1">
      <alignment horizontal="center" vertical="center"/>
    </xf>
    <xf numFmtId="2" fontId="0" fillId="0" borderId="7" xfId="0" applyNumberFormat="1" applyBorder="1" applyAlignment="1">
      <alignment horizontal="center" vertical="center"/>
    </xf>
    <xf numFmtId="2" fontId="0" fillId="5" borderId="7" xfId="0" applyNumberFormat="1" applyFill="1" applyBorder="1" applyAlignment="1">
      <alignment horizontal="center" vertical="center"/>
    </xf>
    <xf numFmtId="167" fontId="0" fillId="0" borderId="7" xfId="0" applyNumberFormat="1" applyBorder="1" applyAlignment="1">
      <alignment horizontal="center" vertical="center"/>
    </xf>
    <xf numFmtId="0" fontId="2" fillId="0" borderId="7" xfId="0" applyFont="1" applyBorder="1" applyAlignment="1">
      <alignment horizontal="center" vertical="center"/>
    </xf>
    <xf numFmtId="1" fontId="0" fillId="0" borderId="7" xfId="0" applyNumberFormat="1" applyBorder="1" applyAlignment="1">
      <alignment horizontal="center" vertical="center"/>
    </xf>
    <xf numFmtId="0" fontId="2" fillId="5" borderId="7" xfId="0" applyFont="1" applyFill="1" applyBorder="1" applyAlignment="1">
      <alignment horizontal="center" vertical="center"/>
    </xf>
    <xf numFmtId="2" fontId="0" fillId="5" borderId="7" xfId="0" quotePrefix="1" applyNumberFormat="1" applyFill="1" applyBorder="1" applyAlignment="1">
      <alignment horizontal="center" vertical="center"/>
    </xf>
    <xf numFmtId="168" fontId="0" fillId="0" borderId="7" xfId="1" applyNumberFormat="1" applyFont="1" applyFill="1" applyBorder="1" applyAlignment="1">
      <alignment horizontal="center" vertical="center"/>
    </xf>
    <xf numFmtId="168" fontId="0" fillId="0" borderId="7" xfId="0" applyNumberFormat="1" applyBorder="1" applyAlignment="1">
      <alignment horizontal="center" vertical="center"/>
    </xf>
    <xf numFmtId="168" fontId="0" fillId="0" borderId="7" xfId="1" applyNumberFormat="1" applyFont="1" applyBorder="1" applyAlignment="1">
      <alignment horizontal="center" vertical="center"/>
    </xf>
    <xf numFmtId="0" fontId="8" fillId="0" borderId="7" xfId="4" applyBorder="1" applyAlignment="1">
      <alignment horizontal="center" vertical="center"/>
    </xf>
    <xf numFmtId="164" fontId="0" fillId="0" borderId="7" xfId="0" applyNumberFormat="1" applyBorder="1" applyAlignment="1">
      <alignment horizontal="center" vertical="center"/>
    </xf>
    <xf numFmtId="0" fontId="3" fillId="0" borderId="1" xfId="0" applyFont="1" applyBorder="1"/>
    <xf numFmtId="0" fontId="3" fillId="5" borderId="1" xfId="0" applyFont="1" applyFill="1" applyBorder="1"/>
    <xf numFmtId="0" fontId="3" fillId="0" borderId="17" xfId="0" applyFont="1" applyBorder="1"/>
    <xf numFmtId="0" fontId="3" fillId="0" borderId="19" xfId="0" applyFont="1" applyBorder="1"/>
    <xf numFmtId="0" fontId="3" fillId="0" borderId="20" xfId="0" applyFont="1" applyBorder="1" applyAlignment="1">
      <alignment horizontal="center"/>
    </xf>
    <xf numFmtId="0" fontId="4" fillId="3" borderId="20" xfId="0" applyFont="1" applyFill="1" applyBorder="1" applyAlignment="1">
      <alignment horizontal="center"/>
    </xf>
    <xf numFmtId="0" fontId="6" fillId="4" borderId="9" xfId="0" applyFont="1" applyFill="1" applyBorder="1" applyAlignment="1" applyProtection="1">
      <alignment horizontal="center"/>
      <protection locked="0"/>
    </xf>
    <xf numFmtId="170" fontId="3" fillId="0" borderId="7" xfId="0" applyNumberFormat="1" applyFont="1" applyBorder="1" applyAlignment="1">
      <alignment horizontal="center"/>
    </xf>
    <xf numFmtId="0" fontId="3" fillId="2" borderId="7" xfId="0" applyFont="1" applyFill="1" applyBorder="1" applyAlignment="1">
      <alignment horizontal="center"/>
    </xf>
    <xf numFmtId="2" fontId="3" fillId="2" borderId="7" xfId="0" applyNumberFormat="1" applyFont="1" applyFill="1" applyBorder="1" applyAlignment="1">
      <alignment horizontal="center"/>
    </xf>
    <xf numFmtId="0" fontId="3" fillId="3" borderId="7" xfId="0" applyFont="1" applyFill="1" applyBorder="1" applyAlignment="1">
      <alignment horizontal="center"/>
    </xf>
    <xf numFmtId="0" fontId="14" fillId="4" borderId="7" xfId="0" applyFont="1" applyFill="1" applyBorder="1" applyAlignment="1" applyProtection="1">
      <alignment horizontal="center"/>
      <protection locked="0"/>
    </xf>
    <xf numFmtId="2" fontId="3" fillId="3" borderId="7" xfId="0" applyNumberFormat="1" applyFont="1" applyFill="1" applyBorder="1" applyAlignment="1">
      <alignment horizontal="center"/>
    </xf>
    <xf numFmtId="0" fontId="3" fillId="3" borderId="20" xfId="0" applyFont="1" applyFill="1" applyBorder="1" applyAlignment="1">
      <alignment horizontal="center"/>
    </xf>
    <xf numFmtId="0" fontId="2" fillId="3" borderId="6" xfId="0" applyFont="1" applyFill="1" applyBorder="1" applyAlignment="1" applyProtection="1">
      <alignment horizontal="center" vertical="center"/>
      <protection locked="0"/>
    </xf>
    <xf numFmtId="0" fontId="3" fillId="3" borderId="7" xfId="0" applyFont="1" applyFill="1" applyBorder="1" applyAlignment="1">
      <alignment horizontal="center" vertical="center"/>
    </xf>
    <xf numFmtId="2" fontId="3" fillId="3" borderId="7" xfId="0" applyNumberFormat="1" applyFont="1" applyFill="1" applyBorder="1" applyAlignment="1">
      <alignment horizontal="center" vertical="center"/>
    </xf>
    <xf numFmtId="0" fontId="14" fillId="4" borderId="6" xfId="0" applyFont="1" applyFill="1" applyBorder="1" applyAlignment="1" applyProtection="1">
      <alignment horizontal="center" vertical="center"/>
      <protection locked="0"/>
    </xf>
    <xf numFmtId="0" fontId="3" fillId="0" borderId="6" xfId="0" applyFont="1" applyBorder="1" applyAlignment="1">
      <alignment horizontal="left"/>
    </xf>
    <xf numFmtId="1" fontId="2" fillId="3" borderId="5" xfId="0" applyNumberFormat="1" applyFont="1" applyFill="1" applyBorder="1" applyAlignment="1" applyProtection="1">
      <alignment horizontal="center" vertical="center"/>
      <protection locked="0"/>
    </xf>
    <xf numFmtId="0" fontId="3" fillId="0" borderId="6" xfId="0" quotePrefix="1" applyFont="1" applyBorder="1" applyAlignment="1">
      <alignment horizontal="left" vertical="top"/>
    </xf>
    <xf numFmtId="0" fontId="3" fillId="3" borderId="20" xfId="0" applyFont="1" applyFill="1" applyBorder="1" applyAlignment="1">
      <alignment horizontal="center" vertical="center"/>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3" fillId="0" borderId="6" xfId="0" applyFont="1" applyBorder="1" applyAlignment="1">
      <alignment horizontal="left" wrapText="1"/>
    </xf>
    <xf numFmtId="0" fontId="3" fillId="0" borderId="5" xfId="0" applyFont="1" applyBorder="1" applyAlignment="1">
      <alignment horizontal="left" wrapText="1"/>
    </xf>
    <xf numFmtId="0" fontId="3" fillId="0" borderId="16" xfId="0" applyFont="1" applyBorder="1" applyAlignment="1">
      <alignment horizontal="left" wrapText="1"/>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Border="1" applyAlignment="1">
      <alignment horizontal="left" vertical="top"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cellXfs>
  <cellStyles count="5">
    <cellStyle name="Comma" xfId="1" builtinId="3"/>
    <cellStyle name="Currency" xfId="2" builtinId="4"/>
    <cellStyle name="Hyperlink" xfId="4" builtinId="8"/>
    <cellStyle name="Normal" xfId="0" builtinId="0"/>
    <cellStyle name="Percent" xfId="3" builtinId="5"/>
  </cellStyles>
  <dxfs count="24">
    <dxf>
      <font>
        <b/>
        <i val="0"/>
        <color theme="1"/>
      </font>
      <fill>
        <patternFill>
          <bgColor theme="9" tint="0.59996337778862885"/>
        </patternFill>
      </fill>
    </dxf>
    <dxf>
      <font>
        <b/>
        <i val="0"/>
        <color theme="1"/>
      </font>
      <fill>
        <patternFill>
          <bgColor rgb="FF00B050"/>
        </patternFill>
      </fill>
    </dxf>
    <dxf>
      <font>
        <b val="0"/>
        <i val="0"/>
        <color theme="0" tint="-0.499984740745262"/>
      </font>
      <fill>
        <patternFill>
          <bgColor theme="0" tint="-0.499984740745262"/>
        </patternFill>
      </fill>
    </dxf>
    <dxf>
      <font>
        <color rgb="FF9C0006"/>
      </font>
      <fill>
        <patternFill>
          <bgColor rgb="FFFFC7CE"/>
        </patternFill>
      </fill>
    </dxf>
    <dxf>
      <font>
        <b/>
        <i val="0"/>
        <color theme="1"/>
      </font>
      <fill>
        <patternFill>
          <bgColor rgb="FF00B050"/>
        </patternFill>
      </fill>
    </dxf>
    <dxf>
      <font>
        <color theme="0" tint="-0.499984740745262"/>
      </font>
      <fill>
        <patternFill>
          <bgColor theme="0" tint="-0.499984740745262"/>
        </patternFill>
      </fill>
    </dxf>
    <dxf>
      <font>
        <b/>
        <i val="0"/>
        <color theme="1"/>
      </font>
      <fill>
        <patternFill>
          <bgColor rgb="FF00B050"/>
        </patternFill>
      </fill>
    </dxf>
    <dxf>
      <font>
        <color theme="0" tint="-0.499984740745262"/>
      </font>
      <fill>
        <patternFill>
          <bgColor theme="0" tint="-0.499984740745262"/>
        </patternFill>
      </fill>
    </dxf>
    <dxf>
      <font>
        <b/>
        <i val="0"/>
        <color theme="1"/>
      </font>
      <fill>
        <patternFill>
          <bgColor rgb="FF00B050"/>
        </patternFill>
      </fill>
    </dxf>
    <dxf>
      <font>
        <b val="0"/>
        <i val="0"/>
        <color theme="0" tint="-0.499984740745262"/>
      </font>
      <fill>
        <patternFill>
          <bgColor theme="0" tint="-0.499984740745262"/>
        </patternFill>
      </fill>
    </dxf>
    <dxf>
      <font>
        <b/>
        <i val="0"/>
        <color theme="1"/>
      </font>
      <fill>
        <patternFill>
          <bgColor rgb="FF00B050"/>
        </patternFill>
      </fill>
    </dxf>
    <dxf>
      <font>
        <color theme="0" tint="-0.499984740745262"/>
      </font>
      <fill>
        <patternFill>
          <bgColor theme="0" tint="-0.499984740745262"/>
        </patternFill>
      </fill>
    </dxf>
    <dxf>
      <font>
        <b/>
        <i val="0"/>
        <color theme="1"/>
      </font>
      <fill>
        <patternFill>
          <bgColor rgb="FF00B050"/>
        </patternFill>
      </fill>
    </dxf>
    <dxf>
      <font>
        <color theme="0" tint="-0.499984740745262"/>
      </font>
      <fill>
        <patternFill>
          <bgColor theme="0" tint="-0.499984740745262"/>
        </patternFill>
      </fill>
    </dxf>
    <dxf>
      <font>
        <b/>
        <i val="0"/>
        <color theme="1"/>
      </font>
      <fill>
        <patternFill>
          <bgColor rgb="FF00B050"/>
        </patternFill>
      </fill>
    </dxf>
    <dxf>
      <font>
        <color theme="0" tint="-0.499984740745262"/>
      </font>
      <fill>
        <patternFill>
          <bgColor theme="0" tint="-0.499984740745262"/>
        </patternFill>
      </fill>
    </dxf>
    <dxf>
      <font>
        <b/>
        <i val="0"/>
        <color rgb="FF00B050"/>
      </font>
    </dxf>
    <dxf>
      <font>
        <color rgb="FF006100"/>
      </font>
      <fill>
        <patternFill>
          <bgColor rgb="FFC6EFCE"/>
        </patternFill>
      </fill>
    </dxf>
    <dxf>
      <font>
        <b/>
        <i val="0"/>
        <color auto="1"/>
      </font>
      <fill>
        <patternFill>
          <bgColor rgb="FF00B050"/>
        </patternFill>
      </fill>
      <border>
        <left style="thin">
          <color auto="1"/>
        </left>
        <right style="thin">
          <color auto="1"/>
        </right>
        <top style="thin">
          <color auto="1"/>
        </top>
        <bottom style="thin">
          <color auto="1"/>
        </bottom>
        <vertical/>
        <horizontal/>
      </border>
    </dxf>
    <dxf>
      <fill>
        <patternFill>
          <bgColor theme="0" tint="-0.499984740745262"/>
        </patternFill>
      </fill>
    </dxf>
    <dxf>
      <fill>
        <gradientFill degree="90">
          <stop position="0">
            <color theme="0"/>
          </stop>
          <stop position="1">
            <color theme="4"/>
          </stop>
        </gradientFill>
      </fill>
    </dxf>
    <dxf>
      <font>
        <color theme="0" tint="-0.499984740745262"/>
      </font>
      <fill>
        <patternFill>
          <bgColor theme="0" tint="-0.499984740745262"/>
        </patternFill>
      </fill>
    </dxf>
    <dxf>
      <font>
        <color rgb="FF006100"/>
      </font>
      <fill>
        <patternFill>
          <bgColor rgb="FFC6EFCE"/>
        </patternFill>
      </fill>
    </dxf>
    <dxf>
      <font>
        <b/>
        <i val="0"/>
        <strike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95" dropStyle="combo" dx="16" fmlaLink="$I$10" fmlaRange="$B$101:$B$102" noThreeD="1" sel="1" val="0"/>
</file>

<file path=xl/ctrlProps/ctrlProp10.xml><?xml version="1.0" encoding="utf-8"?>
<formControlPr xmlns="http://schemas.microsoft.com/office/spreadsheetml/2009/9/main" objectType="CheckBox" fmlaLink="$I$4" lockText="1" noThreeD="1"/>
</file>

<file path=xl/ctrlProps/ctrlProp11.xml><?xml version="1.0" encoding="utf-8"?>
<formControlPr xmlns="http://schemas.microsoft.com/office/spreadsheetml/2009/9/main" objectType="CheckBox" checked="Checked" fmlaLink="$B$111" lockText="1" noThreeD="1"/>
</file>

<file path=xl/ctrlProps/ctrlProp12.xml><?xml version="1.0" encoding="utf-8"?>
<formControlPr xmlns="http://schemas.microsoft.com/office/spreadsheetml/2009/9/main" objectType="Drop" dropLines="95" dropStyle="combo" dx="16" fmlaLink="$I$10" fmlaRange="$B$102:$B$103" noThreeD="1" sel="1" val="0"/>
</file>

<file path=xl/ctrlProps/ctrlProp13.xml><?xml version="1.0" encoding="utf-8"?>
<formControlPr xmlns="http://schemas.microsoft.com/office/spreadsheetml/2009/9/main" objectType="CheckBox" fmlaLink="$I$3" lockText="1" noThreeD="1"/>
</file>

<file path=xl/ctrlProps/ctrlProp14.xml><?xml version="1.0" encoding="utf-8"?>
<formControlPr xmlns="http://schemas.microsoft.com/office/spreadsheetml/2009/9/main" objectType="CheckBox" fmlaLink="$I$3" lockText="1" noThreeD="1"/>
</file>

<file path=xl/ctrlProps/ctrlProp15.xml><?xml version="1.0" encoding="utf-8"?>
<formControlPr xmlns="http://schemas.microsoft.com/office/spreadsheetml/2009/9/main" objectType="CheckBox" checked="Checked" fmlaLink="$B$113" lockText="1" noThreeD="1"/>
</file>

<file path=xl/ctrlProps/ctrlProp16.xml><?xml version="1.0" encoding="utf-8"?>
<formControlPr xmlns="http://schemas.microsoft.com/office/spreadsheetml/2009/9/main" objectType="Drop" dropLines="95" dropStyle="combo" dx="16" fmlaLink="$I$10" fmlaRange="$B$103:$B$105" noThreeD="1" sel="3" val="0"/>
</file>

<file path=xl/ctrlProps/ctrlProp17.xml><?xml version="1.0" encoding="utf-8"?>
<formControlPr xmlns="http://schemas.microsoft.com/office/spreadsheetml/2009/9/main" objectType="CheckBox" fmlaLink="$I$3" lockText="1" noThreeD="1"/>
</file>

<file path=xl/ctrlProps/ctrlProp18.xml><?xml version="1.0" encoding="utf-8"?>
<formControlPr xmlns="http://schemas.microsoft.com/office/spreadsheetml/2009/9/main" objectType="CheckBox" fmlaLink="$I$3" lockText="1" noThreeD="1"/>
</file>

<file path=xl/ctrlProps/ctrlProp19.xml><?xml version="1.0" encoding="utf-8"?>
<formControlPr xmlns="http://schemas.microsoft.com/office/spreadsheetml/2009/9/main" objectType="CheckBox" checked="Checked" fmlaLink="$B$108" lockText="1" noThreeD="1"/>
</file>

<file path=xl/ctrlProps/ctrlProp2.xml><?xml version="1.0" encoding="utf-8"?>
<formControlPr xmlns="http://schemas.microsoft.com/office/spreadsheetml/2009/9/main" objectType="Drop" dropLines="4" dropStyle="combo" dx="16" fmlaLink="$I$3" fmlaRange="$B$107:$B$110" noThreeD="1" sel="2" val="0"/>
</file>

<file path=xl/ctrlProps/ctrlProp20.xml><?xml version="1.0" encoding="utf-8"?>
<formControlPr xmlns="http://schemas.microsoft.com/office/spreadsheetml/2009/9/main" objectType="Drop" dropLines="95" dropStyle="combo" dx="31" fmlaLink="$I$9" fmlaRange="$B$98:$B$100" noThreeD="1" sel="1" val="0"/>
</file>

<file path=xl/ctrlProps/ctrlProp21.xml><?xml version="1.0" encoding="utf-8"?>
<formControlPr xmlns="http://schemas.microsoft.com/office/spreadsheetml/2009/9/main" objectType="CheckBox" fmlaLink="$I$3" lockText="1" noThreeD="1"/>
</file>

<file path=xl/ctrlProps/ctrlProp22.xml><?xml version="1.0" encoding="utf-8"?>
<formControlPr xmlns="http://schemas.microsoft.com/office/spreadsheetml/2009/9/main" objectType="CheckBox" fmlaLink="$I$3" lockText="1" noThreeD="1"/>
</file>

<file path=xl/ctrlProps/ctrlProp23.xml><?xml version="1.0" encoding="utf-8"?>
<formControlPr xmlns="http://schemas.microsoft.com/office/spreadsheetml/2009/9/main" objectType="CheckBox" fmlaLink="$B$108" lockText="1" noThreeD="1"/>
</file>

<file path=xl/ctrlProps/ctrlProp24.xml><?xml version="1.0" encoding="utf-8"?>
<formControlPr xmlns="http://schemas.microsoft.com/office/spreadsheetml/2009/9/main" objectType="Drop" dropLines="95" dropStyle="combo" dx="31" fmlaLink="$I$9" fmlaRange="$B$98:$B$100" noThreeD="1" sel="3" val="0"/>
</file>

<file path=xl/ctrlProps/ctrlProp25.xml><?xml version="1.0" encoding="utf-8"?>
<formControlPr xmlns="http://schemas.microsoft.com/office/spreadsheetml/2009/9/main" objectType="CheckBox" fmlaLink="$I$3" lockText="1" noThreeD="1"/>
</file>

<file path=xl/ctrlProps/ctrlProp26.xml><?xml version="1.0" encoding="utf-8"?>
<formControlPr xmlns="http://schemas.microsoft.com/office/spreadsheetml/2009/9/main" objectType="CheckBox" fmlaLink="$I$3" lockText="1" noThreeD="1"/>
</file>

<file path=xl/ctrlProps/ctrlProp27.xml><?xml version="1.0" encoding="utf-8"?>
<formControlPr xmlns="http://schemas.microsoft.com/office/spreadsheetml/2009/9/main" objectType="CheckBox" checked="Checked" fmlaLink="$B$110" lockText="1" noThreeD="1"/>
</file>

<file path=xl/ctrlProps/ctrlProp28.xml><?xml version="1.0" encoding="utf-8"?>
<formControlPr xmlns="http://schemas.microsoft.com/office/spreadsheetml/2009/9/main" objectType="Drop" dropLines="95" dropStyle="combo" dx="31" fmlaLink="$I$9" fmlaRange="$B$100:$B$102" noThreeD="1" sel="3" val="0"/>
</file>

<file path=xl/ctrlProps/ctrlProp29.xml><?xml version="1.0" encoding="utf-8"?>
<formControlPr xmlns="http://schemas.microsoft.com/office/spreadsheetml/2009/9/main" objectType="CheckBox" fmlaLink="$I$3" lockText="1" noThreeD="1"/>
</file>

<file path=xl/ctrlProps/ctrlProp3.xml><?xml version="1.0" encoding="utf-8"?>
<formControlPr xmlns="http://schemas.microsoft.com/office/spreadsheetml/2009/9/main" objectType="CheckBox" checked="Checked" fmlaLink="$B$113" lockText="1" noThreeD="1"/>
</file>

<file path=xl/ctrlProps/ctrlProp30.xml><?xml version="1.0" encoding="utf-8"?>
<formControlPr xmlns="http://schemas.microsoft.com/office/spreadsheetml/2009/9/main" objectType="CheckBox" fmlaLink="$I$3" lockText="1" noThreeD="1"/>
</file>

<file path=xl/ctrlProps/ctrlProp31.xml><?xml version="1.0" encoding="utf-8"?>
<formControlPr xmlns="http://schemas.microsoft.com/office/spreadsheetml/2009/9/main" objectType="Drop" dropLines="3" dropStyle="combo" dx="31" fmlaLink="$I$4" fmlaRange="$B$105:$B$107" noThreeD="1" sel="2" val="0"/>
</file>

<file path=xl/ctrlProps/ctrlProp32.xml><?xml version="1.0" encoding="utf-8"?>
<formControlPr xmlns="http://schemas.microsoft.com/office/spreadsheetml/2009/9/main" objectType="CheckBox" fmlaLink="$B$101" lockText="1" noThreeD="1"/>
</file>

<file path=xl/ctrlProps/ctrlProp33.xml><?xml version="1.0" encoding="utf-8"?>
<formControlPr xmlns="http://schemas.microsoft.com/office/spreadsheetml/2009/9/main" objectType="Drop" dropLines="95" dropStyle="combo" dx="31" fmlaLink="$I$9" fmlaRange="#REF!" noThreeD="1" sel="0" val="0"/>
</file>

<file path=xl/ctrlProps/ctrlProp34.xml><?xml version="1.0" encoding="utf-8"?>
<formControlPr xmlns="http://schemas.microsoft.com/office/spreadsheetml/2009/9/main" objectType="CheckBox" fmlaLink="$I$3" lockText="1" noThreeD="1"/>
</file>

<file path=xl/ctrlProps/ctrlProp35.xml><?xml version="1.0" encoding="utf-8"?>
<formControlPr xmlns="http://schemas.microsoft.com/office/spreadsheetml/2009/9/main" objectType="CheckBox" fmlaLink="$I$3" lockText="1" noThreeD="1"/>
</file>

<file path=xl/ctrlProps/ctrlProp36.xml><?xml version="1.0" encoding="utf-8"?>
<formControlPr xmlns="http://schemas.microsoft.com/office/spreadsheetml/2009/9/main" objectType="Drop" dropLines="95" dropStyle="combo" dx="31" fmlaLink="$I$9" fmlaRange="$B$123:$B$125" noThreeD="1" sel="3" val="0"/>
</file>

<file path=xl/ctrlProps/ctrlProp37.xml><?xml version="1.0" encoding="utf-8"?>
<formControlPr xmlns="http://schemas.microsoft.com/office/spreadsheetml/2009/9/main" objectType="Drop" dropLines="95" dropStyle="combo" dx="31" fmlaLink="$I$10" fmlaRange="$B$97:$B$98" noThreeD="1" sel="2" val="0"/>
</file>

<file path=xl/ctrlProps/ctrlProp38.xml><?xml version="1.0" encoding="utf-8"?>
<formControlPr xmlns="http://schemas.microsoft.com/office/spreadsheetml/2009/9/main" objectType="CheckBox" fmlaLink="$B$133" lockText="1" noThreeD="1"/>
</file>

<file path=xl/ctrlProps/ctrlProp39.xml><?xml version="1.0" encoding="utf-8"?>
<formControlPr xmlns="http://schemas.microsoft.com/office/spreadsheetml/2009/9/main" objectType="CheckBox" checked="Checked" fmlaLink="$B$129" lockText="1" noThreeD="1"/>
</file>

<file path=xl/ctrlProps/ctrlProp4.xml><?xml version="1.0" encoding="utf-8"?>
<formControlPr xmlns="http://schemas.microsoft.com/office/spreadsheetml/2009/9/main" objectType="CheckBox" checked="Checked" fmlaLink="$B$116" lockText="1" noThreeD="1"/>
</file>

<file path=xl/ctrlProps/ctrlProp40.xml><?xml version="1.0" encoding="utf-8"?>
<formControlPr xmlns="http://schemas.microsoft.com/office/spreadsheetml/2009/9/main" objectType="CheckBox" checked="Checked" fmlaLink="$B$132" lockText="1" noThreeD="1"/>
</file>

<file path=xl/ctrlProps/ctrlProp41.xml><?xml version="1.0" encoding="utf-8"?>
<formControlPr xmlns="http://schemas.microsoft.com/office/spreadsheetml/2009/9/main" objectType="Drop" dropLines="95" dropStyle="combo" dx="31" fmlaLink="$I$10" fmlaRange="$B$97:$B$98" noThreeD="1" sel="2" val="0"/>
</file>

<file path=xl/ctrlProps/ctrlProp42.xml><?xml version="1.0" encoding="utf-8"?>
<formControlPr xmlns="http://schemas.microsoft.com/office/spreadsheetml/2009/9/main" objectType="Drop" dropLines="95" dropStyle="combo" dx="31" fmlaLink="$I$9" fmlaRange="$B$123:$B$125" noThreeD="1" sel="3" val="0"/>
</file>

<file path=xl/ctrlProps/ctrlProp43.xml><?xml version="1.0" encoding="utf-8"?>
<formControlPr xmlns="http://schemas.microsoft.com/office/spreadsheetml/2009/9/main" objectType="Drop" dropLines="95" dropStyle="combo" dx="31" fmlaLink="$I$11" fmlaRange="#REF!" noThreeD="1" sel="0" val="0"/>
</file>

<file path=xl/ctrlProps/ctrlProp44.xml><?xml version="1.0" encoding="utf-8"?>
<formControlPr xmlns="http://schemas.microsoft.com/office/spreadsheetml/2009/9/main" objectType="Drop" dropLines="95" dropStyle="combo" dx="31" fmlaLink="$I$11" fmlaRange="$B$135:$B$138" noThreeD="1" sel="1" val="0"/>
</file>

<file path=xl/ctrlProps/ctrlProp45.xml><?xml version="1.0" encoding="utf-8"?>
<formControlPr xmlns="http://schemas.microsoft.com/office/spreadsheetml/2009/9/main" objectType="Drop" dropLines="95" dropStyle="combo" dx="31" fmlaLink="$I$11" fmlaRange="$B$135:$B$138" noThreeD="1" sel="1" val="0"/>
</file>

<file path=xl/ctrlProps/ctrlProp5.xml><?xml version="1.0" encoding="utf-8"?>
<formControlPr xmlns="http://schemas.microsoft.com/office/spreadsheetml/2009/9/main" objectType="CheckBox" fmlaLink="$I$4" lockText="1" noThreeD="1"/>
</file>

<file path=xl/ctrlProps/ctrlProp6.xml><?xml version="1.0" encoding="utf-8"?>
<formControlPr xmlns="http://schemas.microsoft.com/office/spreadsheetml/2009/9/main" objectType="Drop" dropLines="95" dropStyle="combo" dx="16" fmlaLink="$I$10" fmlaRange="$B$102:$B$104" noThreeD="1" sel="3" val="0"/>
</file>

<file path=xl/ctrlProps/ctrlProp7.xml><?xml version="1.0" encoding="utf-8"?>
<formControlPr xmlns="http://schemas.microsoft.com/office/spreadsheetml/2009/9/main" objectType="Drop" dropLines="4" dropStyle="combo" dx="16" fmlaLink="$I$3" fmlaRange="$B$108:$B$111" noThreeD="1" sel="2" val="0"/>
</file>

<file path=xl/ctrlProps/ctrlProp8.xml><?xml version="1.0" encoding="utf-8"?>
<formControlPr xmlns="http://schemas.microsoft.com/office/spreadsheetml/2009/9/main" objectType="CheckBox" checked="Checked" fmlaLink="$B$114" lockText="1" noThreeD="1"/>
</file>

<file path=xl/ctrlProps/ctrlProp9.xml><?xml version="1.0" encoding="utf-8"?>
<formControlPr xmlns="http://schemas.microsoft.com/office/spreadsheetml/2009/9/main" objectType="CheckBox" checked="Checked" fmlaLink="$B$11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9</xdr:row>
          <xdr:rowOff>19050</xdr:rowOff>
        </xdr:from>
        <xdr:to>
          <xdr:col>9</xdr:col>
          <xdr:colOff>69850</xdr:colOff>
          <xdr:row>10</xdr:row>
          <xdr:rowOff>50800</xdr:rowOff>
        </xdr:to>
        <xdr:sp macro="" textlink="">
          <xdr:nvSpPr>
            <xdr:cNvPr id="22529" name="Drop Down 1"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0</xdr:rowOff>
        </xdr:from>
        <xdr:to>
          <xdr:col>9</xdr:col>
          <xdr:colOff>12700</xdr:colOff>
          <xdr:row>3</xdr:row>
          <xdr:rowOff>0</xdr:rowOff>
        </xdr:to>
        <xdr:sp macro="" textlink="">
          <xdr:nvSpPr>
            <xdr:cNvPr id="22530" name="Drop Down 2"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127000</xdr:rowOff>
        </xdr:from>
        <xdr:to>
          <xdr:col>5</xdr:col>
          <xdr:colOff>228600</xdr:colOff>
          <xdr:row>20</xdr:row>
          <xdr:rowOff>114300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18</xdr:row>
          <xdr:rowOff>12700</xdr:rowOff>
        </xdr:from>
        <xdr:to>
          <xdr:col>5</xdr:col>
          <xdr:colOff>190500</xdr:colOff>
          <xdr:row>19</xdr:row>
          <xdr:rowOff>19050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171450</xdr:rowOff>
        </xdr:from>
        <xdr:to>
          <xdr:col>8</xdr:col>
          <xdr:colOff>393700</xdr:colOff>
          <xdr:row>4</xdr:row>
          <xdr:rowOff>38100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9</xdr:row>
          <xdr:rowOff>19050</xdr:rowOff>
        </xdr:from>
        <xdr:to>
          <xdr:col>9</xdr:col>
          <xdr:colOff>69850</xdr:colOff>
          <xdr:row>10</xdr:row>
          <xdr:rowOff>57150</xdr:rowOff>
        </xdr:to>
        <xdr:sp macro="" textlink="">
          <xdr:nvSpPr>
            <xdr:cNvPr id="23553" name="Drop Down 1"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0</xdr:rowOff>
        </xdr:from>
        <xdr:to>
          <xdr:col>9</xdr:col>
          <xdr:colOff>12700</xdr:colOff>
          <xdr:row>3</xdr:row>
          <xdr:rowOff>0</xdr:rowOff>
        </xdr:to>
        <xdr:sp macro="" textlink="">
          <xdr:nvSpPr>
            <xdr:cNvPr id="23554" name="Drop Down 2" hidden="1">
              <a:extLst>
                <a:ext uri="{63B3BB69-23CF-44E3-9099-C40C66FF867C}">
                  <a14:compatExt spid="_x0000_s23554"/>
                </a:ext>
                <a:ext uri="{FF2B5EF4-FFF2-40B4-BE49-F238E27FC236}">
                  <a16:creationId xmlns:a16="http://schemas.microsoft.com/office/drawing/2014/main" id="{00000000-0008-0000-0200-00000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127000</xdr:rowOff>
        </xdr:from>
        <xdr:to>
          <xdr:col>5</xdr:col>
          <xdr:colOff>228600</xdr:colOff>
          <xdr:row>20</xdr:row>
          <xdr:rowOff>114300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200-000003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18</xdr:row>
          <xdr:rowOff>12700</xdr:rowOff>
        </xdr:from>
        <xdr:to>
          <xdr:col>5</xdr:col>
          <xdr:colOff>203200</xdr:colOff>
          <xdr:row>19</xdr:row>
          <xdr:rowOff>19050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200-000004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171450</xdr:rowOff>
        </xdr:from>
        <xdr:to>
          <xdr:col>8</xdr:col>
          <xdr:colOff>412750</xdr:colOff>
          <xdr:row>4</xdr:row>
          <xdr:rowOff>38100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590550</xdr:colOff>
          <xdr:row>19</xdr:row>
          <xdr:rowOff>171450</xdr:rowOff>
        </xdr:from>
        <xdr:to>
          <xdr:col>5</xdr:col>
          <xdr:colOff>184150</xdr:colOff>
          <xdr:row>20</xdr:row>
          <xdr:rowOff>165100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19050</xdr:rowOff>
        </xdr:from>
        <xdr:to>
          <xdr:col>9</xdr:col>
          <xdr:colOff>69850</xdr:colOff>
          <xdr:row>10</xdr:row>
          <xdr:rowOff>57150</xdr:rowOff>
        </xdr:to>
        <xdr:sp macro="" textlink="">
          <xdr:nvSpPr>
            <xdr:cNvPr id="24578" name="Drop Down 2" hidden="1">
              <a:extLst>
                <a:ext uri="{63B3BB69-23CF-44E3-9099-C40C66FF867C}">
                  <a14:compatExt spid="_x0000_s24578"/>
                </a:ext>
                <a:ext uri="{FF2B5EF4-FFF2-40B4-BE49-F238E27FC236}">
                  <a16:creationId xmlns:a16="http://schemas.microsoft.com/office/drawing/2014/main" id="{00000000-0008-0000-0300-00000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412750</xdr:colOff>
          <xdr:row>3</xdr:row>
          <xdr:rowOff>38100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412750</xdr:colOff>
          <xdr:row>3</xdr:row>
          <xdr:rowOff>38100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590550</xdr:colOff>
          <xdr:row>19</xdr:row>
          <xdr:rowOff>171450</xdr:rowOff>
        </xdr:from>
        <xdr:to>
          <xdr:col>5</xdr:col>
          <xdr:colOff>184150</xdr:colOff>
          <xdr:row>20</xdr:row>
          <xdr:rowOff>165100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19050</xdr:rowOff>
        </xdr:from>
        <xdr:to>
          <xdr:col>9</xdr:col>
          <xdr:colOff>69850</xdr:colOff>
          <xdr:row>10</xdr:row>
          <xdr:rowOff>57150</xdr:rowOff>
        </xdr:to>
        <xdr:sp macro="" textlink="">
          <xdr:nvSpPr>
            <xdr:cNvPr id="25602" name="Drop Down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412750</xdr:colOff>
          <xdr:row>3</xdr:row>
          <xdr:rowOff>38100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412750</xdr:colOff>
          <xdr:row>3</xdr:row>
          <xdr:rowOff>38100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590550</xdr:colOff>
          <xdr:row>16</xdr:row>
          <xdr:rowOff>171450</xdr:rowOff>
        </xdr:from>
        <xdr:to>
          <xdr:col>5</xdr:col>
          <xdr:colOff>165100</xdr:colOff>
          <xdr:row>17</xdr:row>
          <xdr:rowOff>152400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889000</xdr:colOff>
          <xdr:row>7</xdr:row>
          <xdr:rowOff>184150</xdr:rowOff>
        </xdr:from>
        <xdr:to>
          <xdr:col>9</xdr:col>
          <xdr:colOff>50800</xdr:colOff>
          <xdr:row>9</xdr:row>
          <xdr:rowOff>50800</xdr:rowOff>
        </xdr:to>
        <xdr:sp macro="" textlink="">
          <xdr:nvSpPr>
            <xdr:cNvPr id="18434" name="Drop Down 2" hidden="1">
              <a:extLst>
                <a:ext uri="{63B3BB69-23CF-44E3-9099-C40C66FF867C}">
                  <a14:compatExt spid="_x0000_s18434"/>
                </a:ext>
                <a:ext uri="{FF2B5EF4-FFF2-40B4-BE49-F238E27FC236}">
                  <a16:creationId xmlns:a16="http://schemas.microsoft.com/office/drawing/2014/main" id="{00000000-0008-0000-0500-000002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412750</xdr:colOff>
          <xdr:row>3</xdr:row>
          <xdr:rowOff>31750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412750</xdr:colOff>
          <xdr:row>3</xdr:row>
          <xdr:rowOff>31750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590550</xdr:colOff>
          <xdr:row>16</xdr:row>
          <xdr:rowOff>171450</xdr:rowOff>
        </xdr:from>
        <xdr:to>
          <xdr:col>5</xdr:col>
          <xdr:colOff>165100</xdr:colOff>
          <xdr:row>17</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889000</xdr:colOff>
          <xdr:row>7</xdr:row>
          <xdr:rowOff>184150</xdr:rowOff>
        </xdr:from>
        <xdr:to>
          <xdr:col>9</xdr:col>
          <xdr:colOff>50800</xdr:colOff>
          <xdr:row>9</xdr:row>
          <xdr:rowOff>50800</xdr:rowOff>
        </xdr:to>
        <xdr:sp macro="" textlink="">
          <xdr:nvSpPr>
            <xdr:cNvPr id="17410" name="Drop Down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412750</xdr:colOff>
          <xdr:row>3</xdr:row>
          <xdr:rowOff>31750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412750</xdr:colOff>
          <xdr:row>3</xdr:row>
          <xdr:rowOff>31750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16</xdr:row>
          <xdr:rowOff>171450</xdr:rowOff>
        </xdr:from>
        <xdr:to>
          <xdr:col>5</xdr:col>
          <xdr:colOff>165100</xdr:colOff>
          <xdr:row>16</xdr:row>
          <xdr:rowOff>342900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600-00000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9</xdr:col>
          <xdr:colOff>69850</xdr:colOff>
          <xdr:row>9</xdr:row>
          <xdr:rowOff>0</xdr:rowOff>
        </xdr:to>
        <xdr:sp macro="" textlink="">
          <xdr:nvSpPr>
            <xdr:cNvPr id="17415" name="Drop Down 7" hidden="1">
              <a:extLst>
                <a:ext uri="{63B3BB69-23CF-44E3-9099-C40C66FF867C}">
                  <a14:compatExt spid="_x0000_s17415"/>
                </a:ext>
                <a:ext uri="{FF2B5EF4-FFF2-40B4-BE49-F238E27FC236}">
                  <a16:creationId xmlns:a16="http://schemas.microsoft.com/office/drawing/2014/main" id="{00000000-0008-0000-0600-00000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412750</xdr:colOff>
          <xdr:row>3</xdr:row>
          <xdr:rowOff>31750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6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412750</xdr:colOff>
          <xdr:row>3</xdr:row>
          <xdr:rowOff>31750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6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xdr:row>
          <xdr:rowOff>19050</xdr:rowOff>
        </xdr:from>
        <xdr:to>
          <xdr:col>9</xdr:col>
          <xdr:colOff>127000</xdr:colOff>
          <xdr:row>3</xdr:row>
          <xdr:rowOff>241300</xdr:rowOff>
        </xdr:to>
        <xdr:sp macro="" textlink="">
          <xdr:nvSpPr>
            <xdr:cNvPr id="17418" name="Drop Down 10" hidden="1">
              <a:extLst>
                <a:ext uri="{63B3BB69-23CF-44E3-9099-C40C66FF867C}">
                  <a14:compatExt spid="_x0000_s17418"/>
                </a:ext>
                <a:ext uri="{FF2B5EF4-FFF2-40B4-BE49-F238E27FC236}">
                  <a16:creationId xmlns:a16="http://schemas.microsoft.com/office/drawing/2014/main" id="{00000000-0008-0000-0600-00000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590550</xdr:colOff>
          <xdr:row>18</xdr:row>
          <xdr:rowOff>171450</xdr:rowOff>
        </xdr:from>
        <xdr:to>
          <xdr:col>4</xdr:col>
          <xdr:colOff>781050</xdr:colOff>
          <xdr:row>18</xdr:row>
          <xdr:rowOff>342900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8</xdr:col>
          <xdr:colOff>914400</xdr:colOff>
          <xdr:row>9</xdr:row>
          <xdr:rowOff>0</xdr:rowOff>
        </xdr:to>
        <xdr:sp macro="" textlink="">
          <xdr:nvSpPr>
            <xdr:cNvPr id="13314" name="Drop Down 2" hidden="1">
              <a:extLst>
                <a:ext uri="{63B3BB69-23CF-44E3-9099-C40C66FF867C}">
                  <a14:compatExt spid="_x0000_s13314"/>
                </a:ext>
                <a:ext uri="{FF2B5EF4-FFF2-40B4-BE49-F238E27FC236}">
                  <a16:creationId xmlns:a16="http://schemas.microsoft.com/office/drawing/2014/main" id="{00000000-0008-0000-07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400050</xdr:colOff>
          <xdr:row>3</xdr:row>
          <xdr:rowOff>38100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7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171450</xdr:rowOff>
        </xdr:from>
        <xdr:to>
          <xdr:col>8</xdr:col>
          <xdr:colOff>400050</xdr:colOff>
          <xdr:row>3</xdr:row>
          <xdr:rowOff>38100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7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8</xdr:col>
          <xdr:colOff>914400</xdr:colOff>
          <xdr:row>9</xdr:row>
          <xdr:rowOff>0</xdr:rowOff>
        </xdr:to>
        <xdr:sp macro="" textlink="">
          <xdr:nvSpPr>
            <xdr:cNvPr id="13317" name="Drop Down 5" hidden="1">
              <a:extLst>
                <a:ext uri="{63B3BB69-23CF-44E3-9099-C40C66FF867C}">
                  <a14:compatExt spid="_x0000_s13317"/>
                </a:ext>
                <a:ext uri="{FF2B5EF4-FFF2-40B4-BE49-F238E27FC236}">
                  <a16:creationId xmlns:a16="http://schemas.microsoft.com/office/drawing/2014/main" id="{00000000-0008-0000-07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19050</xdr:rowOff>
        </xdr:from>
        <xdr:to>
          <xdr:col>8</xdr:col>
          <xdr:colOff>914400</xdr:colOff>
          <xdr:row>10</xdr:row>
          <xdr:rowOff>0</xdr:rowOff>
        </xdr:to>
        <xdr:sp macro="" textlink="">
          <xdr:nvSpPr>
            <xdr:cNvPr id="13318" name="Drop Down 6" hidden="1">
              <a:extLst>
                <a:ext uri="{63B3BB69-23CF-44E3-9099-C40C66FF867C}">
                  <a14:compatExt spid="_x0000_s13318"/>
                </a:ext>
                <a:ext uri="{FF2B5EF4-FFF2-40B4-BE49-F238E27FC236}">
                  <a16:creationId xmlns:a16="http://schemas.microsoft.com/office/drawing/2014/main" id="{00000000-0008-0000-07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17</xdr:row>
          <xdr:rowOff>381000</xdr:rowOff>
        </xdr:from>
        <xdr:to>
          <xdr:col>4</xdr:col>
          <xdr:colOff>781050</xdr:colOff>
          <xdr:row>17</xdr:row>
          <xdr:rowOff>641350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7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18</xdr:row>
          <xdr:rowOff>171450</xdr:rowOff>
        </xdr:from>
        <xdr:to>
          <xdr:col>4</xdr:col>
          <xdr:colOff>781050</xdr:colOff>
          <xdr:row>18</xdr:row>
          <xdr:rowOff>342900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7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17</xdr:row>
          <xdr:rowOff>381000</xdr:rowOff>
        </xdr:from>
        <xdr:to>
          <xdr:col>4</xdr:col>
          <xdr:colOff>781050</xdr:colOff>
          <xdr:row>17</xdr:row>
          <xdr:rowOff>641350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7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19050</xdr:rowOff>
        </xdr:from>
        <xdr:to>
          <xdr:col>9</xdr:col>
          <xdr:colOff>0</xdr:colOff>
          <xdr:row>9</xdr:row>
          <xdr:rowOff>228600</xdr:rowOff>
        </xdr:to>
        <xdr:sp macro="" textlink="">
          <xdr:nvSpPr>
            <xdr:cNvPr id="13322" name="Drop Down 10" hidden="1">
              <a:extLst>
                <a:ext uri="{63B3BB69-23CF-44E3-9099-C40C66FF867C}">
                  <a14:compatExt spid="_x0000_s13322"/>
                </a:ext>
                <a:ext uri="{FF2B5EF4-FFF2-40B4-BE49-F238E27FC236}">
                  <a16:creationId xmlns:a16="http://schemas.microsoft.com/office/drawing/2014/main" id="{00000000-0008-0000-07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8</xdr:col>
          <xdr:colOff>1136650</xdr:colOff>
          <xdr:row>8</xdr:row>
          <xdr:rowOff>228600</xdr:rowOff>
        </xdr:to>
        <xdr:sp macro="" textlink="">
          <xdr:nvSpPr>
            <xdr:cNvPr id="13323" name="Drop Down 11" hidden="1">
              <a:extLst>
                <a:ext uri="{63B3BB69-23CF-44E3-9099-C40C66FF867C}">
                  <a14:compatExt spid="_x0000_s13323"/>
                </a:ext>
                <a:ext uri="{FF2B5EF4-FFF2-40B4-BE49-F238E27FC236}">
                  <a16:creationId xmlns:a16="http://schemas.microsoft.com/office/drawing/2014/main" id="{00000000-0008-0000-07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19050</xdr:rowOff>
        </xdr:from>
        <xdr:to>
          <xdr:col>8</xdr:col>
          <xdr:colOff>914400</xdr:colOff>
          <xdr:row>11</xdr:row>
          <xdr:rowOff>0</xdr:rowOff>
        </xdr:to>
        <xdr:sp macro="" textlink="">
          <xdr:nvSpPr>
            <xdr:cNvPr id="13324" name="Drop Down 12" hidden="1">
              <a:extLst>
                <a:ext uri="{63B3BB69-23CF-44E3-9099-C40C66FF867C}">
                  <a14:compatExt spid="_x0000_s13324"/>
                </a:ext>
                <a:ext uri="{FF2B5EF4-FFF2-40B4-BE49-F238E27FC236}">
                  <a16:creationId xmlns:a16="http://schemas.microsoft.com/office/drawing/2014/main" id="{00000000-0008-0000-07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19050</xdr:rowOff>
        </xdr:from>
        <xdr:to>
          <xdr:col>8</xdr:col>
          <xdr:colOff>914400</xdr:colOff>
          <xdr:row>11</xdr:row>
          <xdr:rowOff>0</xdr:rowOff>
        </xdr:to>
        <xdr:sp macro="" textlink="">
          <xdr:nvSpPr>
            <xdr:cNvPr id="13325" name="Drop Down 13" hidden="1">
              <a:extLst>
                <a:ext uri="{63B3BB69-23CF-44E3-9099-C40C66FF867C}">
                  <a14:compatExt spid="_x0000_s13325"/>
                </a:ext>
                <a:ext uri="{FF2B5EF4-FFF2-40B4-BE49-F238E27FC236}">
                  <a16:creationId xmlns:a16="http://schemas.microsoft.com/office/drawing/2014/main" id="{00000000-0008-0000-07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19050</xdr:rowOff>
        </xdr:from>
        <xdr:to>
          <xdr:col>9</xdr:col>
          <xdr:colOff>0</xdr:colOff>
          <xdr:row>11</xdr:row>
          <xdr:rowOff>0</xdr:rowOff>
        </xdr:to>
        <xdr:sp macro="" textlink="">
          <xdr:nvSpPr>
            <xdr:cNvPr id="13326" name="Drop Down 14" hidden="1">
              <a:extLst>
                <a:ext uri="{63B3BB69-23CF-44E3-9099-C40C66FF867C}">
                  <a14:compatExt spid="_x0000_s13326"/>
                </a:ext>
                <a:ext uri="{FF2B5EF4-FFF2-40B4-BE49-F238E27FC236}">
                  <a16:creationId xmlns:a16="http://schemas.microsoft.com/office/drawing/2014/main" id="{00000000-0008-0000-07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6.xml"/><Relationship Id="rId7" Type="http://schemas.openxmlformats.org/officeDocument/2006/relationships/ctrlProp" Target="../ctrlProps/ctrlProp10.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1.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6.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drawing" Target="../drawings/drawing7.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printerSettings" Target="../printerSettings/printerSettings4.bin"/><Relationship Id="rId16" Type="http://schemas.openxmlformats.org/officeDocument/2006/relationships/ctrlProp" Target="../ctrlProps/ctrlProp43.xml"/><Relationship Id="rId1" Type="http://schemas.openxmlformats.org/officeDocument/2006/relationships/hyperlink" Target="https://www.epa.gov/system/files/documents/2021-09/chapter-7-coal.pdf" TargetMode="External"/><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4" Type="http://schemas.openxmlformats.org/officeDocument/2006/relationships/vmlDrawing" Target="../drawings/vmlDrawing7.v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235FF-E678-4E06-BFDF-1F8AB4BEDAEE}">
  <dimension ref="A3:K29"/>
  <sheetViews>
    <sheetView topLeftCell="A11" workbookViewId="0">
      <selection activeCell="H28" sqref="H28"/>
    </sheetView>
  </sheetViews>
  <sheetFormatPr defaultRowHeight="14.5" x14ac:dyDescent="0.35"/>
  <sheetData>
    <row r="3" spans="1:11" x14ac:dyDescent="0.35">
      <c r="A3" s="85" t="s">
        <v>0</v>
      </c>
      <c r="B3" s="78"/>
      <c r="C3" s="78"/>
      <c r="D3" s="78"/>
      <c r="E3" s="78"/>
      <c r="F3" s="78"/>
      <c r="G3" s="78"/>
      <c r="H3" s="78"/>
      <c r="I3" s="78"/>
      <c r="J3" s="78"/>
      <c r="K3" s="78"/>
    </row>
    <row r="4" spans="1:11" x14ac:dyDescent="0.35">
      <c r="A4" s="85" t="s">
        <v>1</v>
      </c>
      <c r="B4" s="78"/>
      <c r="C4" s="78"/>
      <c r="D4" s="78"/>
      <c r="E4" s="78"/>
      <c r="F4" s="78"/>
      <c r="G4" s="78"/>
      <c r="H4" s="78"/>
      <c r="I4" s="78"/>
      <c r="J4" s="78"/>
      <c r="K4" s="78"/>
    </row>
    <row r="5" spans="1:11" x14ac:dyDescent="0.35">
      <c r="A5" s="85" t="s">
        <v>2</v>
      </c>
      <c r="B5" s="78"/>
      <c r="C5" s="78"/>
      <c r="D5" s="78"/>
      <c r="E5" s="78"/>
      <c r="F5" s="78"/>
      <c r="G5" s="78"/>
      <c r="H5" s="78"/>
      <c r="I5" s="78"/>
      <c r="J5" s="78"/>
      <c r="K5" s="78"/>
    </row>
    <row r="6" spans="1:11" x14ac:dyDescent="0.35">
      <c r="A6" s="85" t="s">
        <v>3</v>
      </c>
      <c r="B6" s="78"/>
      <c r="C6" s="78"/>
      <c r="D6" s="78"/>
      <c r="E6" s="78"/>
      <c r="F6" s="78"/>
      <c r="G6" s="78"/>
      <c r="H6" s="78"/>
      <c r="I6" s="78"/>
      <c r="J6" s="78"/>
      <c r="K6" s="78"/>
    </row>
    <row r="7" spans="1:11" x14ac:dyDescent="0.35">
      <c r="A7" s="80" t="s">
        <v>4</v>
      </c>
      <c r="B7" s="78"/>
      <c r="C7" s="78"/>
      <c r="D7" s="78"/>
      <c r="E7" s="78"/>
      <c r="F7" s="78"/>
      <c r="G7" s="78"/>
      <c r="H7" s="78"/>
      <c r="I7" s="78"/>
      <c r="J7" s="78"/>
      <c r="K7" s="78"/>
    </row>
    <row r="8" spans="1:11" x14ac:dyDescent="0.35">
      <c r="A8" s="85" t="s">
        <v>5</v>
      </c>
      <c r="B8" s="78"/>
      <c r="C8" s="78"/>
      <c r="D8" s="78"/>
      <c r="E8" s="78"/>
      <c r="F8" s="78"/>
      <c r="G8" s="78"/>
      <c r="H8" s="78"/>
      <c r="I8" s="78"/>
      <c r="J8" s="78"/>
      <c r="K8" s="78"/>
    </row>
    <row r="9" spans="1:11" x14ac:dyDescent="0.35">
      <c r="A9" s="87"/>
      <c r="B9" s="78"/>
      <c r="C9" s="78"/>
      <c r="D9" s="78"/>
      <c r="E9" s="78"/>
      <c r="F9" s="78"/>
      <c r="G9" s="78"/>
      <c r="H9" s="78"/>
      <c r="I9" s="78"/>
      <c r="J9" s="78"/>
      <c r="K9" s="78"/>
    </row>
    <row r="13" spans="1:11" x14ac:dyDescent="0.35">
      <c r="A13" s="78"/>
      <c r="B13" s="78"/>
      <c r="C13" s="78"/>
      <c r="D13" s="78"/>
      <c r="E13" s="78"/>
      <c r="F13" s="78"/>
      <c r="G13" s="78"/>
      <c r="H13" s="78"/>
      <c r="I13" s="78"/>
      <c r="J13" s="79"/>
      <c r="K13" s="78"/>
    </row>
    <row r="14" spans="1:11" ht="87" x14ac:dyDescent="0.35">
      <c r="A14" s="78"/>
      <c r="B14" s="81" t="s">
        <v>6</v>
      </c>
      <c r="C14" s="81" t="s">
        <v>7</v>
      </c>
      <c r="D14" s="81" t="s">
        <v>8</v>
      </c>
      <c r="E14" s="81" t="s">
        <v>9</v>
      </c>
      <c r="F14" s="79"/>
      <c r="G14" s="79"/>
      <c r="H14" s="79"/>
      <c r="I14" s="79"/>
      <c r="J14" s="79"/>
      <c r="K14" s="79"/>
    </row>
    <row r="15" spans="1:11" x14ac:dyDescent="0.35">
      <c r="A15" s="78"/>
      <c r="B15" s="79" t="s">
        <v>10</v>
      </c>
      <c r="C15" s="79" t="s">
        <v>11</v>
      </c>
      <c r="D15" s="79">
        <v>2021</v>
      </c>
      <c r="E15" s="79" t="s">
        <v>12</v>
      </c>
      <c r="F15" s="79"/>
      <c r="G15" s="79"/>
      <c r="H15" s="79"/>
      <c r="I15" s="79"/>
      <c r="J15" s="79"/>
      <c r="K15" s="79"/>
    </row>
    <row r="16" spans="1:11" x14ac:dyDescent="0.35">
      <c r="A16" s="78"/>
      <c r="B16" s="79" t="s">
        <v>13</v>
      </c>
      <c r="C16" s="79" t="s">
        <v>11</v>
      </c>
      <c r="D16" s="79">
        <v>2021</v>
      </c>
      <c r="E16" s="79" t="s">
        <v>14</v>
      </c>
      <c r="F16" s="79"/>
      <c r="G16" s="79"/>
      <c r="H16" s="79"/>
      <c r="I16" s="79"/>
      <c r="J16" s="79"/>
      <c r="K16" s="79"/>
    </row>
    <row r="17" spans="2:11" x14ac:dyDescent="0.35">
      <c r="B17" s="79" t="s">
        <v>15</v>
      </c>
      <c r="C17" s="79" t="s">
        <v>11</v>
      </c>
      <c r="D17" s="79">
        <v>2021</v>
      </c>
      <c r="E17" s="79" t="s">
        <v>16</v>
      </c>
      <c r="F17" s="79"/>
      <c r="G17" s="79"/>
      <c r="H17" s="79"/>
      <c r="I17" s="79"/>
      <c r="J17" s="79"/>
      <c r="K17" s="79"/>
    </row>
    <row r="18" spans="2:11" x14ac:dyDescent="0.35">
      <c r="B18" s="79" t="s">
        <v>17</v>
      </c>
      <c r="C18" s="79" t="s">
        <v>11</v>
      </c>
      <c r="D18" s="79">
        <v>2021</v>
      </c>
      <c r="E18" s="79" t="s">
        <v>18</v>
      </c>
      <c r="F18" s="79"/>
      <c r="G18" s="79"/>
      <c r="H18" s="79"/>
      <c r="I18" s="79"/>
      <c r="J18" s="79"/>
      <c r="K18" s="79"/>
    </row>
    <row r="19" spans="2:11" ht="16.5" x14ac:dyDescent="0.45">
      <c r="B19" s="79" t="s">
        <v>19</v>
      </c>
      <c r="C19" s="86" t="s">
        <v>20</v>
      </c>
      <c r="D19" s="79">
        <v>2021</v>
      </c>
      <c r="E19" s="79" t="s">
        <v>21</v>
      </c>
      <c r="F19" s="79"/>
      <c r="G19" s="79"/>
      <c r="H19" s="79"/>
      <c r="I19" s="79"/>
      <c r="J19" s="79"/>
      <c r="K19" s="79"/>
    </row>
    <row r="20" spans="2:11" x14ac:dyDescent="0.35">
      <c r="B20" s="79" t="s">
        <v>22</v>
      </c>
      <c r="C20" s="79" t="s">
        <v>387</v>
      </c>
      <c r="D20" s="79">
        <v>2024</v>
      </c>
      <c r="E20" s="79" t="s">
        <v>23</v>
      </c>
      <c r="F20" s="79"/>
      <c r="G20" s="79"/>
      <c r="H20" s="79"/>
      <c r="I20" s="79"/>
      <c r="J20" s="79"/>
      <c r="K20" s="79"/>
    </row>
    <row r="21" spans="2:11" x14ac:dyDescent="0.35">
      <c r="B21" s="79" t="s">
        <v>24</v>
      </c>
      <c r="C21" s="79" t="s">
        <v>387</v>
      </c>
      <c r="D21" s="79">
        <v>2024</v>
      </c>
      <c r="E21" s="79" t="s">
        <v>25</v>
      </c>
      <c r="F21" s="79"/>
      <c r="G21" s="79"/>
      <c r="H21" s="79"/>
      <c r="I21" s="79"/>
      <c r="J21" s="79"/>
      <c r="K21" s="79"/>
    </row>
    <row r="22" spans="2:11" x14ac:dyDescent="0.35">
      <c r="B22" s="79"/>
      <c r="C22" s="79"/>
      <c r="D22" s="79"/>
      <c r="G22" s="79"/>
      <c r="H22" s="79"/>
      <c r="I22" s="79"/>
      <c r="J22" s="79"/>
      <c r="K22" s="79"/>
    </row>
    <row r="23" spans="2:11" x14ac:dyDescent="0.35">
      <c r="B23" s="79"/>
      <c r="C23" s="86"/>
      <c r="D23" s="79"/>
      <c r="F23" s="79"/>
      <c r="G23" s="79"/>
      <c r="H23" s="79"/>
      <c r="I23" s="79"/>
      <c r="J23" s="79"/>
      <c r="K23" s="79"/>
    </row>
    <row r="24" spans="2:11" x14ac:dyDescent="0.35">
      <c r="B24" s="79"/>
      <c r="C24" s="79"/>
      <c r="D24" s="79"/>
      <c r="F24" s="79"/>
      <c r="G24" s="79"/>
      <c r="H24" s="79"/>
      <c r="I24" s="79"/>
      <c r="J24" s="79"/>
      <c r="K24" s="79"/>
    </row>
    <row r="25" spans="2:11" x14ac:dyDescent="0.35">
      <c r="B25" s="82"/>
      <c r="C25" s="83"/>
      <c r="D25" s="78"/>
      <c r="E25" s="78"/>
      <c r="F25" s="78"/>
      <c r="G25" s="78"/>
      <c r="H25" s="78"/>
      <c r="I25" s="78"/>
      <c r="J25" s="78"/>
      <c r="K25" s="78"/>
    </row>
    <row r="26" spans="2:11" x14ac:dyDescent="0.35">
      <c r="B26" s="84"/>
      <c r="C26" s="84"/>
      <c r="D26" s="78"/>
      <c r="E26" s="78"/>
      <c r="F26" s="78"/>
      <c r="G26" s="78"/>
      <c r="H26" s="78"/>
      <c r="I26" s="78"/>
      <c r="J26" s="78"/>
      <c r="K26" s="78"/>
    </row>
    <row r="27" spans="2:11" x14ac:dyDescent="0.35">
      <c r="B27" s="84"/>
      <c r="C27" s="78"/>
      <c r="D27" s="78"/>
      <c r="E27" s="78"/>
      <c r="F27" s="78"/>
      <c r="G27" s="78"/>
      <c r="H27" s="78"/>
      <c r="I27" s="78"/>
      <c r="J27" s="78"/>
      <c r="K27" s="78"/>
    </row>
    <row r="28" spans="2:11" x14ac:dyDescent="0.35">
      <c r="B28" s="84"/>
      <c r="C28" s="83"/>
      <c r="D28" s="78"/>
      <c r="E28" s="78"/>
      <c r="F28" s="78"/>
      <c r="G28" s="78"/>
      <c r="H28" s="78"/>
      <c r="I28" s="78"/>
      <c r="J28" s="78"/>
      <c r="K28" s="78"/>
    </row>
    <row r="29" spans="2:11" x14ac:dyDescent="0.35">
      <c r="B29" s="84"/>
      <c r="C29" s="84"/>
      <c r="D29" s="78"/>
      <c r="E29" s="78"/>
      <c r="F29" s="78"/>
      <c r="G29" s="78"/>
      <c r="H29" s="78"/>
      <c r="I29" s="78"/>
      <c r="J29" s="78"/>
      <c r="K29" s="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0FB98-F8FD-47EF-92E0-5014584C4054}">
  <dimension ref="A1:P116"/>
  <sheetViews>
    <sheetView topLeftCell="A5" workbookViewId="0">
      <selection activeCell="G19" sqref="G19"/>
    </sheetView>
  </sheetViews>
  <sheetFormatPr defaultColWidth="8.7265625" defaultRowHeight="14.5" x14ac:dyDescent="0.35"/>
  <cols>
    <col min="1" max="1" width="8.7265625" style="78"/>
    <col min="2" max="2" width="10.453125" style="78" bestFit="1" customWidth="1"/>
    <col min="3" max="5" width="8.7265625" style="78"/>
    <col min="6" max="6" width="6.26953125" style="78" customWidth="1"/>
    <col min="7" max="7" width="12.7265625" style="78" customWidth="1"/>
    <col min="8" max="8" width="13.26953125" style="78" bestFit="1" customWidth="1"/>
    <col min="9" max="9" width="12.7265625" style="78" customWidth="1"/>
    <col min="10" max="10" width="15.26953125" style="78" bestFit="1" customWidth="1"/>
    <col min="11" max="11" width="15.81640625" style="78" customWidth="1"/>
    <col min="12" max="12" width="56.1796875" style="78" customWidth="1"/>
    <col min="13" max="16384" width="8.7265625" style="78"/>
  </cols>
  <sheetData>
    <row r="1" spans="1:16" ht="15" thickBot="1" x14ac:dyDescent="0.4">
      <c r="A1" s="5" t="s">
        <v>26</v>
      </c>
      <c r="B1" s="5"/>
      <c r="C1" s="5"/>
      <c r="D1" s="5"/>
      <c r="E1" s="5"/>
      <c r="F1" s="5"/>
      <c r="G1" s="5"/>
      <c r="H1" s="5"/>
      <c r="I1" s="5"/>
      <c r="J1" s="5"/>
      <c r="K1" s="5"/>
      <c r="L1" s="5"/>
      <c r="M1" s="5"/>
      <c r="N1" s="5"/>
      <c r="O1" s="5"/>
      <c r="P1" s="5"/>
    </row>
    <row r="2" spans="1:16" x14ac:dyDescent="0.35">
      <c r="A2" s="5"/>
      <c r="B2" s="5"/>
      <c r="C2" s="5"/>
      <c r="D2" s="90" t="s">
        <v>27</v>
      </c>
      <c r="E2" s="91"/>
      <c r="F2" s="92"/>
      <c r="G2" s="93" t="s">
        <v>28</v>
      </c>
      <c r="H2" s="93" t="s">
        <v>29</v>
      </c>
      <c r="I2" s="93" t="s">
        <v>30</v>
      </c>
      <c r="J2" s="94" t="s">
        <v>31</v>
      </c>
      <c r="K2" s="95"/>
      <c r="L2" s="96"/>
      <c r="M2" s="5"/>
      <c r="N2" s="5"/>
      <c r="O2" s="5"/>
      <c r="P2" s="5"/>
    </row>
    <row r="3" spans="1:16" x14ac:dyDescent="0.35">
      <c r="A3" s="5"/>
      <c r="B3" s="5"/>
      <c r="C3" s="5"/>
      <c r="D3" s="122" t="s">
        <v>281</v>
      </c>
      <c r="E3" s="37"/>
      <c r="F3" s="36"/>
      <c r="G3" s="58" t="s">
        <v>282</v>
      </c>
      <c r="H3" s="60"/>
      <c r="I3" s="128">
        <v>2</v>
      </c>
      <c r="J3" s="38" t="s">
        <v>43</v>
      </c>
      <c r="K3" s="37"/>
      <c r="L3" s="98"/>
      <c r="M3" s="5"/>
      <c r="N3" s="5"/>
      <c r="O3" s="5"/>
      <c r="P3" s="5"/>
    </row>
    <row r="4" spans="1:16" x14ac:dyDescent="0.35">
      <c r="A4" s="5"/>
      <c r="B4" s="30"/>
      <c r="C4" s="5"/>
      <c r="D4" s="122" t="s">
        <v>32</v>
      </c>
      <c r="E4" s="37"/>
      <c r="F4" s="36"/>
      <c r="G4" s="58"/>
      <c r="H4" s="58"/>
      <c r="I4" s="59" t="b">
        <v>0</v>
      </c>
      <c r="J4" s="38"/>
      <c r="K4" s="37"/>
      <c r="L4" s="98"/>
      <c r="M4" s="5"/>
      <c r="N4" s="5"/>
      <c r="O4" s="5"/>
      <c r="P4" s="5"/>
    </row>
    <row r="5" spans="1:16" x14ac:dyDescent="0.35">
      <c r="A5" s="5"/>
      <c r="B5" s="5"/>
      <c r="C5" s="5"/>
      <c r="D5" s="122" t="s">
        <v>33</v>
      </c>
      <c r="E5" s="37"/>
      <c r="F5" s="36"/>
      <c r="G5" s="58" t="s">
        <v>34</v>
      </c>
      <c r="H5" s="58" t="s">
        <v>35</v>
      </c>
      <c r="I5" s="130">
        <v>500</v>
      </c>
      <c r="J5" s="38" t="s">
        <v>43</v>
      </c>
      <c r="K5" s="37"/>
      <c r="L5" s="98"/>
      <c r="M5" s="5"/>
      <c r="N5" s="5"/>
      <c r="O5" s="5"/>
      <c r="P5" s="5"/>
    </row>
    <row r="6" spans="1:16" x14ac:dyDescent="0.35">
      <c r="A6" s="5"/>
      <c r="C6" s="5"/>
      <c r="D6" s="122" t="s">
        <v>37</v>
      </c>
      <c r="E6" s="37"/>
      <c r="F6" s="36"/>
      <c r="G6" s="58" t="s">
        <v>38</v>
      </c>
      <c r="H6" s="58"/>
      <c r="I6" s="131">
        <v>1</v>
      </c>
      <c r="J6" s="38" t="s">
        <v>39</v>
      </c>
      <c r="K6" s="37"/>
      <c r="L6" s="98"/>
      <c r="M6" s="5"/>
      <c r="N6" s="5"/>
      <c r="O6" s="5"/>
      <c r="P6" s="5"/>
    </row>
    <row r="7" spans="1:16" x14ac:dyDescent="0.35">
      <c r="A7" s="5"/>
      <c r="B7" s="5"/>
      <c r="C7" s="5"/>
      <c r="D7" s="122" t="s">
        <v>40</v>
      </c>
      <c r="E7" s="37"/>
      <c r="F7" s="36"/>
      <c r="G7" s="58" t="s">
        <v>41</v>
      </c>
      <c r="H7" s="58" t="s">
        <v>42</v>
      </c>
      <c r="I7" s="132">
        <v>9800</v>
      </c>
      <c r="J7" s="38" t="s">
        <v>43</v>
      </c>
      <c r="K7" s="37"/>
      <c r="L7" s="98"/>
      <c r="M7" s="5"/>
      <c r="N7" s="5"/>
      <c r="O7" s="5"/>
      <c r="P7" s="5"/>
    </row>
    <row r="8" spans="1:16" x14ac:dyDescent="0.35">
      <c r="A8" s="5"/>
      <c r="B8" s="5"/>
      <c r="C8" s="5"/>
      <c r="D8" s="122" t="s">
        <v>283</v>
      </c>
      <c r="E8" s="37"/>
      <c r="F8" s="36"/>
      <c r="G8" s="58" t="s">
        <v>45</v>
      </c>
      <c r="H8" s="58" t="s">
        <v>46</v>
      </c>
      <c r="I8" s="130">
        <v>0.22</v>
      </c>
      <c r="J8" s="38" t="s">
        <v>43</v>
      </c>
      <c r="K8" s="37"/>
      <c r="L8" s="98"/>
      <c r="M8" s="5"/>
      <c r="N8" s="5"/>
      <c r="O8" s="5"/>
      <c r="P8" s="5"/>
    </row>
    <row r="9" spans="1:16" x14ac:dyDescent="0.35">
      <c r="A9" s="5"/>
      <c r="B9" s="5"/>
      <c r="C9" s="5"/>
      <c r="D9" s="122" t="s">
        <v>44</v>
      </c>
      <c r="E9" s="37"/>
      <c r="F9" s="36"/>
      <c r="G9" s="58" t="s">
        <v>49</v>
      </c>
      <c r="H9" s="58" t="s">
        <v>46</v>
      </c>
      <c r="I9" s="130">
        <v>2</v>
      </c>
      <c r="J9" s="38" t="s">
        <v>43</v>
      </c>
      <c r="K9" s="37"/>
      <c r="L9" s="98"/>
      <c r="M9" s="5"/>
      <c r="N9" s="5"/>
      <c r="O9" s="5"/>
      <c r="P9" s="5"/>
    </row>
    <row r="10" spans="1:16" ht="18.75" customHeight="1" x14ac:dyDescent="0.35">
      <c r="A10" s="5"/>
      <c r="B10" s="5"/>
      <c r="C10" s="5"/>
      <c r="D10" s="122" t="s">
        <v>284</v>
      </c>
      <c r="E10" s="37"/>
      <c r="F10" s="36"/>
      <c r="G10" s="58" t="s">
        <v>51</v>
      </c>
      <c r="H10" s="58"/>
      <c r="I10" s="133">
        <v>1</v>
      </c>
      <c r="J10" s="38" t="s">
        <v>43</v>
      </c>
      <c r="K10" s="37"/>
      <c r="L10" s="98"/>
      <c r="M10" s="5"/>
      <c r="N10" s="5"/>
      <c r="O10" s="5"/>
      <c r="P10" s="5"/>
    </row>
    <row r="11" spans="1:16" x14ac:dyDescent="0.35">
      <c r="A11" s="5"/>
      <c r="B11" s="5"/>
      <c r="C11" s="5"/>
      <c r="D11" s="122" t="s">
        <v>50</v>
      </c>
      <c r="E11" s="37"/>
      <c r="F11" s="36"/>
      <c r="G11" s="58" t="s">
        <v>54</v>
      </c>
      <c r="H11" s="58"/>
      <c r="I11" s="58">
        <f>VLOOKUP(I10,A101:C102,3)</f>
        <v>1</v>
      </c>
      <c r="J11" s="38" t="s">
        <v>285</v>
      </c>
      <c r="K11" s="37"/>
      <c r="L11" s="98"/>
      <c r="M11" s="5"/>
      <c r="N11" s="5"/>
      <c r="O11" s="5"/>
      <c r="P11" s="5"/>
    </row>
    <row r="12" spans="1:16" x14ac:dyDescent="0.35">
      <c r="A12" s="5"/>
      <c r="B12" s="5"/>
      <c r="C12" s="5"/>
      <c r="D12" s="122" t="s">
        <v>53</v>
      </c>
      <c r="E12" s="37"/>
      <c r="F12" s="36"/>
      <c r="G12" s="58" t="s">
        <v>57</v>
      </c>
      <c r="H12" s="58"/>
      <c r="I12" s="58">
        <f>I7/10000</f>
        <v>0.98</v>
      </c>
      <c r="J12" s="38" t="s">
        <v>55</v>
      </c>
      <c r="K12" s="37"/>
      <c r="L12" s="98"/>
      <c r="M12" s="5"/>
      <c r="N12" s="5"/>
      <c r="O12" s="5"/>
      <c r="P12" s="5"/>
    </row>
    <row r="13" spans="1:16" x14ac:dyDescent="0.35">
      <c r="A13" s="5"/>
      <c r="B13" s="5"/>
      <c r="C13" s="5"/>
      <c r="D13" s="122" t="s">
        <v>56</v>
      </c>
      <c r="E13" s="37"/>
      <c r="F13" s="36"/>
      <c r="G13" s="58" t="s">
        <v>61</v>
      </c>
      <c r="H13" s="58" t="s">
        <v>58</v>
      </c>
      <c r="I13" s="70">
        <f>I5*I7*1000</f>
        <v>4900000000</v>
      </c>
      <c r="J13" s="38" t="s">
        <v>59</v>
      </c>
      <c r="K13" s="37"/>
      <c r="L13" s="98"/>
      <c r="M13" s="5"/>
      <c r="N13" s="5"/>
      <c r="O13" s="5"/>
      <c r="P13" s="5"/>
    </row>
    <row r="14" spans="1:16" x14ac:dyDescent="0.35">
      <c r="A14" s="5"/>
      <c r="B14" s="5"/>
      <c r="C14" s="5"/>
      <c r="D14" s="122" t="s">
        <v>60</v>
      </c>
      <c r="E14" s="37"/>
      <c r="F14" s="36"/>
      <c r="G14" s="58" t="s">
        <v>64</v>
      </c>
      <c r="H14" s="58" t="s">
        <v>62</v>
      </c>
      <c r="I14" s="132">
        <v>26</v>
      </c>
      <c r="J14" s="38" t="s">
        <v>43</v>
      </c>
      <c r="K14" s="37"/>
      <c r="L14" s="98"/>
      <c r="M14" s="5"/>
      <c r="N14" s="5"/>
      <c r="O14" s="5"/>
      <c r="P14" s="5"/>
    </row>
    <row r="15" spans="1:16" x14ac:dyDescent="0.35">
      <c r="A15" s="5"/>
      <c r="B15" s="22"/>
      <c r="C15" s="5"/>
      <c r="D15" s="122" t="s">
        <v>286</v>
      </c>
      <c r="E15" s="37"/>
      <c r="F15" s="36"/>
      <c r="G15" s="58" t="s">
        <v>67</v>
      </c>
      <c r="H15" s="58" t="s">
        <v>62</v>
      </c>
      <c r="I15" s="130">
        <v>15</v>
      </c>
      <c r="J15" s="38" t="s">
        <v>43</v>
      </c>
      <c r="K15" s="37"/>
      <c r="L15" s="98"/>
      <c r="M15" s="5"/>
      <c r="N15" s="5"/>
      <c r="O15" s="5"/>
      <c r="P15" s="5"/>
    </row>
    <row r="16" spans="1:16" x14ac:dyDescent="0.35">
      <c r="A16" s="5"/>
      <c r="B16" s="22"/>
      <c r="C16" s="5"/>
      <c r="D16" s="122" t="s">
        <v>287</v>
      </c>
      <c r="E16" s="37"/>
      <c r="F16" s="36"/>
      <c r="G16" s="58" t="s">
        <v>71</v>
      </c>
      <c r="H16" s="58" t="s">
        <v>288</v>
      </c>
      <c r="I16" s="71">
        <f>I8*I13/10^6*I15/100</f>
        <v>161.69999999999999</v>
      </c>
      <c r="J16" s="38" t="s">
        <v>289</v>
      </c>
      <c r="K16" s="37"/>
      <c r="L16" s="98"/>
      <c r="M16" s="5"/>
      <c r="N16" s="5"/>
      <c r="O16" s="5"/>
      <c r="P16" s="5"/>
    </row>
    <row r="17" spans="1:16" x14ac:dyDescent="0.35">
      <c r="A17" s="5"/>
      <c r="B17" s="5"/>
      <c r="C17" s="5"/>
      <c r="D17" s="122" t="s">
        <v>290</v>
      </c>
      <c r="E17" s="37"/>
      <c r="F17" s="36"/>
      <c r="G17" s="58" t="s">
        <v>74</v>
      </c>
      <c r="H17" s="58" t="s">
        <v>288</v>
      </c>
      <c r="I17" s="71">
        <f xml:space="preserve"> I16 / 46 * 30 / (IF(I3=1,0.25,(IF(I8&lt;=0.3,0.15,0.25))))</f>
        <v>703.04347826086951</v>
      </c>
      <c r="J17" s="38" t="s">
        <v>291</v>
      </c>
      <c r="K17" s="37"/>
      <c r="L17" s="98"/>
      <c r="M17" s="5"/>
      <c r="N17" s="5"/>
      <c r="O17" s="5"/>
      <c r="P17" s="5"/>
    </row>
    <row r="18" spans="1:16" x14ac:dyDescent="0.35">
      <c r="D18" s="122" t="s">
        <v>292</v>
      </c>
      <c r="E18" s="43"/>
      <c r="F18" s="42"/>
      <c r="G18" s="58" t="s">
        <v>77</v>
      </c>
      <c r="H18" s="58" t="s">
        <v>288</v>
      </c>
      <c r="I18" s="71">
        <f>I17*19</f>
        <v>13357.82608695652</v>
      </c>
      <c r="J18" s="38" t="s">
        <v>293</v>
      </c>
      <c r="K18" s="37"/>
      <c r="L18" s="98"/>
    </row>
    <row r="19" spans="1:16" ht="30" customHeight="1" x14ac:dyDescent="0.35">
      <c r="A19" s="5"/>
      <c r="B19" s="5"/>
      <c r="C19" s="5"/>
      <c r="D19" s="144" t="s">
        <v>294</v>
      </c>
      <c r="E19" s="145"/>
      <c r="F19" s="42"/>
      <c r="G19" s="58" t="s">
        <v>232</v>
      </c>
      <c r="H19" s="58" t="s">
        <v>62</v>
      </c>
      <c r="I19" s="72">
        <f>1175*I18/I13*100</f>
        <v>0.32031521739130425</v>
      </c>
      <c r="J19" s="38" t="s">
        <v>295</v>
      </c>
      <c r="K19" s="37"/>
      <c r="L19" s="98"/>
      <c r="M19" s="5"/>
      <c r="N19" s="5"/>
      <c r="O19" s="5"/>
      <c r="P19" s="5"/>
    </row>
    <row r="20" spans="1:16" ht="30" customHeight="1" x14ac:dyDescent="0.35">
      <c r="A20" s="5"/>
      <c r="B20" s="5"/>
      <c r="C20" s="5"/>
      <c r="D20" s="146" t="s">
        <v>73</v>
      </c>
      <c r="E20" s="147"/>
      <c r="F20" s="148"/>
      <c r="G20" s="58" t="s">
        <v>296</v>
      </c>
      <c r="H20" s="58" t="s">
        <v>62</v>
      </c>
      <c r="I20" s="65">
        <v>0.05</v>
      </c>
      <c r="J20" s="38" t="s">
        <v>297</v>
      </c>
      <c r="K20" s="37"/>
      <c r="L20" s="98"/>
      <c r="M20" s="5"/>
      <c r="N20" s="5"/>
      <c r="O20" s="5"/>
      <c r="P20" s="5"/>
    </row>
    <row r="21" spans="1:16" ht="15" customHeight="1" x14ac:dyDescent="0.35">
      <c r="A21" s="5"/>
      <c r="B21" s="5"/>
      <c r="C21" s="5"/>
      <c r="D21" s="46" t="s">
        <v>298</v>
      </c>
      <c r="E21" s="43"/>
      <c r="F21" s="42"/>
      <c r="G21" s="58" t="s">
        <v>81</v>
      </c>
      <c r="H21" s="58" t="s">
        <v>78</v>
      </c>
      <c r="I21" s="72">
        <f>I18*0.1199/1000</f>
        <v>1.6016033478260867</v>
      </c>
      <c r="J21" s="38" t="s">
        <v>299</v>
      </c>
      <c r="K21" s="37"/>
      <c r="L21" s="98"/>
      <c r="M21" s="5"/>
      <c r="N21" s="5"/>
      <c r="O21" s="5"/>
      <c r="P21" s="5"/>
    </row>
    <row r="22" spans="1:16" x14ac:dyDescent="0.35">
      <c r="A22" s="5"/>
      <c r="B22" s="5"/>
      <c r="C22" s="5"/>
      <c r="D22" s="122" t="s">
        <v>300</v>
      </c>
      <c r="E22" s="37"/>
      <c r="F22" s="36"/>
      <c r="G22" s="58" t="s">
        <v>84</v>
      </c>
      <c r="H22" s="58" t="s">
        <v>82</v>
      </c>
      <c r="I22" s="64">
        <v>350</v>
      </c>
      <c r="J22" s="38" t="s">
        <v>43</v>
      </c>
      <c r="K22" s="37"/>
      <c r="L22" s="98"/>
      <c r="M22" s="5"/>
      <c r="N22" s="5"/>
      <c r="O22" s="5"/>
      <c r="P22" s="5"/>
    </row>
    <row r="23" spans="1:16" x14ac:dyDescent="0.35">
      <c r="A23" s="5"/>
      <c r="B23" s="5"/>
      <c r="C23" s="5"/>
      <c r="D23" s="122" t="s">
        <v>85</v>
      </c>
      <c r="E23" s="37"/>
      <c r="F23" s="36"/>
      <c r="G23" s="58" t="s">
        <v>86</v>
      </c>
      <c r="H23" s="58" t="s">
        <v>87</v>
      </c>
      <c r="I23" s="64">
        <v>0.06</v>
      </c>
      <c r="J23" s="38" t="s">
        <v>43</v>
      </c>
      <c r="K23" s="37"/>
      <c r="L23" s="98"/>
      <c r="M23" s="5"/>
      <c r="N23" s="5"/>
      <c r="O23" s="5"/>
      <c r="P23" s="5"/>
    </row>
    <row r="24" spans="1:16" x14ac:dyDescent="0.35">
      <c r="A24" s="5"/>
      <c r="B24" s="5"/>
      <c r="C24" s="5"/>
      <c r="D24" s="122" t="s">
        <v>301</v>
      </c>
      <c r="E24" s="37"/>
      <c r="F24" s="36"/>
      <c r="G24" s="58" t="s">
        <v>89</v>
      </c>
      <c r="H24" s="58" t="s">
        <v>302</v>
      </c>
      <c r="I24" s="64">
        <v>1</v>
      </c>
      <c r="J24" s="38" t="s">
        <v>43</v>
      </c>
      <c r="K24" s="37"/>
      <c r="L24" s="98"/>
      <c r="M24" s="5"/>
      <c r="N24" s="5"/>
      <c r="O24" s="5"/>
      <c r="P24" s="5"/>
    </row>
    <row r="25" spans="1:16" x14ac:dyDescent="0.35">
      <c r="A25" s="5"/>
      <c r="B25" s="5"/>
      <c r="C25" s="5"/>
      <c r="D25" s="122" t="s">
        <v>91</v>
      </c>
      <c r="E25" s="37"/>
      <c r="F25" s="36"/>
      <c r="G25" s="58" t="s">
        <v>92</v>
      </c>
      <c r="H25" s="58" t="s">
        <v>93</v>
      </c>
      <c r="I25" s="64">
        <v>60</v>
      </c>
      <c r="J25" s="38" t="s">
        <v>94</v>
      </c>
      <c r="K25" s="37"/>
      <c r="L25" s="98"/>
      <c r="M25" s="5"/>
      <c r="N25" s="5"/>
      <c r="O25" s="5"/>
      <c r="P25" s="5"/>
    </row>
    <row r="26" spans="1:16" ht="15" thickBot="1" x14ac:dyDescent="0.4">
      <c r="A26" s="5"/>
      <c r="B26" s="5"/>
      <c r="C26" s="5"/>
      <c r="D26" s="124" t="s">
        <v>303</v>
      </c>
      <c r="E26" s="104"/>
      <c r="F26" s="125"/>
      <c r="G26" s="126" t="s">
        <v>242</v>
      </c>
      <c r="H26" s="126" t="s">
        <v>93</v>
      </c>
      <c r="I26" s="127">
        <v>2</v>
      </c>
      <c r="J26" s="103" t="s">
        <v>43</v>
      </c>
      <c r="K26" s="104"/>
      <c r="L26" s="105"/>
      <c r="M26" s="5"/>
      <c r="N26" s="5"/>
      <c r="O26" s="5"/>
      <c r="P26" s="5"/>
    </row>
    <row r="27" spans="1:16" x14ac:dyDescent="0.35">
      <c r="A27" s="5"/>
      <c r="B27" s="5"/>
      <c r="C27" s="5"/>
      <c r="D27" s="5"/>
      <c r="E27" s="5"/>
      <c r="F27" s="5"/>
      <c r="G27" s="5"/>
      <c r="H27" s="5"/>
      <c r="I27" s="5"/>
      <c r="J27" s="5"/>
      <c r="K27" s="5"/>
      <c r="L27" s="5"/>
      <c r="M27" s="5"/>
      <c r="N27" s="5"/>
      <c r="O27" s="5"/>
      <c r="P27" s="5"/>
    </row>
    <row r="28" spans="1:16" x14ac:dyDescent="0.35">
      <c r="A28" s="5"/>
      <c r="B28" s="5"/>
      <c r="C28" s="5"/>
      <c r="D28" s="5"/>
      <c r="E28" s="5"/>
      <c r="F28" s="5"/>
      <c r="G28" s="5"/>
      <c r="H28" s="5"/>
      <c r="I28" s="5"/>
      <c r="J28" s="5"/>
      <c r="K28" s="5"/>
      <c r="L28" s="5"/>
      <c r="M28" s="5"/>
      <c r="N28" s="5"/>
      <c r="O28" s="5"/>
      <c r="P28" s="5"/>
    </row>
    <row r="29" spans="1:16" x14ac:dyDescent="0.35">
      <c r="A29" s="5"/>
      <c r="B29" s="5"/>
      <c r="C29" s="5"/>
      <c r="D29" s="5"/>
      <c r="E29" s="5"/>
      <c r="F29" s="5"/>
      <c r="G29" s="5"/>
      <c r="H29" s="5"/>
      <c r="I29" s="5"/>
      <c r="J29" s="5"/>
      <c r="K29" s="5"/>
      <c r="L29" s="5"/>
      <c r="M29" s="5"/>
      <c r="N29" s="5"/>
      <c r="O29" s="5"/>
      <c r="P29" s="5"/>
    </row>
    <row r="30" spans="1:16" ht="23" x14ac:dyDescent="0.5">
      <c r="A30" s="5"/>
      <c r="B30" s="5"/>
      <c r="C30" s="5"/>
      <c r="D30" s="5"/>
      <c r="E30" s="5"/>
      <c r="F30" s="5"/>
      <c r="G30" s="5"/>
      <c r="H30" s="35" t="s">
        <v>243</v>
      </c>
      <c r="I30" s="5"/>
      <c r="J30" s="5"/>
      <c r="K30" s="5"/>
      <c r="L30" s="5"/>
      <c r="M30" s="5"/>
      <c r="N30" s="5"/>
      <c r="O30" s="5"/>
      <c r="P30" s="5"/>
    </row>
    <row r="31" spans="1:16" x14ac:dyDescent="0.35">
      <c r="A31" s="26" t="s">
        <v>95</v>
      </c>
      <c r="B31" s="26"/>
      <c r="C31" s="26"/>
      <c r="D31" s="26"/>
      <c r="E31" s="26"/>
      <c r="F31" s="26"/>
      <c r="G31" s="26"/>
      <c r="H31" s="26"/>
      <c r="I31" s="26"/>
      <c r="J31" s="26" t="s">
        <v>96</v>
      </c>
      <c r="K31" s="26"/>
      <c r="L31" s="26" t="s">
        <v>97</v>
      </c>
      <c r="M31" s="5"/>
      <c r="N31" s="5"/>
      <c r="O31" s="5"/>
      <c r="P31" s="5"/>
    </row>
    <row r="32" spans="1:16" x14ac:dyDescent="0.35">
      <c r="A32" s="5"/>
      <c r="B32" s="5" t="s">
        <v>98</v>
      </c>
      <c r="C32" s="5"/>
      <c r="D32" s="5"/>
      <c r="E32" s="5"/>
      <c r="F32" s="5"/>
      <c r="G32" s="5"/>
      <c r="H32" s="5"/>
      <c r="I32" s="5"/>
      <c r="J32" s="5"/>
      <c r="K32" s="5"/>
      <c r="L32" s="5"/>
      <c r="M32" s="5"/>
      <c r="N32" s="5"/>
      <c r="O32" s="5"/>
      <c r="P32" s="5"/>
    </row>
    <row r="33" spans="1:16" x14ac:dyDescent="0.35">
      <c r="A33" s="5"/>
      <c r="B33" s="5" t="s">
        <v>304</v>
      </c>
      <c r="C33" s="5" t="s">
        <v>305</v>
      </c>
      <c r="D33" s="5"/>
      <c r="E33" s="5"/>
      <c r="F33" s="5"/>
      <c r="G33" s="5"/>
      <c r="H33" s="5"/>
      <c r="I33" s="5"/>
      <c r="J33" s="30">
        <f>ROUND((IF(I3=1,0.75,1))*I6*I11*202400*(I5*I12)^0.42,-3)</f>
        <v>2730000</v>
      </c>
      <c r="K33" s="5"/>
      <c r="L33" s="5" t="s">
        <v>306</v>
      </c>
      <c r="M33" s="5"/>
      <c r="N33" s="5"/>
      <c r="O33" s="5"/>
      <c r="P33" s="5"/>
    </row>
    <row r="34" spans="1:16" x14ac:dyDescent="0.35">
      <c r="A34" s="5"/>
      <c r="B34" s="5" t="s">
        <v>105</v>
      </c>
      <c r="C34" s="5" t="s">
        <v>307</v>
      </c>
      <c r="D34" s="5"/>
      <c r="E34" s="5"/>
      <c r="F34" s="5"/>
      <c r="G34" s="5"/>
      <c r="H34" s="5"/>
      <c r="I34" s="5"/>
      <c r="J34" s="30">
        <f>ROUND((IF(I3=1,0.75,1))*(I16^0.12)*358400*(I5)^0.33,-3)</f>
        <v>5129000</v>
      </c>
      <c r="K34" s="5"/>
      <c r="L34" s="5" t="s">
        <v>308</v>
      </c>
      <c r="M34" s="5"/>
      <c r="N34" s="5"/>
      <c r="O34" s="5"/>
      <c r="P34" s="5"/>
    </row>
    <row r="35" spans="1:16" x14ac:dyDescent="0.35">
      <c r="A35" s="5"/>
      <c r="B35" s="5" t="s">
        <v>108</v>
      </c>
      <c r="C35" s="5" t="s">
        <v>309</v>
      </c>
      <c r="D35" s="5"/>
      <c r="E35" s="5"/>
      <c r="F35" s="5"/>
      <c r="G35" s="5"/>
      <c r="H35" s="5"/>
      <c r="I35" s="5"/>
      <c r="J35" s="33">
        <f>SUM(J33:J34)</f>
        <v>7859000</v>
      </c>
      <c r="K35" s="5"/>
      <c r="L35" s="5" t="s">
        <v>110</v>
      </c>
      <c r="M35" s="5"/>
      <c r="N35" s="5"/>
      <c r="O35" s="5"/>
      <c r="P35" s="5"/>
    </row>
    <row r="36" spans="1:16" x14ac:dyDescent="0.35">
      <c r="A36" s="5"/>
      <c r="B36" s="5" t="s">
        <v>111</v>
      </c>
      <c r="C36" s="5"/>
      <c r="D36" s="5"/>
      <c r="E36" s="5"/>
      <c r="F36" s="5"/>
      <c r="G36" s="5"/>
      <c r="H36" s="5"/>
      <c r="I36" s="5"/>
      <c r="J36" s="31">
        <f>J35/(I5*1000)</f>
        <v>15.718</v>
      </c>
      <c r="K36" s="5"/>
      <c r="L36" s="5" t="s">
        <v>112</v>
      </c>
      <c r="M36" s="5"/>
      <c r="N36" s="5"/>
      <c r="O36" s="5"/>
      <c r="P36" s="5"/>
    </row>
    <row r="37" spans="1:16" x14ac:dyDescent="0.35">
      <c r="A37" s="5"/>
      <c r="B37" s="5"/>
      <c r="C37" s="5"/>
      <c r="D37" s="5"/>
      <c r="E37" s="5"/>
      <c r="F37" s="5"/>
      <c r="G37" s="5"/>
      <c r="H37" s="5"/>
      <c r="I37" s="5"/>
      <c r="J37" s="5"/>
      <c r="K37" s="5"/>
      <c r="L37" s="5"/>
      <c r="M37" s="5"/>
      <c r="N37" s="5"/>
      <c r="O37" s="5"/>
      <c r="P37" s="5"/>
    </row>
    <row r="38" spans="1:16" x14ac:dyDescent="0.35">
      <c r="A38" s="26" t="s">
        <v>113</v>
      </c>
      <c r="B38" s="5"/>
      <c r="C38" s="5"/>
      <c r="D38" s="5"/>
      <c r="E38" s="5"/>
      <c r="F38" s="5"/>
      <c r="G38" s="5"/>
      <c r="H38" s="5"/>
      <c r="I38" s="5"/>
      <c r="J38" s="5"/>
      <c r="K38" s="5"/>
      <c r="L38" s="5"/>
      <c r="M38" s="5"/>
      <c r="N38" s="5"/>
      <c r="O38" s="5"/>
      <c r="P38" s="5"/>
    </row>
    <row r="39" spans="1:16" x14ac:dyDescent="0.35">
      <c r="A39" s="5"/>
      <c r="B39" s="5" t="s">
        <v>114</v>
      </c>
      <c r="C39" s="5"/>
      <c r="D39" s="5"/>
      <c r="E39" s="5"/>
      <c r="F39" s="5"/>
      <c r="G39" s="5"/>
      <c r="H39" s="5"/>
      <c r="I39" s="5"/>
      <c r="J39" s="30">
        <f>ROUND($J$35*0.1,-3)</f>
        <v>786000</v>
      </c>
      <c r="K39" s="5"/>
      <c r="L39" s="5" t="s">
        <v>115</v>
      </c>
      <c r="M39" s="5"/>
      <c r="N39" s="5"/>
      <c r="O39" s="5"/>
      <c r="P39" s="5"/>
    </row>
    <row r="40" spans="1:16" x14ac:dyDescent="0.35">
      <c r="A40" s="5"/>
      <c r="B40" s="5" t="s">
        <v>116</v>
      </c>
      <c r="C40" s="5"/>
      <c r="D40" s="5"/>
      <c r="E40" s="5"/>
      <c r="F40" s="5"/>
      <c r="G40" s="5"/>
      <c r="H40" s="5"/>
      <c r="I40" s="5"/>
      <c r="J40" s="30">
        <f t="shared" ref="J40:J41" si="0">ROUND($J$35*0.1,-3)</f>
        <v>786000</v>
      </c>
      <c r="K40" s="5"/>
      <c r="L40" s="5" t="s">
        <v>117</v>
      </c>
      <c r="M40" s="5"/>
      <c r="N40" s="5"/>
      <c r="O40" s="5"/>
      <c r="P40" s="5"/>
    </row>
    <row r="41" spans="1:16" x14ac:dyDescent="0.35">
      <c r="A41" s="5"/>
      <c r="B41" s="5" t="s">
        <v>118</v>
      </c>
      <c r="C41" s="5"/>
      <c r="D41" s="5"/>
      <c r="E41" s="5"/>
      <c r="F41" s="5"/>
      <c r="G41" s="5"/>
      <c r="H41" s="5"/>
      <c r="I41" s="5"/>
      <c r="J41" s="30">
        <f t="shared" si="0"/>
        <v>786000</v>
      </c>
      <c r="K41" s="5"/>
      <c r="L41" s="5" t="s">
        <v>119</v>
      </c>
      <c r="M41" s="5"/>
      <c r="N41" s="5"/>
      <c r="O41" s="5"/>
      <c r="P41" s="5"/>
    </row>
    <row r="42" spans="1:16" x14ac:dyDescent="0.35">
      <c r="A42" s="5"/>
      <c r="B42" s="5"/>
      <c r="C42" s="5"/>
      <c r="D42" s="5"/>
      <c r="E42" s="5"/>
      <c r="F42" s="5"/>
      <c r="G42" s="5"/>
      <c r="H42" s="5"/>
      <c r="I42" s="5"/>
      <c r="J42" s="5"/>
      <c r="K42" s="5"/>
      <c r="L42" s="5"/>
      <c r="M42" s="5"/>
      <c r="N42" s="5"/>
      <c r="O42" s="5"/>
      <c r="P42" s="5"/>
    </row>
    <row r="43" spans="1:16" x14ac:dyDescent="0.35">
      <c r="A43" s="5"/>
      <c r="B43" s="26" t="s">
        <v>120</v>
      </c>
      <c r="C43" s="26"/>
      <c r="D43" s="26"/>
      <c r="E43" s="26"/>
      <c r="F43" s="26"/>
      <c r="G43" s="26"/>
      <c r="H43" s="26"/>
      <c r="I43" s="26"/>
      <c r="J43" s="29">
        <f>SUM(J35+J39+J40+J41)</f>
        <v>10217000</v>
      </c>
      <c r="K43" s="5"/>
      <c r="L43" s="5" t="s">
        <v>121</v>
      </c>
      <c r="M43" s="5"/>
      <c r="N43" s="5"/>
      <c r="O43" s="5"/>
      <c r="P43" s="5"/>
    </row>
    <row r="44" spans="1:16" x14ac:dyDescent="0.35">
      <c r="A44" s="5"/>
      <c r="B44" s="26" t="s">
        <v>122</v>
      </c>
      <c r="C44" s="26"/>
      <c r="D44" s="26"/>
      <c r="E44" s="26"/>
      <c r="F44" s="26"/>
      <c r="G44" s="26"/>
      <c r="H44" s="26"/>
      <c r="I44" s="26"/>
      <c r="J44" s="28">
        <f>J43/(I5*1000)</f>
        <v>20.434000000000001</v>
      </c>
      <c r="K44" s="5"/>
      <c r="L44" s="5" t="s">
        <v>123</v>
      </c>
      <c r="M44" s="5"/>
      <c r="N44" s="5"/>
      <c r="O44" s="5"/>
      <c r="P44" s="5"/>
    </row>
    <row r="45" spans="1:16" x14ac:dyDescent="0.35">
      <c r="A45" s="5"/>
      <c r="B45" s="5"/>
      <c r="C45" s="5"/>
      <c r="D45" s="5"/>
      <c r="E45" s="5"/>
      <c r="F45" s="5"/>
      <c r="G45" s="5"/>
      <c r="H45" s="5"/>
      <c r="I45" s="5"/>
      <c r="J45" s="5"/>
      <c r="K45" s="5"/>
      <c r="L45" s="5"/>
      <c r="M45" s="5"/>
      <c r="N45" s="5"/>
      <c r="O45" s="5"/>
      <c r="P45" s="5"/>
    </row>
    <row r="46" spans="1:16" x14ac:dyDescent="0.35">
      <c r="A46" s="5"/>
      <c r="B46" s="5" t="s">
        <v>207</v>
      </c>
      <c r="C46" s="5"/>
      <c r="D46" s="5"/>
      <c r="E46" s="5"/>
      <c r="F46" s="5"/>
      <c r="G46" s="5"/>
      <c r="H46" s="5"/>
      <c r="I46" s="5"/>
      <c r="J46" s="30">
        <f>ROUND($J$43*0.05,-3)</f>
        <v>511000</v>
      </c>
      <c r="K46" s="5"/>
      <c r="L46" s="5" t="s">
        <v>125</v>
      </c>
      <c r="M46" s="5"/>
      <c r="N46" s="5"/>
      <c r="O46" s="5"/>
      <c r="P46" s="5"/>
    </row>
    <row r="47" spans="1:16" x14ac:dyDescent="0.35">
      <c r="A47" s="5"/>
      <c r="B47" s="26" t="s">
        <v>126</v>
      </c>
      <c r="C47" s="26"/>
      <c r="D47" s="26"/>
      <c r="E47" s="26"/>
      <c r="F47" s="26"/>
      <c r="G47" s="26"/>
      <c r="H47" s="26"/>
      <c r="I47" s="26"/>
      <c r="J47" s="29">
        <f>J46+J43</f>
        <v>10728000</v>
      </c>
      <c r="K47" s="5"/>
      <c r="L47" s="5" t="s">
        <v>127</v>
      </c>
      <c r="M47" s="5"/>
      <c r="N47" s="5"/>
      <c r="O47" s="5"/>
      <c r="P47" s="5"/>
    </row>
    <row r="48" spans="1:16" x14ac:dyDescent="0.35">
      <c r="A48" s="5"/>
      <c r="B48" s="26" t="s">
        <v>128</v>
      </c>
      <c r="C48" s="26"/>
      <c r="D48" s="26"/>
      <c r="E48" s="26"/>
      <c r="F48" s="26"/>
      <c r="G48" s="26"/>
      <c r="H48" s="26"/>
      <c r="I48" s="26"/>
      <c r="J48" s="28">
        <f>J47/(I5*1000)</f>
        <v>21.456</v>
      </c>
      <c r="K48" s="5"/>
      <c r="L48" s="5" t="s">
        <v>129</v>
      </c>
      <c r="M48" s="5"/>
      <c r="N48" s="5"/>
      <c r="O48" s="5"/>
      <c r="P48" s="5"/>
    </row>
    <row r="49" spans="1:16" x14ac:dyDescent="0.35">
      <c r="A49" s="5"/>
      <c r="B49" s="5"/>
      <c r="C49" s="5"/>
      <c r="D49" s="5"/>
      <c r="E49" s="5"/>
      <c r="F49" s="5"/>
      <c r="G49" s="5"/>
      <c r="H49" s="5"/>
      <c r="I49" s="5"/>
      <c r="J49" s="5"/>
      <c r="K49" s="5"/>
      <c r="L49" s="5"/>
      <c r="M49" s="5"/>
      <c r="N49" s="5"/>
      <c r="O49" s="5"/>
      <c r="P49" s="5"/>
    </row>
    <row r="50" spans="1:16" x14ac:dyDescent="0.35">
      <c r="A50" s="5"/>
      <c r="B50" s="5" t="s">
        <v>310</v>
      </c>
      <c r="C50" s="5"/>
      <c r="D50" s="5"/>
      <c r="E50" s="5"/>
      <c r="F50" s="5"/>
      <c r="G50" s="5"/>
      <c r="H50" s="5"/>
      <c r="I50" s="5"/>
      <c r="J50" s="30">
        <v>0</v>
      </c>
      <c r="K50" s="5"/>
      <c r="L50" s="5" t="s">
        <v>311</v>
      </c>
      <c r="M50" s="5"/>
      <c r="N50" s="5"/>
      <c r="O50" s="5"/>
      <c r="P50" s="5"/>
    </row>
    <row r="51" spans="1:16" x14ac:dyDescent="0.35">
      <c r="A51" s="5"/>
      <c r="B51" s="5"/>
      <c r="C51" s="5"/>
      <c r="D51" s="5"/>
      <c r="E51" s="5"/>
      <c r="F51" s="5"/>
      <c r="G51" s="5"/>
      <c r="H51" s="5"/>
      <c r="I51" s="5"/>
      <c r="J51" s="5"/>
      <c r="K51" s="5"/>
      <c r="L51" s="5"/>
      <c r="M51" s="5"/>
      <c r="N51" s="5"/>
      <c r="O51" s="5"/>
      <c r="P51" s="5"/>
    </row>
    <row r="52" spans="1:16" x14ac:dyDescent="0.35">
      <c r="A52" s="5"/>
      <c r="B52" s="5" t="s">
        <v>132</v>
      </c>
      <c r="C52" s="5"/>
      <c r="D52" s="5"/>
      <c r="E52" s="5"/>
      <c r="F52" s="5"/>
      <c r="G52" s="5"/>
      <c r="H52" s="5"/>
      <c r="I52" s="5"/>
      <c r="J52" s="30">
        <f>ROUND((J44+J47)*IF(I4,0.15,0),-3)</f>
        <v>0</v>
      </c>
      <c r="K52" s="5"/>
      <c r="L52" s="5" t="s">
        <v>133</v>
      </c>
      <c r="M52" s="5"/>
      <c r="N52" s="5"/>
      <c r="O52" s="5"/>
      <c r="P52" s="5"/>
    </row>
    <row r="53" spans="1:16" x14ac:dyDescent="0.35">
      <c r="A53" s="5"/>
      <c r="B53" s="5"/>
      <c r="C53" s="5"/>
      <c r="D53" s="5"/>
      <c r="E53" s="5"/>
      <c r="F53" s="5"/>
      <c r="G53" s="5"/>
      <c r="H53" s="5"/>
      <c r="I53" s="5"/>
      <c r="J53" s="5"/>
      <c r="K53" s="5"/>
      <c r="L53" s="5"/>
      <c r="M53" s="5"/>
      <c r="N53" s="5"/>
      <c r="O53" s="5"/>
      <c r="P53" s="5"/>
    </row>
    <row r="54" spans="1:16" x14ac:dyDescent="0.35">
      <c r="A54" s="5"/>
      <c r="B54" s="26" t="s">
        <v>312</v>
      </c>
      <c r="C54" s="26"/>
      <c r="D54" s="26"/>
      <c r="E54" s="26"/>
      <c r="F54" s="26"/>
      <c r="G54" s="26"/>
      <c r="H54" s="26"/>
      <c r="I54" s="26"/>
      <c r="J54" s="29">
        <f>J43+J46+J50+J52</f>
        <v>10728000</v>
      </c>
      <c r="K54" s="5"/>
      <c r="L54" s="5" t="s">
        <v>135</v>
      </c>
      <c r="M54" s="5"/>
      <c r="N54" s="5"/>
      <c r="O54" s="5"/>
      <c r="P54" s="5"/>
    </row>
    <row r="55" spans="1:16" x14ac:dyDescent="0.35">
      <c r="A55" s="5"/>
      <c r="B55" s="26" t="s">
        <v>313</v>
      </c>
      <c r="C55" s="26"/>
      <c r="D55" s="26"/>
      <c r="E55" s="26"/>
      <c r="F55" s="26"/>
      <c r="G55" s="26"/>
      <c r="H55" s="26"/>
      <c r="I55" s="26"/>
      <c r="J55" s="28">
        <f>J54/(I5*1000)</f>
        <v>21.456</v>
      </c>
      <c r="K55" s="5"/>
      <c r="L55" s="5" t="s">
        <v>137</v>
      </c>
      <c r="M55" s="5"/>
      <c r="N55" s="5"/>
      <c r="O55" s="5"/>
      <c r="P55" s="5"/>
    </row>
    <row r="56" spans="1:16" x14ac:dyDescent="0.35">
      <c r="A56" s="5"/>
      <c r="B56" s="5"/>
      <c r="C56" s="5"/>
      <c r="D56" s="5"/>
      <c r="E56" s="5"/>
      <c r="F56" s="5"/>
      <c r="G56" s="5"/>
      <c r="H56" s="5"/>
      <c r="I56" s="5"/>
      <c r="J56" s="5"/>
      <c r="K56" s="5"/>
      <c r="L56" s="5"/>
      <c r="M56" s="5"/>
      <c r="N56" s="5"/>
      <c r="O56" s="5"/>
      <c r="P56" s="5"/>
    </row>
    <row r="57" spans="1:16" x14ac:dyDescent="0.35">
      <c r="A57" s="5" t="s">
        <v>138</v>
      </c>
      <c r="B57" s="5"/>
      <c r="C57" s="5"/>
      <c r="D57" s="5"/>
      <c r="E57" s="5"/>
      <c r="F57" s="5"/>
      <c r="G57" s="5"/>
      <c r="H57" s="5"/>
      <c r="I57" s="5"/>
      <c r="J57" s="5"/>
      <c r="K57" s="5"/>
      <c r="L57" s="5"/>
      <c r="M57" s="5"/>
      <c r="N57" s="5"/>
      <c r="O57" s="5"/>
      <c r="P57" s="5"/>
    </row>
    <row r="58" spans="1:16" x14ac:dyDescent="0.35">
      <c r="A58" s="5"/>
      <c r="B58" s="5" t="s">
        <v>314</v>
      </c>
      <c r="C58" s="5"/>
      <c r="D58" s="5"/>
      <c r="E58" s="5"/>
      <c r="F58" s="5"/>
      <c r="G58" s="5"/>
      <c r="H58" s="5"/>
      <c r="I58" s="5"/>
      <c r="J58" s="27">
        <f>ROUND(0*2080*I25/(I5*1000),3)</f>
        <v>0</v>
      </c>
      <c r="K58" s="5"/>
      <c r="L58" s="5" t="s">
        <v>140</v>
      </c>
      <c r="M58" s="5"/>
      <c r="N58" s="5"/>
      <c r="O58" s="5"/>
      <c r="P58" s="5"/>
    </row>
    <row r="59" spans="1:16" x14ac:dyDescent="0.35">
      <c r="A59" s="5"/>
      <c r="B59" s="5" t="s">
        <v>315</v>
      </c>
      <c r="C59" s="5"/>
      <c r="D59" s="5"/>
      <c r="E59" s="5"/>
      <c r="F59" s="5"/>
      <c r="G59" s="5"/>
      <c r="H59" s="5"/>
      <c r="I59" s="5"/>
      <c r="J59" s="27">
        <f>ROUND((J35*0.012)/(I6*I5*1000),2)</f>
        <v>0.19</v>
      </c>
      <c r="K59" s="5"/>
      <c r="L59" s="5" t="s">
        <v>142</v>
      </c>
      <c r="M59" s="5"/>
      <c r="N59" s="5"/>
      <c r="O59" s="5"/>
      <c r="P59" s="5"/>
    </row>
    <row r="60" spans="1:16" x14ac:dyDescent="0.35">
      <c r="A60" s="5"/>
      <c r="B60" s="5" t="s">
        <v>143</v>
      </c>
      <c r="C60" s="5"/>
      <c r="D60" s="5"/>
      <c r="E60" s="5"/>
      <c r="F60" s="5"/>
      <c r="G60" s="5"/>
      <c r="H60" s="5"/>
      <c r="I60" s="5"/>
      <c r="J60" s="27">
        <f>ROUND(0.03*(J58+0.4*J59),4)</f>
        <v>2.3E-3</v>
      </c>
      <c r="K60" s="5"/>
      <c r="L60" s="5" t="s">
        <v>144</v>
      </c>
      <c r="M60" s="5"/>
      <c r="N60" s="5"/>
      <c r="O60" s="5"/>
      <c r="P60" s="5"/>
    </row>
    <row r="61" spans="1:16" x14ac:dyDescent="0.35">
      <c r="A61" s="5"/>
      <c r="B61" s="5"/>
      <c r="C61" s="5"/>
      <c r="D61" s="5"/>
      <c r="E61" s="5"/>
      <c r="F61" s="5"/>
      <c r="G61" s="5"/>
      <c r="H61" s="5"/>
      <c r="I61" s="5"/>
      <c r="J61" s="5"/>
      <c r="K61" s="5"/>
      <c r="L61" s="5"/>
      <c r="M61" s="5"/>
      <c r="N61" s="5"/>
      <c r="O61" s="5"/>
      <c r="P61" s="5"/>
    </row>
    <row r="62" spans="1:16" x14ac:dyDescent="0.35">
      <c r="A62" s="5"/>
      <c r="B62" s="5"/>
      <c r="C62" s="5"/>
      <c r="D62" s="5"/>
      <c r="E62" s="5"/>
      <c r="F62" s="5"/>
      <c r="G62" s="26"/>
      <c r="H62" s="5"/>
      <c r="I62" s="5"/>
      <c r="J62" s="5"/>
      <c r="K62" s="5"/>
      <c r="L62" s="5"/>
      <c r="M62" s="5"/>
      <c r="N62" s="5"/>
      <c r="O62" s="5"/>
      <c r="P62" s="5"/>
    </row>
    <row r="63" spans="1:16" x14ac:dyDescent="0.35">
      <c r="A63" s="5"/>
      <c r="B63" s="26" t="s">
        <v>145</v>
      </c>
      <c r="C63" s="26"/>
      <c r="D63" s="26"/>
      <c r="E63" s="26"/>
      <c r="F63" s="26"/>
      <c r="G63" s="5"/>
      <c r="H63" s="26"/>
      <c r="I63" s="26"/>
      <c r="J63" s="25">
        <f>SUM(J58+J59+J60)</f>
        <v>0.1923</v>
      </c>
      <c r="K63" s="5"/>
      <c r="L63" s="5" t="s">
        <v>146</v>
      </c>
      <c r="M63" s="5"/>
      <c r="N63" s="5"/>
      <c r="O63" s="5"/>
      <c r="P63" s="5"/>
    </row>
    <row r="64" spans="1:16" x14ac:dyDescent="0.35">
      <c r="A64" s="5"/>
      <c r="B64" s="5"/>
      <c r="C64" s="5"/>
      <c r="D64" s="5"/>
      <c r="E64" s="5"/>
      <c r="F64" s="5"/>
      <c r="G64" s="5"/>
      <c r="H64" s="5"/>
      <c r="I64" s="5"/>
      <c r="J64" s="5"/>
      <c r="K64" s="5"/>
      <c r="L64" s="5"/>
      <c r="M64" s="5"/>
      <c r="N64" s="5"/>
      <c r="O64" s="5"/>
      <c r="P64" s="5"/>
    </row>
    <row r="65" spans="1:16" x14ac:dyDescent="0.35">
      <c r="A65" s="5" t="s">
        <v>147</v>
      </c>
      <c r="B65" s="5"/>
      <c r="C65" s="5"/>
      <c r="D65" s="5"/>
      <c r="E65" s="5"/>
      <c r="F65" s="5"/>
      <c r="G65" s="5"/>
      <c r="H65" s="5"/>
      <c r="I65" s="5"/>
      <c r="J65" s="5"/>
      <c r="K65" s="5"/>
      <c r="L65" s="5"/>
      <c r="M65" s="5"/>
      <c r="N65" s="5"/>
      <c r="O65" s="5"/>
      <c r="P65" s="5"/>
    </row>
    <row r="66" spans="1:16" x14ac:dyDescent="0.35">
      <c r="A66" s="5"/>
      <c r="B66" s="5" t="s">
        <v>316</v>
      </c>
      <c r="C66" s="5"/>
      <c r="D66" s="5"/>
      <c r="E66" s="5"/>
      <c r="F66" s="5"/>
      <c r="G66" s="5"/>
      <c r="H66" s="5"/>
      <c r="I66" s="5"/>
      <c r="J66" s="27">
        <f>ROUND(I17*I22/(I5*1000),2)</f>
        <v>0.49</v>
      </c>
      <c r="K66" s="5"/>
      <c r="L66" s="5" t="s">
        <v>317</v>
      </c>
      <c r="M66" s="5"/>
      <c r="N66" s="5"/>
      <c r="O66" s="5"/>
      <c r="P66" s="5"/>
    </row>
    <row r="67" spans="1:16" x14ac:dyDescent="0.35">
      <c r="A67" s="5"/>
      <c r="B67" s="5" t="s">
        <v>318</v>
      </c>
      <c r="C67" s="5"/>
      <c r="D67" s="5"/>
      <c r="E67" s="5"/>
      <c r="F67" s="5"/>
      <c r="G67" s="5"/>
      <c r="H67" s="5"/>
      <c r="I67" s="5"/>
      <c r="J67" s="27">
        <f>ROUND(I21*I24/I5,3)</f>
        <v>3.0000000000000001E-3</v>
      </c>
      <c r="K67" s="5"/>
      <c r="L67" s="5" t="s">
        <v>319</v>
      </c>
      <c r="M67" s="5"/>
      <c r="N67" s="5"/>
      <c r="O67" s="5"/>
      <c r="P67" s="5"/>
    </row>
    <row r="68" spans="1:16" x14ac:dyDescent="0.35">
      <c r="A68" s="5"/>
      <c r="B68" s="5" t="s">
        <v>320</v>
      </c>
      <c r="C68" s="5"/>
      <c r="D68" s="5"/>
      <c r="E68" s="5"/>
      <c r="F68" s="5"/>
      <c r="G68" s="5"/>
      <c r="H68" s="5"/>
      <c r="I68" s="5"/>
      <c r="J68" s="27">
        <f>IF(B113,I20*I23*10,0)</f>
        <v>0.03</v>
      </c>
      <c r="K68" s="5"/>
      <c r="L68" s="5" t="s">
        <v>321</v>
      </c>
      <c r="M68" s="5"/>
      <c r="N68" s="5"/>
      <c r="O68" s="5"/>
      <c r="P68" s="5"/>
    </row>
    <row r="69" spans="1:16" x14ac:dyDescent="0.35">
      <c r="A69" s="5"/>
      <c r="B69" s="5" t="s">
        <v>322</v>
      </c>
      <c r="C69" s="5"/>
      <c r="D69" s="5"/>
      <c r="E69" s="5"/>
      <c r="F69" s="5"/>
      <c r="G69" s="5"/>
      <c r="H69" s="5"/>
      <c r="I69" s="5"/>
      <c r="J69" s="27">
        <f>IF(B116,0.001175*I18*I26/I5,0)</f>
        <v>6.2781782608695644E-2</v>
      </c>
      <c r="K69" s="5"/>
      <c r="L69" s="5" t="s">
        <v>323</v>
      </c>
      <c r="M69" s="5"/>
      <c r="N69" s="5"/>
      <c r="O69" s="5"/>
      <c r="P69" s="5"/>
    </row>
    <row r="70" spans="1:16" x14ac:dyDescent="0.35">
      <c r="A70" s="5"/>
      <c r="B70" s="5"/>
      <c r="C70" s="5"/>
      <c r="D70" s="5"/>
      <c r="E70" s="5"/>
      <c r="F70" s="5"/>
      <c r="G70" s="5"/>
      <c r="H70" s="5"/>
      <c r="I70" s="5"/>
      <c r="J70" s="5"/>
      <c r="K70" s="5"/>
      <c r="L70" s="5"/>
      <c r="M70" s="5"/>
      <c r="N70" s="5"/>
      <c r="O70" s="5"/>
      <c r="P70" s="5"/>
    </row>
    <row r="71" spans="1:16" x14ac:dyDescent="0.35">
      <c r="A71" s="5"/>
      <c r="B71" s="5"/>
      <c r="C71" s="5"/>
      <c r="D71" s="5"/>
      <c r="E71" s="5"/>
      <c r="F71" s="5"/>
      <c r="G71" s="26"/>
      <c r="H71" s="5"/>
      <c r="I71" s="5"/>
      <c r="J71" s="5"/>
      <c r="K71" s="5"/>
      <c r="L71" s="5"/>
      <c r="M71" s="5"/>
      <c r="N71" s="5"/>
      <c r="O71" s="5"/>
      <c r="P71" s="5"/>
    </row>
    <row r="72" spans="1:16" x14ac:dyDescent="0.35">
      <c r="A72" s="5"/>
      <c r="B72" s="26" t="s">
        <v>156</v>
      </c>
      <c r="C72" s="26"/>
      <c r="D72" s="26"/>
      <c r="E72" s="26"/>
      <c r="F72" s="26"/>
      <c r="G72" s="5"/>
      <c r="H72" s="26"/>
      <c r="I72" s="26"/>
      <c r="J72" s="25">
        <f>SUM(J66+J67+J68+J69)</f>
        <v>0.58578178260869562</v>
      </c>
      <c r="K72" s="5"/>
      <c r="L72" s="5" t="s">
        <v>157</v>
      </c>
      <c r="M72" s="5"/>
      <c r="N72" s="5"/>
      <c r="O72" s="5"/>
      <c r="P72" s="5"/>
    </row>
    <row r="73" spans="1:16" x14ac:dyDescent="0.35">
      <c r="A73" s="5"/>
      <c r="B73" s="5"/>
      <c r="C73" s="5"/>
      <c r="D73" s="5"/>
      <c r="E73" s="5"/>
      <c r="F73" s="5"/>
      <c r="G73" s="10" t="s">
        <v>158</v>
      </c>
      <c r="H73" s="5"/>
      <c r="I73" s="5"/>
      <c r="J73" s="5"/>
      <c r="K73" s="5"/>
      <c r="L73" s="5"/>
      <c r="M73" s="5"/>
      <c r="N73" s="5"/>
      <c r="O73" s="5"/>
      <c r="P73" s="5"/>
    </row>
    <row r="74" spans="1:16" x14ac:dyDescent="0.35">
      <c r="A74" s="5"/>
      <c r="B74" s="5"/>
      <c r="C74" s="5"/>
      <c r="D74" s="5"/>
      <c r="E74" s="5"/>
      <c r="F74" s="5"/>
      <c r="G74" s="10" t="s">
        <v>159</v>
      </c>
      <c r="H74" s="24">
        <f>I14/100</f>
        <v>0.26</v>
      </c>
      <c r="I74" s="5"/>
      <c r="J74" s="5"/>
      <c r="K74" s="5"/>
      <c r="L74" s="5"/>
      <c r="M74" s="5"/>
      <c r="N74" s="5"/>
      <c r="O74" s="5"/>
      <c r="P74" s="5"/>
    </row>
    <row r="75" spans="1:16" x14ac:dyDescent="0.35">
      <c r="A75" s="5"/>
      <c r="B75" s="5"/>
      <c r="C75" s="5"/>
      <c r="D75" s="5"/>
      <c r="E75" s="5"/>
      <c r="F75" s="5"/>
      <c r="G75" s="10" t="s">
        <v>160</v>
      </c>
      <c r="H75" s="9">
        <f>H74*I5*8760</f>
        <v>1138800</v>
      </c>
      <c r="I75" s="5"/>
      <c r="J75" s="5"/>
      <c r="K75" s="5"/>
      <c r="L75" s="5"/>
      <c r="M75" s="5"/>
      <c r="N75" s="5"/>
      <c r="O75" s="5"/>
      <c r="P75" s="5"/>
    </row>
    <row r="76" spans="1:16" x14ac:dyDescent="0.35">
      <c r="A76" s="5"/>
      <c r="B76" s="5"/>
      <c r="C76" s="5"/>
      <c r="D76" s="5"/>
      <c r="E76" s="5"/>
      <c r="F76" s="5"/>
      <c r="G76" s="10" t="s">
        <v>324</v>
      </c>
      <c r="H76" s="22">
        <f>H75*1000*I7/1000000</f>
        <v>11160240</v>
      </c>
      <c r="I76" s="5"/>
      <c r="J76" s="5"/>
      <c r="K76" s="5"/>
      <c r="L76" s="5"/>
      <c r="M76" s="5"/>
      <c r="N76" s="5"/>
      <c r="O76" s="5"/>
      <c r="P76" s="5"/>
    </row>
    <row r="77" spans="1:16" x14ac:dyDescent="0.35">
      <c r="A77" s="5"/>
      <c r="B77" s="5"/>
      <c r="C77" s="5"/>
      <c r="D77" s="5"/>
      <c r="E77" s="5"/>
      <c r="F77" s="5"/>
      <c r="G77" s="10" t="s">
        <v>325</v>
      </c>
      <c r="H77" s="22">
        <f>I8*H76/2000</f>
        <v>1227.6263999999999</v>
      </c>
      <c r="I77" s="5" t="s">
        <v>326</v>
      </c>
      <c r="J77" s="5"/>
      <c r="K77" s="5"/>
      <c r="L77" s="5"/>
      <c r="M77" s="5"/>
      <c r="N77" s="5"/>
      <c r="O77" s="5"/>
      <c r="P77" s="5"/>
    </row>
    <row r="78" spans="1:16" x14ac:dyDescent="0.35">
      <c r="A78" s="5"/>
      <c r="B78" s="5"/>
      <c r="C78" s="5"/>
      <c r="D78" s="5"/>
      <c r="E78" s="5"/>
      <c r="F78" s="5"/>
      <c r="G78" s="10" t="s">
        <v>327</v>
      </c>
      <c r="H78" s="22">
        <f>I15*H77/100</f>
        <v>184.14395999999996</v>
      </c>
      <c r="I78" s="5" t="str">
        <f>"at removal efficiency = "&amp;I15&amp;"%"</f>
        <v>at removal efficiency = 15%</v>
      </c>
      <c r="J78" s="5"/>
      <c r="K78" s="5"/>
      <c r="L78" s="5"/>
      <c r="M78" s="5"/>
      <c r="N78" s="5"/>
      <c r="O78" s="5"/>
      <c r="P78" s="5"/>
    </row>
    <row r="79" spans="1:16" x14ac:dyDescent="0.35">
      <c r="A79" s="5"/>
      <c r="B79" s="5"/>
      <c r="C79" s="5"/>
      <c r="D79" s="5"/>
      <c r="E79" s="5"/>
      <c r="F79" s="5"/>
      <c r="G79" s="10" t="s">
        <v>328</v>
      </c>
      <c r="H79" s="22">
        <f>H77-H78</f>
        <v>1043.48244</v>
      </c>
      <c r="I79" s="5"/>
      <c r="J79" s="5"/>
      <c r="K79" s="5"/>
      <c r="L79" s="5"/>
      <c r="M79" s="5"/>
      <c r="N79" s="5"/>
      <c r="O79" s="5"/>
      <c r="P79" s="5"/>
    </row>
    <row r="80" spans="1:16" x14ac:dyDescent="0.35">
      <c r="A80" s="5"/>
      <c r="B80" s="5"/>
      <c r="C80" s="5"/>
      <c r="D80" s="5"/>
      <c r="E80" s="5"/>
      <c r="F80" s="5"/>
      <c r="G80" s="5"/>
      <c r="H80" s="5">
        <f>H79*2000/H76</f>
        <v>0.187</v>
      </c>
      <c r="I80" s="5"/>
      <c r="J80" s="5"/>
      <c r="K80" s="5"/>
      <c r="L80" s="5"/>
      <c r="M80" s="5"/>
      <c r="N80" s="5"/>
      <c r="O80" s="5"/>
      <c r="P80" s="5"/>
    </row>
    <row r="81" spans="1:16" x14ac:dyDescent="0.35">
      <c r="A81" s="5"/>
      <c r="B81" s="5"/>
      <c r="C81" s="5"/>
      <c r="D81" s="5"/>
      <c r="E81" s="5"/>
      <c r="F81" s="5"/>
      <c r="G81" s="10" t="s">
        <v>166</v>
      </c>
      <c r="H81" s="5"/>
      <c r="I81" s="5"/>
      <c r="J81" s="5"/>
      <c r="K81" s="5"/>
      <c r="L81" s="5"/>
      <c r="M81" s="5"/>
      <c r="N81" s="5"/>
      <c r="O81" s="5"/>
      <c r="P81" s="5"/>
    </row>
    <row r="82" spans="1:16" x14ac:dyDescent="0.35">
      <c r="A82" s="5"/>
      <c r="B82" s="5"/>
      <c r="C82" s="5"/>
      <c r="D82" s="5"/>
      <c r="E82" s="5"/>
      <c r="F82" s="5"/>
      <c r="G82" s="5"/>
      <c r="H82" s="17">
        <f>0.143</f>
        <v>0.14299999999999999</v>
      </c>
      <c r="I82" s="10" t="s">
        <v>329</v>
      </c>
      <c r="J82" s="5"/>
      <c r="K82" s="5"/>
      <c r="L82" s="5"/>
      <c r="M82" s="5"/>
      <c r="N82" s="5"/>
      <c r="O82" s="5"/>
      <c r="P82" s="5"/>
    </row>
    <row r="83" spans="1:16" x14ac:dyDescent="0.35">
      <c r="A83" s="5"/>
      <c r="B83" s="5"/>
      <c r="C83" s="5"/>
      <c r="D83" s="5"/>
      <c r="E83" s="5"/>
      <c r="F83" s="5"/>
      <c r="G83" s="5"/>
      <c r="H83" s="10" t="s">
        <v>168</v>
      </c>
      <c r="I83" s="9">
        <f>ROUND(H82*J54,-3)</f>
        <v>1534000</v>
      </c>
      <c r="J83" s="5"/>
      <c r="K83" s="5"/>
      <c r="L83" s="5"/>
      <c r="M83" s="5"/>
      <c r="N83" s="5"/>
      <c r="O83" s="5"/>
      <c r="P83" s="5"/>
    </row>
    <row r="84" spans="1:16" x14ac:dyDescent="0.35">
      <c r="A84" s="5"/>
      <c r="B84" s="5"/>
      <c r="C84" s="5"/>
      <c r="D84" s="5"/>
      <c r="E84" s="5"/>
      <c r="F84" s="5"/>
      <c r="G84" s="5"/>
      <c r="H84" s="10" t="s">
        <v>169</v>
      </c>
      <c r="I84" s="9">
        <f>ROUND(J63*I5*1000,-3)</f>
        <v>96000</v>
      </c>
      <c r="J84" s="5"/>
      <c r="K84" s="5"/>
      <c r="L84" s="5"/>
      <c r="M84" s="5"/>
      <c r="N84" s="5"/>
      <c r="O84" s="5"/>
      <c r="P84" s="5"/>
    </row>
    <row r="85" spans="1:16" x14ac:dyDescent="0.35">
      <c r="A85" s="5"/>
      <c r="B85" s="5"/>
      <c r="C85" s="5"/>
      <c r="D85" s="5"/>
      <c r="E85" s="5"/>
      <c r="F85" s="5"/>
      <c r="G85" s="5"/>
      <c r="H85" s="10" t="s">
        <v>170</v>
      </c>
      <c r="I85" s="9">
        <f>ROUND(J72*H75,-3)</f>
        <v>667000</v>
      </c>
      <c r="J85" s="5"/>
      <c r="K85" s="5"/>
      <c r="L85" s="5"/>
      <c r="M85" s="5"/>
      <c r="N85" s="5"/>
      <c r="O85" s="5"/>
      <c r="P85" s="5"/>
    </row>
    <row r="86" spans="1:16" x14ac:dyDescent="0.35">
      <c r="A86" s="5"/>
      <c r="B86" s="5"/>
      <c r="C86" s="5"/>
      <c r="D86" s="5"/>
      <c r="E86" s="5"/>
      <c r="F86" s="5"/>
      <c r="G86" s="5"/>
      <c r="H86" s="7" t="s">
        <v>330</v>
      </c>
      <c r="I86" s="6">
        <f>SUM(I83:I85)</f>
        <v>2297000</v>
      </c>
      <c r="J86" s="5"/>
      <c r="K86" s="5"/>
      <c r="L86" s="5"/>
      <c r="M86" s="5"/>
      <c r="N86" s="5"/>
      <c r="O86" s="5"/>
      <c r="P86" s="5"/>
    </row>
    <row r="87" spans="1:16" ht="15" thickBot="1" x14ac:dyDescent="0.4">
      <c r="A87" s="5"/>
      <c r="B87" s="5"/>
      <c r="C87" s="5"/>
      <c r="D87" s="5"/>
      <c r="E87" s="5"/>
      <c r="F87" s="5"/>
      <c r="G87" s="5"/>
      <c r="H87" s="5"/>
      <c r="I87" s="5"/>
      <c r="J87" s="5"/>
      <c r="K87" s="5"/>
      <c r="L87" s="5"/>
      <c r="M87" s="5"/>
      <c r="N87" s="5"/>
      <c r="O87" s="5"/>
      <c r="P87" s="5"/>
    </row>
    <row r="88" spans="1:16" ht="15" thickTop="1" x14ac:dyDescent="0.35">
      <c r="A88" s="5"/>
      <c r="B88" s="5"/>
      <c r="C88" s="5"/>
      <c r="D88" s="5"/>
      <c r="E88" s="5"/>
      <c r="F88" s="5"/>
      <c r="G88" s="5"/>
      <c r="H88" s="12" t="s">
        <v>172</v>
      </c>
      <c r="I88" s="16">
        <f>I83/$H$75</f>
        <v>1.3470319634703196</v>
      </c>
      <c r="J88" s="5"/>
      <c r="K88" s="5"/>
      <c r="L88" s="5"/>
      <c r="M88" s="5"/>
      <c r="N88" s="5"/>
      <c r="O88" s="5"/>
      <c r="P88" s="5"/>
    </row>
    <row r="89" spans="1:16" x14ac:dyDescent="0.35">
      <c r="A89" s="5"/>
      <c r="B89" s="5"/>
      <c r="C89" s="5"/>
      <c r="D89" s="5"/>
      <c r="E89" s="5"/>
      <c r="F89" s="5"/>
      <c r="G89" s="5"/>
      <c r="H89" s="10" t="s">
        <v>173</v>
      </c>
      <c r="I89" s="15">
        <f t="shared" ref="I89:I90" si="1">I84/$H$75</f>
        <v>8.429926238145416E-2</v>
      </c>
      <c r="J89" s="5"/>
      <c r="K89" s="5"/>
      <c r="L89" s="5"/>
      <c r="M89" s="5"/>
      <c r="N89" s="5"/>
      <c r="O89" s="5"/>
      <c r="P89" s="5"/>
    </row>
    <row r="90" spans="1:16" x14ac:dyDescent="0.35">
      <c r="A90" s="5"/>
      <c r="B90" s="5"/>
      <c r="C90" s="5"/>
      <c r="D90" s="5"/>
      <c r="E90" s="5"/>
      <c r="F90" s="5"/>
      <c r="G90" s="5"/>
      <c r="H90" s="10" t="s">
        <v>174</v>
      </c>
      <c r="I90" s="15">
        <f t="shared" si="1"/>
        <v>0.58570425008781168</v>
      </c>
      <c r="J90" s="5"/>
      <c r="K90" s="5"/>
      <c r="L90" s="5"/>
      <c r="M90" s="5"/>
      <c r="N90" s="5"/>
      <c r="O90" s="5"/>
      <c r="P90" s="5"/>
    </row>
    <row r="91" spans="1:16" x14ac:dyDescent="0.35">
      <c r="A91" s="5"/>
      <c r="B91" s="5"/>
      <c r="C91" s="5"/>
      <c r="D91" s="5"/>
      <c r="E91" s="5"/>
      <c r="F91" s="5"/>
      <c r="G91" s="5"/>
      <c r="H91" s="7" t="s">
        <v>331</v>
      </c>
      <c r="I91" s="14">
        <f>SUM(I88:I90)</f>
        <v>2.0170354759395854</v>
      </c>
      <c r="J91" s="5"/>
      <c r="K91" s="5"/>
      <c r="L91" s="5"/>
      <c r="M91" s="5"/>
      <c r="N91" s="5"/>
      <c r="O91" s="5"/>
      <c r="P91" s="5"/>
    </row>
    <row r="92" spans="1:16" ht="15" thickBot="1" x14ac:dyDescent="0.4">
      <c r="A92" s="5"/>
      <c r="B92" s="5"/>
      <c r="C92" s="5"/>
      <c r="D92" s="5"/>
      <c r="E92" s="5"/>
      <c r="F92" s="5"/>
      <c r="G92" s="5"/>
      <c r="H92" s="5"/>
      <c r="I92" s="5"/>
      <c r="J92" s="5"/>
      <c r="K92" s="5"/>
      <c r="L92" s="5"/>
      <c r="M92" s="5"/>
      <c r="N92" s="5"/>
      <c r="O92" s="5"/>
      <c r="P92" s="5"/>
    </row>
    <row r="93" spans="1:16" ht="15" thickTop="1" x14ac:dyDescent="0.35">
      <c r="A93" s="5"/>
      <c r="B93" s="5"/>
      <c r="C93" s="5"/>
      <c r="D93" s="5"/>
      <c r="E93" s="5"/>
      <c r="F93" s="5"/>
      <c r="G93" s="5"/>
      <c r="H93" s="12" t="s">
        <v>176</v>
      </c>
      <c r="I93" s="11">
        <f>I83/$H$78</f>
        <v>8330.4388588145939</v>
      </c>
      <c r="J93" s="5"/>
      <c r="K93" s="5"/>
      <c r="L93" s="5"/>
      <c r="M93" s="5"/>
      <c r="N93" s="5"/>
      <c r="O93" s="5"/>
      <c r="P93" s="5"/>
    </row>
    <row r="94" spans="1:16" x14ac:dyDescent="0.35">
      <c r="A94" s="5"/>
      <c r="B94" s="5"/>
      <c r="C94" s="5"/>
      <c r="D94" s="5"/>
      <c r="E94" s="5"/>
      <c r="F94" s="5"/>
      <c r="G94" s="5"/>
      <c r="H94" s="10" t="s">
        <v>177</v>
      </c>
      <c r="I94" s="9">
        <f t="shared" ref="I94:I95" si="2">I84/$H$78</f>
        <v>521.33124540169558</v>
      </c>
      <c r="J94" s="22"/>
      <c r="K94" s="5"/>
      <c r="L94" s="5"/>
      <c r="M94" s="5"/>
      <c r="N94" s="5"/>
      <c r="O94" s="5"/>
      <c r="P94" s="5"/>
    </row>
    <row r="95" spans="1:16" x14ac:dyDescent="0.35">
      <c r="A95" s="5"/>
      <c r="B95" s="5"/>
      <c r="C95" s="5"/>
      <c r="D95" s="5"/>
      <c r="E95" s="5"/>
      <c r="F95" s="5"/>
      <c r="G95" s="5"/>
      <c r="H95" s="10" t="s">
        <v>178</v>
      </c>
      <c r="I95" s="9">
        <f t="shared" si="2"/>
        <v>3622.1660487805307</v>
      </c>
      <c r="J95" s="62"/>
      <c r="K95" s="62"/>
      <c r="L95" s="5"/>
      <c r="M95" s="5"/>
      <c r="N95" s="5"/>
      <c r="O95" s="5"/>
      <c r="P95" s="5"/>
    </row>
    <row r="96" spans="1:16" x14ac:dyDescent="0.35">
      <c r="A96" s="5"/>
      <c r="B96" s="5"/>
      <c r="C96" s="5"/>
      <c r="D96" s="5"/>
      <c r="E96" s="5"/>
      <c r="F96" s="5"/>
      <c r="G96" s="5"/>
      <c r="H96" s="7" t="s">
        <v>332</v>
      </c>
      <c r="I96" s="6">
        <f>SUM(I93:I95)</f>
        <v>12473.936152996821</v>
      </c>
      <c r="J96" s="5"/>
      <c r="K96" s="62"/>
      <c r="L96" s="5"/>
      <c r="M96" s="5"/>
      <c r="N96" s="5"/>
      <c r="O96" s="5"/>
      <c r="P96" s="5"/>
    </row>
    <row r="97" spans="1:16" x14ac:dyDescent="0.35">
      <c r="A97" s="5"/>
      <c r="B97" s="5"/>
      <c r="C97" s="5"/>
      <c r="D97" s="5"/>
      <c r="E97" s="5"/>
      <c r="F97" s="5"/>
      <c r="G97" s="5"/>
      <c r="H97" s="5"/>
      <c r="I97" s="5"/>
      <c r="J97" s="5"/>
      <c r="K97" s="5"/>
      <c r="L97" s="5"/>
      <c r="M97" s="5"/>
      <c r="N97" s="5"/>
      <c r="O97" s="5"/>
      <c r="P97" s="5"/>
    </row>
    <row r="98" spans="1:16" x14ac:dyDescent="0.35">
      <c r="A98" s="5"/>
      <c r="B98" s="5"/>
      <c r="C98" s="5"/>
      <c r="D98" s="5"/>
      <c r="E98" s="5"/>
      <c r="F98" s="5"/>
      <c r="G98" s="5"/>
      <c r="H98" s="5"/>
      <c r="I98" s="5"/>
      <c r="J98" s="5"/>
      <c r="K98" s="5"/>
      <c r="L98" s="5"/>
      <c r="M98" s="5"/>
      <c r="N98" s="5"/>
      <c r="O98" s="5"/>
      <c r="P98" s="5"/>
    </row>
    <row r="99" spans="1:16" x14ac:dyDescent="0.35">
      <c r="A99" s="5" t="s">
        <v>180</v>
      </c>
      <c r="B99" s="5"/>
      <c r="C99" s="5"/>
      <c r="D99" s="5"/>
      <c r="E99" s="5"/>
      <c r="F99" s="5"/>
      <c r="G99" s="5"/>
      <c r="H99" s="5"/>
      <c r="I99" s="5"/>
      <c r="J99" s="5"/>
      <c r="K99" s="5"/>
      <c r="L99" s="5"/>
      <c r="M99" s="5"/>
      <c r="N99" s="5"/>
      <c r="O99" s="5"/>
      <c r="P99" s="5"/>
    </row>
    <row r="100" spans="1:16" x14ac:dyDescent="0.35">
      <c r="A100" s="5"/>
      <c r="B100" s="5" t="s">
        <v>333</v>
      </c>
      <c r="C100" s="5" t="s">
        <v>334</v>
      </c>
      <c r="D100" s="5"/>
      <c r="E100" s="5"/>
      <c r="F100" s="5"/>
      <c r="G100" s="5"/>
      <c r="H100" s="5"/>
      <c r="I100" s="5"/>
      <c r="J100" s="5"/>
      <c r="K100" s="5"/>
      <c r="L100" s="5"/>
      <c r="M100" s="5"/>
      <c r="N100" s="5"/>
      <c r="O100" s="5"/>
      <c r="P100" s="5"/>
    </row>
    <row r="101" spans="1:16" x14ac:dyDescent="0.35">
      <c r="A101" s="5">
        <v>1</v>
      </c>
      <c r="B101" s="5" t="s">
        <v>335</v>
      </c>
      <c r="C101" s="5">
        <v>1</v>
      </c>
      <c r="D101" s="5"/>
      <c r="E101" s="5"/>
      <c r="F101" s="5"/>
      <c r="G101" s="5"/>
      <c r="H101" s="5"/>
      <c r="I101" s="5"/>
      <c r="J101" s="5"/>
      <c r="K101" s="5"/>
      <c r="L101" s="5"/>
      <c r="M101" s="5"/>
      <c r="N101" s="5"/>
      <c r="O101" s="5"/>
      <c r="P101" s="5"/>
    </row>
    <row r="102" spans="1:16" x14ac:dyDescent="0.35">
      <c r="A102" s="5">
        <v>2</v>
      </c>
      <c r="B102" s="5" t="s">
        <v>336</v>
      </c>
      <c r="C102" s="5">
        <v>1.06</v>
      </c>
      <c r="D102" s="5"/>
      <c r="E102" s="5"/>
      <c r="F102" s="5"/>
      <c r="G102" s="5"/>
      <c r="H102" s="5"/>
      <c r="I102" s="5"/>
      <c r="J102" s="5"/>
      <c r="K102" s="5"/>
      <c r="L102" s="5"/>
      <c r="M102" s="5"/>
      <c r="N102" s="5"/>
      <c r="O102" s="5"/>
      <c r="P102" s="5"/>
    </row>
    <row r="103" spans="1:16" x14ac:dyDescent="0.35">
      <c r="A103" s="5"/>
      <c r="B103" s="5"/>
      <c r="C103" s="5"/>
      <c r="D103" s="5"/>
      <c r="E103" s="5"/>
      <c r="F103" s="5"/>
      <c r="G103" s="5"/>
      <c r="H103" s="5"/>
      <c r="I103" s="5"/>
      <c r="J103" s="5"/>
      <c r="K103" s="5"/>
      <c r="L103" s="5"/>
      <c r="M103" s="5"/>
      <c r="N103" s="5"/>
      <c r="O103" s="5"/>
      <c r="P103" s="5"/>
    </row>
    <row r="104" spans="1:16" x14ac:dyDescent="0.35">
      <c r="A104" s="5"/>
      <c r="B104" s="5"/>
      <c r="C104" s="5"/>
      <c r="D104" s="5"/>
      <c r="E104" s="5"/>
      <c r="F104" s="5"/>
      <c r="G104" s="5"/>
      <c r="H104" s="5"/>
      <c r="I104" s="5"/>
      <c r="J104" s="5"/>
      <c r="K104" s="5"/>
      <c r="L104" s="5"/>
      <c r="M104" s="5"/>
      <c r="N104" s="5"/>
      <c r="O104" s="5"/>
      <c r="P104" s="5"/>
    </row>
    <row r="105" spans="1:16" x14ac:dyDescent="0.35">
      <c r="A105" s="5"/>
      <c r="B105" s="5"/>
      <c r="C105" s="5"/>
      <c r="D105" s="5"/>
      <c r="E105" s="5"/>
      <c r="F105" s="5"/>
      <c r="G105" s="5"/>
      <c r="H105" s="5"/>
      <c r="I105" s="5"/>
      <c r="J105" s="5"/>
      <c r="K105" s="5"/>
      <c r="L105" s="5"/>
      <c r="M105" s="5"/>
      <c r="N105" s="5"/>
      <c r="O105" s="5"/>
      <c r="P105" s="5"/>
    </row>
    <row r="106" spans="1:16" x14ac:dyDescent="0.35">
      <c r="A106" s="5"/>
      <c r="B106" s="78" t="s">
        <v>281</v>
      </c>
      <c r="D106" s="5"/>
      <c r="E106" s="5"/>
      <c r="F106" s="5"/>
      <c r="G106" s="5"/>
      <c r="H106" s="5"/>
      <c r="I106" s="5"/>
      <c r="J106" s="5"/>
      <c r="K106" s="5"/>
      <c r="L106" s="5"/>
      <c r="M106" s="5"/>
      <c r="N106" s="5"/>
      <c r="O106" s="5"/>
      <c r="P106" s="5"/>
    </row>
    <row r="107" spans="1:16" x14ac:dyDescent="0.35">
      <c r="A107" s="5"/>
      <c r="B107" s="78" t="s">
        <v>337</v>
      </c>
      <c r="C107" s="3">
        <v>1</v>
      </c>
      <c r="D107" s="5"/>
      <c r="E107" s="5"/>
      <c r="F107" s="5"/>
      <c r="G107" s="5"/>
      <c r="H107" s="5"/>
      <c r="I107" s="5"/>
      <c r="J107" s="5"/>
      <c r="K107" s="5"/>
      <c r="L107" s="5"/>
      <c r="M107" s="5"/>
      <c r="N107" s="5"/>
      <c r="O107" s="5"/>
      <c r="P107" s="5"/>
    </row>
    <row r="108" spans="1:16" x14ac:dyDescent="0.35">
      <c r="A108" s="5"/>
      <c r="B108" s="78" t="s">
        <v>338</v>
      </c>
      <c r="C108" s="3">
        <v>2</v>
      </c>
      <c r="D108" s="5"/>
      <c r="E108" s="5"/>
      <c r="F108" s="5"/>
      <c r="G108" s="5"/>
      <c r="H108" s="5"/>
      <c r="I108" s="5"/>
      <c r="J108" s="5"/>
      <c r="K108" s="5"/>
      <c r="L108" s="5"/>
      <c r="M108" s="5"/>
      <c r="N108" s="5"/>
      <c r="O108" s="5"/>
      <c r="P108" s="5"/>
    </row>
    <row r="109" spans="1:16" x14ac:dyDescent="0.35">
      <c r="A109" s="5"/>
      <c r="B109" s="78" t="s">
        <v>339</v>
      </c>
      <c r="C109" s="3">
        <v>3</v>
      </c>
      <c r="D109" s="5"/>
      <c r="E109" s="5"/>
      <c r="F109" s="5"/>
      <c r="G109" s="5"/>
      <c r="H109" s="5"/>
      <c r="I109" s="5"/>
      <c r="J109" s="5"/>
      <c r="K109" s="5"/>
      <c r="L109" s="5"/>
      <c r="M109" s="5"/>
      <c r="N109" s="5"/>
      <c r="O109" s="5"/>
      <c r="P109" s="5"/>
    </row>
    <row r="110" spans="1:16" x14ac:dyDescent="0.35">
      <c r="A110" s="5"/>
      <c r="B110" s="78" t="s">
        <v>340</v>
      </c>
      <c r="C110" s="3">
        <v>4</v>
      </c>
      <c r="D110" s="5"/>
      <c r="E110" s="5"/>
      <c r="F110" s="5"/>
      <c r="G110" s="5"/>
      <c r="H110" s="5"/>
      <c r="I110" s="5"/>
      <c r="J110" s="5"/>
      <c r="K110" s="5"/>
      <c r="L110" s="5"/>
      <c r="M110" s="5"/>
      <c r="N110" s="5"/>
      <c r="O110" s="5"/>
      <c r="P110" s="5"/>
    </row>
    <row r="111" spans="1:16" x14ac:dyDescent="0.35">
      <c r="A111" s="5"/>
      <c r="D111" s="5"/>
      <c r="E111" s="5"/>
      <c r="F111" s="5"/>
      <c r="G111" s="5"/>
      <c r="H111" s="5"/>
      <c r="I111" s="5"/>
      <c r="J111" s="5"/>
      <c r="K111" s="5"/>
      <c r="L111" s="5"/>
      <c r="M111" s="5"/>
      <c r="N111" s="5"/>
      <c r="O111" s="5"/>
      <c r="P111" s="5"/>
    </row>
    <row r="112" spans="1:16" x14ac:dyDescent="0.35">
      <c r="A112" s="5"/>
      <c r="B112" s="78" t="s">
        <v>185</v>
      </c>
      <c r="D112" s="5"/>
      <c r="E112" s="5"/>
      <c r="F112" s="5"/>
      <c r="G112" s="5"/>
      <c r="H112" s="5"/>
      <c r="I112" s="5"/>
      <c r="J112" s="5"/>
      <c r="K112" s="5"/>
      <c r="L112" s="5"/>
      <c r="M112" s="5"/>
      <c r="N112" s="5"/>
      <c r="O112" s="5"/>
      <c r="P112" s="5"/>
    </row>
    <row r="113" spans="1:16" x14ac:dyDescent="0.35">
      <c r="A113" s="5"/>
      <c r="B113" s="1" t="b">
        <v>1</v>
      </c>
      <c r="D113" s="5"/>
      <c r="E113" s="5"/>
      <c r="F113" s="5"/>
      <c r="G113" s="5"/>
      <c r="H113" s="5"/>
      <c r="I113" s="5"/>
      <c r="J113" s="5"/>
      <c r="K113" s="5"/>
      <c r="L113" s="5"/>
      <c r="M113" s="5"/>
      <c r="N113" s="5"/>
      <c r="O113" s="5"/>
      <c r="P113" s="5"/>
    </row>
    <row r="114" spans="1:16" x14ac:dyDescent="0.35">
      <c r="A114" s="5"/>
      <c r="D114" s="5"/>
      <c r="E114" s="5"/>
      <c r="F114" s="5"/>
      <c r="H114" s="5"/>
      <c r="I114" s="5"/>
      <c r="J114" s="5"/>
      <c r="K114" s="5"/>
      <c r="L114" s="5"/>
      <c r="M114" s="5"/>
      <c r="N114" s="5"/>
      <c r="O114" s="5"/>
      <c r="P114" s="5"/>
    </row>
    <row r="115" spans="1:16" x14ac:dyDescent="0.35">
      <c r="B115" s="78" t="s">
        <v>341</v>
      </c>
    </row>
    <row r="116" spans="1:16" x14ac:dyDescent="0.35">
      <c r="B116" s="1" t="b">
        <v>1</v>
      </c>
    </row>
  </sheetData>
  <mergeCells count="2">
    <mergeCell ref="D19:E19"/>
    <mergeCell ref="D20:F20"/>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Drop Down 1">
              <controlPr defaultSize="0" autoLine="0" autoPict="0">
                <anchor moveWithCells="1">
                  <from>
                    <xdr:col>8</xdr:col>
                    <xdr:colOff>19050</xdr:colOff>
                    <xdr:row>9</xdr:row>
                    <xdr:rowOff>19050</xdr:rowOff>
                  </from>
                  <to>
                    <xdr:col>9</xdr:col>
                    <xdr:colOff>69850</xdr:colOff>
                    <xdr:row>10</xdr:row>
                    <xdr:rowOff>50800</xdr:rowOff>
                  </to>
                </anchor>
              </controlPr>
            </control>
          </mc:Choice>
        </mc:AlternateContent>
        <mc:AlternateContent xmlns:mc="http://schemas.openxmlformats.org/markup-compatibility/2006">
          <mc:Choice Requires="x14">
            <control shapeId="22530" r:id="rId4" name="Drop Down 2">
              <controlPr defaultSize="0" autoLine="0" autoPict="0">
                <anchor moveWithCells="1">
                  <from>
                    <xdr:col>8</xdr:col>
                    <xdr:colOff>0</xdr:colOff>
                    <xdr:row>2</xdr:row>
                    <xdr:rowOff>0</xdr:rowOff>
                  </from>
                  <to>
                    <xdr:col>9</xdr:col>
                    <xdr:colOff>12700</xdr:colOff>
                    <xdr:row>3</xdr:row>
                    <xdr:rowOff>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5</xdr:col>
                    <xdr:colOff>31750</xdr:colOff>
                    <xdr:row>19</xdr:row>
                    <xdr:rowOff>127000</xdr:rowOff>
                  </from>
                  <to>
                    <xdr:col>5</xdr:col>
                    <xdr:colOff>228600</xdr:colOff>
                    <xdr:row>20</xdr:row>
                    <xdr:rowOff>114300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4</xdr:col>
                    <xdr:colOff>590550</xdr:colOff>
                    <xdr:row>18</xdr:row>
                    <xdr:rowOff>12700</xdr:rowOff>
                  </from>
                  <to>
                    <xdr:col>5</xdr:col>
                    <xdr:colOff>190500</xdr:colOff>
                    <xdr:row>19</xdr:row>
                    <xdr:rowOff>19050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8</xdr:col>
                    <xdr:colOff>0</xdr:colOff>
                    <xdr:row>2</xdr:row>
                    <xdr:rowOff>171450</xdr:rowOff>
                  </from>
                  <to>
                    <xdr:col>8</xdr:col>
                    <xdr:colOff>393700</xdr:colOff>
                    <xdr:row>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8827A-0009-4B2F-B5F1-6F7F598871BA}">
  <dimension ref="A1:P117"/>
  <sheetViews>
    <sheetView topLeftCell="A20" workbookViewId="0">
      <selection activeCell="F10" sqref="F10"/>
    </sheetView>
  </sheetViews>
  <sheetFormatPr defaultColWidth="8.7265625" defaultRowHeight="14.5" x14ac:dyDescent="0.35"/>
  <cols>
    <col min="1" max="5" width="8.7265625" style="78"/>
    <col min="6" max="6" width="6.26953125" style="78" customWidth="1"/>
    <col min="7" max="7" width="12.7265625" style="78" customWidth="1"/>
    <col min="8" max="8" width="13.26953125" style="78" bestFit="1" customWidth="1"/>
    <col min="9" max="9" width="12.7265625" style="78" customWidth="1"/>
    <col min="10" max="10" width="15.26953125" style="78" bestFit="1" customWidth="1"/>
    <col min="11" max="11" width="8.7265625" style="78"/>
    <col min="12" max="12" width="56.1796875" style="78" customWidth="1"/>
    <col min="13" max="16384" width="8.7265625" style="78"/>
  </cols>
  <sheetData>
    <row r="1" spans="1:16" ht="15" thickBot="1" x14ac:dyDescent="0.4">
      <c r="A1" s="5" t="s">
        <v>26</v>
      </c>
      <c r="B1" s="5"/>
      <c r="C1" s="5"/>
      <c r="D1" s="5"/>
      <c r="E1" s="5"/>
      <c r="F1" s="5"/>
      <c r="G1" s="5"/>
      <c r="H1" s="5"/>
      <c r="I1" s="5"/>
      <c r="J1" s="5"/>
      <c r="K1" s="5"/>
      <c r="L1" s="5"/>
      <c r="M1" s="5"/>
      <c r="N1" s="5"/>
      <c r="O1" s="5"/>
      <c r="P1" s="5"/>
    </row>
    <row r="2" spans="1:16" x14ac:dyDescent="0.35">
      <c r="A2" s="5"/>
      <c r="B2" s="5"/>
      <c r="C2" s="5"/>
      <c r="D2" s="90" t="s">
        <v>27</v>
      </c>
      <c r="E2" s="91"/>
      <c r="F2" s="92"/>
      <c r="G2" s="93" t="s">
        <v>28</v>
      </c>
      <c r="H2" s="93" t="s">
        <v>29</v>
      </c>
      <c r="I2" s="93" t="s">
        <v>30</v>
      </c>
      <c r="J2" s="94" t="s">
        <v>31</v>
      </c>
      <c r="K2" s="95"/>
      <c r="L2" s="96"/>
      <c r="M2" s="5"/>
      <c r="N2" s="5"/>
      <c r="O2" s="5"/>
      <c r="P2" s="5"/>
    </row>
    <row r="3" spans="1:16" x14ac:dyDescent="0.35">
      <c r="A3" s="5"/>
      <c r="B3" s="5"/>
      <c r="C3" s="5"/>
      <c r="D3" s="122" t="s">
        <v>281</v>
      </c>
      <c r="E3" s="37"/>
      <c r="F3" s="36"/>
      <c r="G3" s="58" t="s">
        <v>282</v>
      </c>
      <c r="H3" s="60"/>
      <c r="I3" s="128">
        <v>2</v>
      </c>
      <c r="J3" s="38" t="s">
        <v>43</v>
      </c>
      <c r="K3" s="37"/>
      <c r="L3" s="98"/>
      <c r="M3" s="5"/>
      <c r="N3" s="5"/>
      <c r="O3" s="5"/>
      <c r="P3" s="5"/>
    </row>
    <row r="4" spans="1:16" x14ac:dyDescent="0.35">
      <c r="A4" s="5"/>
      <c r="B4" s="5"/>
      <c r="C4" s="5"/>
      <c r="D4" s="122" t="s">
        <v>32</v>
      </c>
      <c r="E4" s="37"/>
      <c r="F4" s="36"/>
      <c r="G4" s="58"/>
      <c r="H4" s="58"/>
      <c r="I4" s="59" t="b">
        <v>0</v>
      </c>
      <c r="J4" s="38"/>
      <c r="K4" s="37"/>
      <c r="L4" s="98"/>
      <c r="M4" s="5"/>
      <c r="N4" s="5"/>
      <c r="O4" s="5"/>
      <c r="P4" s="5"/>
    </row>
    <row r="5" spans="1:16" x14ac:dyDescent="0.35">
      <c r="A5" s="5"/>
      <c r="B5" s="5"/>
      <c r="C5" s="5"/>
      <c r="D5" s="122" t="s">
        <v>33</v>
      </c>
      <c r="E5" s="37"/>
      <c r="F5" s="36"/>
      <c r="G5" s="58" t="s">
        <v>34</v>
      </c>
      <c r="H5" s="58" t="s">
        <v>35</v>
      </c>
      <c r="I5" s="130">
        <v>300</v>
      </c>
      <c r="J5" s="38" t="s">
        <v>43</v>
      </c>
      <c r="K5" s="37"/>
      <c r="L5" s="98"/>
      <c r="M5" s="5"/>
      <c r="N5" s="5"/>
      <c r="O5" s="5"/>
      <c r="P5" s="5"/>
    </row>
    <row r="6" spans="1:16" x14ac:dyDescent="0.35">
      <c r="A6" s="5"/>
      <c r="B6" s="5"/>
      <c r="C6" s="5"/>
      <c r="D6" s="122" t="s">
        <v>37</v>
      </c>
      <c r="E6" s="37"/>
      <c r="F6" s="36"/>
      <c r="G6" s="58" t="s">
        <v>38</v>
      </c>
      <c r="H6" s="58"/>
      <c r="I6" s="131">
        <v>1</v>
      </c>
      <c r="J6" s="38" t="s">
        <v>39</v>
      </c>
      <c r="K6" s="37"/>
      <c r="L6" s="98"/>
      <c r="M6" s="5"/>
      <c r="N6" s="5"/>
      <c r="O6" s="5"/>
      <c r="P6" s="5"/>
    </row>
    <row r="7" spans="1:16" x14ac:dyDescent="0.35">
      <c r="A7" s="5"/>
      <c r="B7" s="5"/>
      <c r="C7" s="5"/>
      <c r="D7" s="122" t="s">
        <v>40</v>
      </c>
      <c r="E7" s="37"/>
      <c r="F7" s="36"/>
      <c r="G7" s="58" t="s">
        <v>41</v>
      </c>
      <c r="H7" s="58" t="s">
        <v>42</v>
      </c>
      <c r="I7" s="132">
        <v>9800</v>
      </c>
      <c r="J7" s="38" t="s">
        <v>43</v>
      </c>
      <c r="K7" s="37"/>
      <c r="L7" s="98"/>
      <c r="M7" s="5"/>
      <c r="N7" s="5"/>
      <c r="O7" s="5"/>
      <c r="P7" s="5"/>
    </row>
    <row r="8" spans="1:16" x14ac:dyDescent="0.35">
      <c r="A8" s="5"/>
      <c r="B8" s="5"/>
      <c r="C8" s="5"/>
      <c r="D8" s="122" t="s">
        <v>283</v>
      </c>
      <c r="E8" s="37"/>
      <c r="F8" s="36"/>
      <c r="G8" s="58" t="s">
        <v>45</v>
      </c>
      <c r="H8" s="58" t="s">
        <v>46</v>
      </c>
      <c r="I8" s="130">
        <v>0.22</v>
      </c>
      <c r="J8" s="38" t="s">
        <v>43</v>
      </c>
      <c r="K8" s="37"/>
      <c r="L8" s="98"/>
      <c r="M8" s="5"/>
      <c r="N8" s="5"/>
      <c r="O8" s="5"/>
      <c r="P8" s="5"/>
    </row>
    <row r="9" spans="1:16" x14ac:dyDescent="0.35">
      <c r="A9" s="5"/>
      <c r="B9" s="5"/>
      <c r="C9" s="5"/>
      <c r="D9" s="122" t="s">
        <v>44</v>
      </c>
      <c r="E9" s="37"/>
      <c r="F9" s="36"/>
      <c r="G9" s="58" t="s">
        <v>49</v>
      </c>
      <c r="H9" s="58" t="s">
        <v>46</v>
      </c>
      <c r="I9" s="130">
        <v>2</v>
      </c>
      <c r="J9" s="38" t="s">
        <v>43</v>
      </c>
      <c r="K9" s="37"/>
      <c r="L9" s="98"/>
      <c r="M9" s="5"/>
      <c r="N9" s="5"/>
      <c r="O9" s="5"/>
      <c r="P9" s="5"/>
    </row>
    <row r="10" spans="1:16" ht="18.75" customHeight="1" x14ac:dyDescent="0.35">
      <c r="A10" s="5"/>
      <c r="B10" s="5"/>
      <c r="C10" s="5"/>
      <c r="D10" s="122" t="s">
        <v>48</v>
      </c>
      <c r="E10" s="37"/>
      <c r="F10" s="36"/>
      <c r="G10" s="58" t="s">
        <v>51</v>
      </c>
      <c r="H10" s="58"/>
      <c r="I10" s="133">
        <v>3</v>
      </c>
      <c r="J10" s="38" t="s">
        <v>43</v>
      </c>
      <c r="K10" s="37"/>
      <c r="L10" s="98"/>
      <c r="M10" s="5"/>
      <c r="N10" s="5"/>
      <c r="O10" s="5"/>
      <c r="P10" s="5"/>
    </row>
    <row r="11" spans="1:16" x14ac:dyDescent="0.35">
      <c r="A11" s="5"/>
      <c r="B11" s="5"/>
      <c r="C11" s="5"/>
      <c r="D11" s="122" t="s">
        <v>50</v>
      </c>
      <c r="E11" s="37"/>
      <c r="F11" s="36"/>
      <c r="G11" s="58" t="s">
        <v>54</v>
      </c>
      <c r="H11" s="58"/>
      <c r="I11" s="58">
        <f>VLOOKUP(I10,A102:C104,3)</f>
        <v>1</v>
      </c>
      <c r="J11" s="38" t="s">
        <v>52</v>
      </c>
      <c r="K11" s="37"/>
      <c r="L11" s="98"/>
      <c r="M11" s="5"/>
      <c r="N11" s="5"/>
      <c r="O11" s="5"/>
      <c r="P11" s="5"/>
    </row>
    <row r="12" spans="1:16" x14ac:dyDescent="0.35">
      <c r="A12" s="5"/>
      <c r="B12" s="5"/>
      <c r="C12" s="5"/>
      <c r="D12" s="122" t="s">
        <v>53</v>
      </c>
      <c r="E12" s="37"/>
      <c r="F12" s="36"/>
      <c r="G12" s="58" t="s">
        <v>57</v>
      </c>
      <c r="H12" s="58"/>
      <c r="I12" s="58">
        <f>I7/10000</f>
        <v>0.98</v>
      </c>
      <c r="J12" s="38" t="s">
        <v>55</v>
      </c>
      <c r="K12" s="37"/>
      <c r="L12" s="98"/>
      <c r="M12" s="5"/>
      <c r="N12" s="5"/>
      <c r="O12" s="5"/>
      <c r="P12" s="5"/>
    </row>
    <row r="13" spans="1:16" x14ac:dyDescent="0.35">
      <c r="A13" s="5"/>
      <c r="B13" s="5"/>
      <c r="C13" s="5"/>
      <c r="D13" s="122" t="s">
        <v>56</v>
      </c>
      <c r="E13" s="37"/>
      <c r="F13" s="36"/>
      <c r="G13" s="58" t="s">
        <v>61</v>
      </c>
      <c r="H13" s="58" t="s">
        <v>58</v>
      </c>
      <c r="I13" s="70">
        <f>I5*I7*1000</f>
        <v>2940000000</v>
      </c>
      <c r="J13" s="38" t="s">
        <v>59</v>
      </c>
      <c r="K13" s="37"/>
      <c r="L13" s="98"/>
      <c r="M13" s="5"/>
      <c r="N13" s="5"/>
      <c r="O13" s="5"/>
      <c r="P13" s="5"/>
    </row>
    <row r="14" spans="1:16" x14ac:dyDescent="0.35">
      <c r="A14" s="5"/>
      <c r="B14" s="5"/>
      <c r="C14" s="5"/>
      <c r="D14" s="122" t="s">
        <v>60</v>
      </c>
      <c r="E14" s="37"/>
      <c r="F14" s="36"/>
      <c r="G14" s="58" t="s">
        <v>64</v>
      </c>
      <c r="H14" s="58" t="s">
        <v>62</v>
      </c>
      <c r="I14" s="132">
        <v>56</v>
      </c>
      <c r="J14" s="38" t="s">
        <v>43</v>
      </c>
      <c r="K14" s="37"/>
      <c r="L14" s="98"/>
      <c r="M14" s="5"/>
      <c r="N14" s="5"/>
      <c r="O14" s="5"/>
      <c r="P14" s="5"/>
    </row>
    <row r="15" spans="1:16" x14ac:dyDescent="0.35">
      <c r="A15" s="5"/>
      <c r="B15" s="5"/>
      <c r="C15" s="5"/>
      <c r="D15" s="122" t="s">
        <v>286</v>
      </c>
      <c r="E15" s="37"/>
      <c r="F15" s="36"/>
      <c r="G15" s="58" t="s">
        <v>67</v>
      </c>
      <c r="H15" s="58" t="s">
        <v>62</v>
      </c>
      <c r="I15" s="130">
        <v>25</v>
      </c>
      <c r="J15" s="38" t="s">
        <v>43</v>
      </c>
      <c r="K15" s="37"/>
      <c r="L15" s="98"/>
      <c r="M15" s="5"/>
      <c r="N15" s="5"/>
      <c r="O15" s="5"/>
      <c r="P15" s="5"/>
    </row>
    <row r="16" spans="1:16" x14ac:dyDescent="0.35">
      <c r="A16" s="5"/>
      <c r="B16" s="5"/>
      <c r="C16" s="5"/>
      <c r="D16" s="122" t="s">
        <v>287</v>
      </c>
      <c r="E16" s="37"/>
      <c r="F16" s="36"/>
      <c r="G16" s="58" t="s">
        <v>71</v>
      </c>
      <c r="H16" s="58" t="s">
        <v>288</v>
      </c>
      <c r="I16" s="71">
        <f>I8*I13/10^6*I15/100</f>
        <v>161.69999999999999</v>
      </c>
      <c r="J16" s="38" t="s">
        <v>289</v>
      </c>
      <c r="K16" s="37"/>
      <c r="L16" s="98"/>
      <c r="M16" s="5"/>
      <c r="N16" s="5"/>
      <c r="O16" s="5"/>
      <c r="P16" s="5"/>
    </row>
    <row r="17" spans="1:16" x14ac:dyDescent="0.35">
      <c r="A17" s="5"/>
      <c r="B17" s="5"/>
      <c r="C17" s="5"/>
      <c r="D17" s="122" t="s">
        <v>290</v>
      </c>
      <c r="E17" s="37"/>
      <c r="F17" s="36"/>
      <c r="G17" s="58" t="s">
        <v>74</v>
      </c>
      <c r="H17" s="58" t="s">
        <v>288</v>
      </c>
      <c r="I17" s="71">
        <f xml:space="preserve"> I16 / 46 * 30 / (IF(I3=1,0.25,(IF(I8&lt;=0.3,0.15,0.25))))</f>
        <v>703.04347826086951</v>
      </c>
      <c r="J17" s="38" t="s">
        <v>291</v>
      </c>
      <c r="K17" s="37"/>
      <c r="L17" s="98"/>
      <c r="M17" s="5"/>
      <c r="N17" s="5"/>
      <c r="O17" s="5"/>
      <c r="P17" s="5"/>
    </row>
    <row r="18" spans="1:16" x14ac:dyDescent="0.35">
      <c r="D18" s="122" t="s">
        <v>292</v>
      </c>
      <c r="E18" s="43"/>
      <c r="F18" s="42"/>
      <c r="G18" s="58" t="s">
        <v>77</v>
      </c>
      <c r="H18" s="58" t="s">
        <v>288</v>
      </c>
      <c r="I18" s="71">
        <f>I17*19</f>
        <v>13357.82608695652</v>
      </c>
      <c r="J18" s="38" t="s">
        <v>293</v>
      </c>
      <c r="K18" s="37"/>
      <c r="L18" s="98"/>
    </row>
    <row r="19" spans="1:16" ht="30" customHeight="1" x14ac:dyDescent="0.35">
      <c r="A19" s="5"/>
      <c r="B19" s="5"/>
      <c r="C19" s="5"/>
      <c r="D19" s="144" t="s">
        <v>294</v>
      </c>
      <c r="E19" s="145"/>
      <c r="F19" s="42"/>
      <c r="G19" s="58" t="s">
        <v>232</v>
      </c>
      <c r="H19" s="58" t="s">
        <v>62</v>
      </c>
      <c r="I19" s="72">
        <f>1175*I18/I13*100</f>
        <v>0.53385869565217381</v>
      </c>
      <c r="J19" s="38" t="s">
        <v>295</v>
      </c>
      <c r="K19" s="37"/>
      <c r="L19" s="98"/>
      <c r="M19" s="5"/>
      <c r="N19" s="5"/>
      <c r="O19" s="5"/>
      <c r="P19" s="5"/>
    </row>
    <row r="20" spans="1:16" ht="30" customHeight="1" x14ac:dyDescent="0.35">
      <c r="A20" s="5"/>
      <c r="B20" s="5"/>
      <c r="C20" s="5"/>
      <c r="D20" s="146" t="s">
        <v>73</v>
      </c>
      <c r="E20" s="147"/>
      <c r="F20" s="148"/>
      <c r="G20" s="58" t="s">
        <v>296</v>
      </c>
      <c r="H20" s="58" t="s">
        <v>62</v>
      </c>
      <c r="I20" s="134">
        <v>0.05</v>
      </c>
      <c r="J20" s="38" t="s">
        <v>297</v>
      </c>
      <c r="K20" s="37"/>
      <c r="L20" s="98"/>
      <c r="M20" s="5"/>
      <c r="N20" s="5"/>
      <c r="O20" s="5"/>
      <c r="P20" s="5"/>
    </row>
    <row r="21" spans="1:16" ht="15" customHeight="1" x14ac:dyDescent="0.35">
      <c r="A21" s="5"/>
      <c r="B21" s="5"/>
      <c r="C21" s="5"/>
      <c r="D21" s="46" t="s">
        <v>298</v>
      </c>
      <c r="E21" s="43"/>
      <c r="F21" s="42"/>
      <c r="G21" s="58" t="s">
        <v>81</v>
      </c>
      <c r="H21" s="58" t="s">
        <v>78</v>
      </c>
      <c r="I21" s="72">
        <f>I18*0.1199/1000</f>
        <v>1.6016033478260867</v>
      </c>
      <c r="J21" s="38" t="s">
        <v>299</v>
      </c>
      <c r="K21" s="37"/>
      <c r="L21" s="98"/>
      <c r="M21" s="5"/>
      <c r="N21" s="5"/>
      <c r="O21" s="5"/>
      <c r="P21" s="5"/>
    </row>
    <row r="22" spans="1:16" x14ac:dyDescent="0.35">
      <c r="A22" s="5"/>
      <c r="B22" s="5"/>
      <c r="C22" s="5"/>
      <c r="D22" s="122" t="s">
        <v>300</v>
      </c>
      <c r="E22" s="37"/>
      <c r="F22" s="36"/>
      <c r="G22" s="58" t="s">
        <v>84</v>
      </c>
      <c r="H22" s="58" t="s">
        <v>82</v>
      </c>
      <c r="I22" s="132">
        <v>350</v>
      </c>
      <c r="J22" s="38" t="s">
        <v>43</v>
      </c>
      <c r="K22" s="37"/>
      <c r="L22" s="98"/>
      <c r="M22" s="5"/>
      <c r="N22" s="5"/>
      <c r="O22" s="5"/>
      <c r="P22" s="5"/>
    </row>
    <row r="23" spans="1:16" x14ac:dyDescent="0.35">
      <c r="A23" s="5"/>
      <c r="B23" s="5"/>
      <c r="C23" s="5"/>
      <c r="D23" s="122" t="s">
        <v>85</v>
      </c>
      <c r="E23" s="37"/>
      <c r="F23" s="36"/>
      <c r="G23" s="58" t="s">
        <v>86</v>
      </c>
      <c r="H23" s="58" t="s">
        <v>87</v>
      </c>
      <c r="I23" s="132">
        <v>0.06</v>
      </c>
      <c r="J23" s="38" t="s">
        <v>43</v>
      </c>
      <c r="K23" s="37"/>
      <c r="L23" s="98"/>
      <c r="M23" s="5"/>
      <c r="N23" s="5"/>
      <c r="O23" s="5"/>
      <c r="P23" s="5"/>
    </row>
    <row r="24" spans="1:16" x14ac:dyDescent="0.35">
      <c r="A24" s="5"/>
      <c r="B24" s="5"/>
      <c r="C24" s="5"/>
      <c r="D24" s="122" t="s">
        <v>301</v>
      </c>
      <c r="E24" s="37"/>
      <c r="F24" s="36"/>
      <c r="G24" s="58" t="s">
        <v>89</v>
      </c>
      <c r="H24" s="58" t="s">
        <v>302</v>
      </c>
      <c r="I24" s="132">
        <v>1</v>
      </c>
      <c r="J24" s="38" t="s">
        <v>43</v>
      </c>
      <c r="K24" s="37"/>
      <c r="L24" s="98"/>
      <c r="M24" s="5"/>
      <c r="N24" s="5"/>
      <c r="O24" s="5"/>
      <c r="P24" s="5"/>
    </row>
    <row r="25" spans="1:16" x14ac:dyDescent="0.35">
      <c r="A25" s="5"/>
      <c r="B25" s="5"/>
      <c r="C25" s="5"/>
      <c r="D25" s="122" t="s">
        <v>91</v>
      </c>
      <c r="E25" s="37"/>
      <c r="F25" s="36"/>
      <c r="G25" s="58" t="s">
        <v>92</v>
      </c>
      <c r="H25" s="58" t="s">
        <v>93</v>
      </c>
      <c r="I25" s="132">
        <v>60</v>
      </c>
      <c r="J25" s="38" t="s">
        <v>94</v>
      </c>
      <c r="K25" s="37"/>
      <c r="L25" s="98"/>
      <c r="M25" s="5"/>
      <c r="N25" s="5"/>
      <c r="O25" s="5"/>
      <c r="P25" s="5"/>
    </row>
    <row r="26" spans="1:16" ht="15" thickBot="1" x14ac:dyDescent="0.4">
      <c r="A26" s="5"/>
      <c r="B26" s="5"/>
      <c r="C26" s="5"/>
      <c r="D26" s="124" t="s">
        <v>303</v>
      </c>
      <c r="E26" s="104"/>
      <c r="F26" s="125"/>
      <c r="G26" s="126" t="s">
        <v>242</v>
      </c>
      <c r="H26" s="126" t="s">
        <v>93</v>
      </c>
      <c r="I26" s="135">
        <v>2</v>
      </c>
      <c r="J26" s="103" t="s">
        <v>43</v>
      </c>
      <c r="K26" s="104"/>
      <c r="L26" s="105"/>
      <c r="M26" s="5"/>
      <c r="N26" s="5"/>
      <c r="O26" s="5"/>
      <c r="P26" s="5"/>
    </row>
    <row r="27" spans="1:16" x14ac:dyDescent="0.35">
      <c r="A27" s="5"/>
      <c r="B27" s="5"/>
      <c r="C27" s="5"/>
      <c r="D27" s="5"/>
      <c r="E27" s="5"/>
      <c r="F27" s="5"/>
      <c r="G27" s="5"/>
      <c r="H27" s="5"/>
      <c r="I27" s="5"/>
      <c r="J27" s="5"/>
      <c r="K27" s="5"/>
      <c r="L27" s="5"/>
      <c r="M27" s="5"/>
      <c r="N27" s="5"/>
      <c r="O27" s="5"/>
      <c r="P27" s="5"/>
    </row>
    <row r="28" spans="1:16" x14ac:dyDescent="0.35">
      <c r="A28" s="5"/>
      <c r="B28" s="5"/>
      <c r="C28" s="5"/>
      <c r="D28" s="5"/>
      <c r="E28" s="5"/>
      <c r="F28" s="5"/>
      <c r="G28" s="5"/>
      <c r="H28" s="5"/>
      <c r="I28" s="5"/>
      <c r="J28" s="5"/>
      <c r="K28" s="5"/>
      <c r="L28" s="5"/>
      <c r="M28" s="5"/>
      <c r="N28" s="5"/>
      <c r="O28" s="5"/>
      <c r="P28" s="5"/>
    </row>
    <row r="29" spans="1:16" x14ac:dyDescent="0.35">
      <c r="A29" s="5"/>
      <c r="B29" s="5"/>
      <c r="C29" s="5"/>
      <c r="D29" s="5"/>
      <c r="E29" s="5"/>
      <c r="F29" s="5"/>
      <c r="G29" s="5"/>
      <c r="H29" s="5"/>
      <c r="I29" s="5"/>
      <c r="J29" s="5"/>
      <c r="K29" s="5"/>
      <c r="L29" s="5"/>
      <c r="M29" s="5"/>
      <c r="N29" s="5"/>
      <c r="O29" s="5"/>
      <c r="P29" s="5"/>
    </row>
    <row r="30" spans="1:16" ht="23" x14ac:dyDescent="0.5">
      <c r="A30" s="5"/>
      <c r="B30" s="5"/>
      <c r="C30" s="5"/>
      <c r="D30" s="5"/>
      <c r="E30" s="5"/>
      <c r="F30" s="5"/>
      <c r="G30" s="5"/>
      <c r="H30" s="35" t="s">
        <v>243</v>
      </c>
      <c r="I30" s="5"/>
      <c r="J30" s="5"/>
      <c r="K30" s="5"/>
      <c r="L30" s="5"/>
      <c r="M30" s="5"/>
      <c r="N30" s="5"/>
      <c r="O30" s="5"/>
      <c r="P30" s="5"/>
    </row>
    <row r="31" spans="1:16" x14ac:dyDescent="0.35">
      <c r="A31" s="26" t="s">
        <v>95</v>
      </c>
      <c r="B31" s="26"/>
      <c r="C31" s="26"/>
      <c r="D31" s="26"/>
      <c r="E31" s="26"/>
      <c r="F31" s="26"/>
      <c r="G31" s="26"/>
      <c r="H31" s="26"/>
      <c r="I31" s="26"/>
      <c r="J31" s="26" t="s">
        <v>96</v>
      </c>
      <c r="K31" s="26"/>
      <c r="L31" s="26" t="s">
        <v>97</v>
      </c>
      <c r="M31" s="5"/>
      <c r="N31" s="5"/>
      <c r="O31" s="5"/>
      <c r="P31" s="5"/>
    </row>
    <row r="32" spans="1:16" x14ac:dyDescent="0.35">
      <c r="A32" s="5"/>
      <c r="B32" s="5" t="s">
        <v>98</v>
      </c>
      <c r="C32" s="5"/>
      <c r="D32" s="5"/>
      <c r="E32" s="5"/>
      <c r="F32" s="5"/>
      <c r="G32" s="5"/>
      <c r="H32" s="5"/>
      <c r="I32" s="5"/>
      <c r="J32" s="5"/>
      <c r="K32" s="5"/>
      <c r="L32" s="5"/>
      <c r="M32" s="5"/>
      <c r="N32" s="5"/>
      <c r="O32" s="5"/>
      <c r="P32" s="5"/>
    </row>
    <row r="33" spans="1:16" x14ac:dyDescent="0.35">
      <c r="A33" s="5"/>
      <c r="B33" s="5" t="s">
        <v>304</v>
      </c>
      <c r="C33" s="5" t="s">
        <v>342</v>
      </c>
      <c r="D33" s="5"/>
      <c r="E33" s="5"/>
      <c r="F33" s="5"/>
      <c r="G33" s="5"/>
      <c r="H33" s="5"/>
      <c r="I33" s="5"/>
      <c r="J33" s="30">
        <f>ROUND((IF(I3=1,0.75,1))*I6*I11*253000*(I5*I12)^0.42,-3)</f>
        <v>2753000</v>
      </c>
      <c r="K33" s="5"/>
      <c r="L33" s="5" t="s">
        <v>306</v>
      </c>
      <c r="M33" s="5"/>
      <c r="N33" s="5"/>
      <c r="O33" s="5"/>
      <c r="P33" s="5"/>
    </row>
    <row r="34" spans="1:16" x14ac:dyDescent="0.35">
      <c r="A34" s="5"/>
      <c r="B34" s="5" t="s">
        <v>343</v>
      </c>
      <c r="C34" s="5" t="s">
        <v>344</v>
      </c>
      <c r="D34" s="5"/>
      <c r="E34" s="5"/>
      <c r="F34" s="5"/>
      <c r="G34" s="5"/>
      <c r="H34" s="5"/>
      <c r="I34" s="5"/>
      <c r="J34" s="30">
        <f>ROUND(69000*(I6)*(I5*IF(AND(I11=1,I9&gt;=3),I11,0)*I12)^0.78,-3)</f>
        <v>0</v>
      </c>
      <c r="K34" s="5"/>
      <c r="L34" s="5" t="s">
        <v>345</v>
      </c>
      <c r="M34" s="5"/>
      <c r="N34" s="5"/>
      <c r="O34" s="5"/>
      <c r="P34" s="5"/>
    </row>
    <row r="35" spans="1:16" x14ac:dyDescent="0.35">
      <c r="A35" s="5"/>
      <c r="B35" s="5" t="s">
        <v>105</v>
      </c>
      <c r="C35" s="5" t="s">
        <v>346</v>
      </c>
      <c r="D35" s="5"/>
      <c r="E35" s="5"/>
      <c r="F35" s="5"/>
      <c r="G35" s="5"/>
      <c r="H35" s="5"/>
      <c r="I35" s="5"/>
      <c r="J35" s="30">
        <f>ROUND((IF(I3=1,0.75,1))*(I16^0.12)*448000*(I5)^0.33,-3)</f>
        <v>5417000</v>
      </c>
      <c r="K35" s="5"/>
      <c r="L35" s="5" t="s">
        <v>308</v>
      </c>
      <c r="M35" s="5"/>
      <c r="N35" s="5"/>
      <c r="O35" s="5"/>
      <c r="P35" s="5"/>
    </row>
    <row r="36" spans="1:16" x14ac:dyDescent="0.35">
      <c r="A36" s="5"/>
      <c r="B36" s="5" t="s">
        <v>108</v>
      </c>
      <c r="C36" s="5" t="s">
        <v>309</v>
      </c>
      <c r="D36" s="5"/>
      <c r="E36" s="5"/>
      <c r="F36" s="5"/>
      <c r="G36" s="5"/>
      <c r="H36" s="5"/>
      <c r="I36" s="5"/>
      <c r="J36" s="33">
        <f>SUM(J33:J35)</f>
        <v>8170000</v>
      </c>
      <c r="K36" s="5"/>
      <c r="L36" s="5" t="s">
        <v>110</v>
      </c>
      <c r="M36" s="5"/>
      <c r="N36" s="5"/>
      <c r="O36" s="5"/>
      <c r="P36" s="5"/>
    </row>
    <row r="37" spans="1:16" x14ac:dyDescent="0.35">
      <c r="A37" s="5"/>
      <c r="B37" s="5" t="s">
        <v>111</v>
      </c>
      <c r="C37" s="5"/>
      <c r="D37" s="5"/>
      <c r="E37" s="5"/>
      <c r="F37" s="5"/>
      <c r="G37" s="5"/>
      <c r="H37" s="5"/>
      <c r="I37" s="5"/>
      <c r="J37" s="31">
        <f>J36/(I5*1000)</f>
        <v>27.233333333333334</v>
      </c>
      <c r="K37" s="5"/>
      <c r="L37" s="5" t="s">
        <v>112</v>
      </c>
      <c r="M37" s="5"/>
      <c r="N37" s="5"/>
      <c r="O37" s="5"/>
      <c r="P37" s="5"/>
    </row>
    <row r="38" spans="1:16" x14ac:dyDescent="0.35">
      <c r="A38" s="5"/>
      <c r="B38" s="5"/>
      <c r="C38" s="5"/>
      <c r="D38" s="5"/>
      <c r="E38" s="5"/>
      <c r="F38" s="5"/>
      <c r="G38" s="5"/>
      <c r="H38" s="5"/>
      <c r="I38" s="5"/>
      <c r="J38" s="5"/>
      <c r="K38" s="5"/>
      <c r="L38" s="5"/>
      <c r="M38" s="5"/>
      <c r="N38" s="5"/>
      <c r="O38" s="5"/>
      <c r="P38" s="5"/>
    </row>
    <row r="39" spans="1:16" x14ac:dyDescent="0.35">
      <c r="A39" s="26" t="s">
        <v>113</v>
      </c>
      <c r="B39" s="5"/>
      <c r="C39" s="5"/>
      <c r="D39" s="5"/>
      <c r="E39" s="5"/>
      <c r="F39" s="5"/>
      <c r="G39" s="5"/>
      <c r="H39" s="5"/>
      <c r="I39" s="5"/>
      <c r="J39" s="5"/>
      <c r="K39" s="5"/>
      <c r="L39" s="5"/>
      <c r="M39" s="5"/>
      <c r="N39" s="5"/>
      <c r="O39" s="5"/>
      <c r="P39" s="5"/>
    </row>
    <row r="40" spans="1:16" x14ac:dyDescent="0.35">
      <c r="A40" s="5"/>
      <c r="B40" s="5" t="s">
        <v>114</v>
      </c>
      <c r="C40" s="5"/>
      <c r="D40" s="5"/>
      <c r="E40" s="5"/>
      <c r="F40" s="5"/>
      <c r="G40" s="5"/>
      <c r="H40" s="5"/>
      <c r="I40" s="5"/>
      <c r="J40" s="30">
        <f>ROUND($J$36*0.1,-3)</f>
        <v>817000</v>
      </c>
      <c r="K40" s="5"/>
      <c r="L40" s="5" t="s">
        <v>115</v>
      </c>
      <c r="M40" s="5"/>
      <c r="N40" s="5"/>
      <c r="O40" s="5"/>
      <c r="P40" s="5"/>
    </row>
    <row r="41" spans="1:16" x14ac:dyDescent="0.35">
      <c r="A41" s="5"/>
      <c r="B41" s="5" t="s">
        <v>116</v>
      </c>
      <c r="C41" s="5"/>
      <c r="D41" s="5"/>
      <c r="E41" s="5"/>
      <c r="F41" s="5"/>
      <c r="G41" s="5"/>
      <c r="H41" s="5"/>
      <c r="I41" s="5"/>
      <c r="J41" s="30">
        <f t="shared" ref="J41:J42" si="0">ROUND($J$36*0.1,-3)</f>
        <v>817000</v>
      </c>
      <c r="K41" s="5"/>
      <c r="L41" s="5" t="s">
        <v>117</v>
      </c>
      <c r="M41" s="5"/>
      <c r="N41" s="5"/>
      <c r="O41" s="5"/>
      <c r="P41" s="5"/>
    </row>
    <row r="42" spans="1:16" x14ac:dyDescent="0.35">
      <c r="A42" s="5"/>
      <c r="B42" s="5" t="s">
        <v>118</v>
      </c>
      <c r="C42" s="5"/>
      <c r="D42" s="5"/>
      <c r="E42" s="5"/>
      <c r="F42" s="5"/>
      <c r="G42" s="5"/>
      <c r="H42" s="5"/>
      <c r="I42" s="5"/>
      <c r="J42" s="30">
        <f t="shared" si="0"/>
        <v>817000</v>
      </c>
      <c r="K42" s="5"/>
      <c r="L42" s="5" t="s">
        <v>119</v>
      </c>
      <c r="M42" s="5"/>
      <c r="N42" s="5"/>
      <c r="O42" s="5"/>
      <c r="P42" s="5"/>
    </row>
    <row r="43" spans="1:16" x14ac:dyDescent="0.35">
      <c r="A43" s="5"/>
      <c r="B43" s="5"/>
      <c r="C43" s="5"/>
      <c r="D43" s="5"/>
      <c r="E43" s="5"/>
      <c r="F43" s="5"/>
      <c r="G43" s="5"/>
      <c r="H43" s="5"/>
      <c r="I43" s="5"/>
      <c r="J43" s="5"/>
      <c r="K43" s="5"/>
      <c r="L43" s="5"/>
      <c r="M43" s="5"/>
      <c r="N43" s="5"/>
      <c r="O43" s="5"/>
      <c r="P43" s="5"/>
    </row>
    <row r="44" spans="1:16" x14ac:dyDescent="0.35">
      <c r="A44" s="5"/>
      <c r="B44" s="26" t="s">
        <v>120</v>
      </c>
      <c r="C44" s="26"/>
      <c r="D44" s="26"/>
      <c r="E44" s="26"/>
      <c r="F44" s="26"/>
      <c r="G44" s="26"/>
      <c r="H44" s="26"/>
      <c r="I44" s="26"/>
      <c r="J44" s="29">
        <f>SUM(J36+J40+J41+J42)</f>
        <v>10621000</v>
      </c>
      <c r="K44" s="5"/>
      <c r="L44" s="5" t="s">
        <v>121</v>
      </c>
      <c r="M44" s="5"/>
      <c r="N44" s="5"/>
      <c r="O44" s="5"/>
      <c r="P44" s="5"/>
    </row>
    <row r="45" spans="1:16" x14ac:dyDescent="0.35">
      <c r="A45" s="5"/>
      <c r="B45" s="26" t="s">
        <v>122</v>
      </c>
      <c r="C45" s="26"/>
      <c r="D45" s="26"/>
      <c r="E45" s="26"/>
      <c r="F45" s="26"/>
      <c r="G45" s="26"/>
      <c r="H45" s="26"/>
      <c r="I45" s="26"/>
      <c r="J45" s="28">
        <f>J44/(I5*1000)</f>
        <v>35.403333333333336</v>
      </c>
      <c r="K45" s="5"/>
      <c r="L45" s="5" t="s">
        <v>123</v>
      </c>
      <c r="M45" s="5"/>
      <c r="N45" s="5"/>
      <c r="O45" s="5"/>
      <c r="P45" s="5"/>
    </row>
    <row r="46" spans="1:16" x14ac:dyDescent="0.35">
      <c r="A46" s="5"/>
      <c r="B46" s="5"/>
      <c r="C46" s="5"/>
      <c r="D46" s="5"/>
      <c r="E46" s="5"/>
      <c r="F46" s="5"/>
      <c r="G46" s="5"/>
      <c r="H46" s="5"/>
      <c r="I46" s="5"/>
      <c r="J46" s="5"/>
      <c r="K46" s="5"/>
      <c r="L46" s="5"/>
      <c r="M46" s="5"/>
      <c r="N46" s="5"/>
      <c r="O46" s="5"/>
      <c r="P46" s="5"/>
    </row>
    <row r="47" spans="1:16" x14ac:dyDescent="0.35">
      <c r="A47" s="5"/>
      <c r="B47" s="5" t="s">
        <v>207</v>
      </c>
      <c r="C47" s="5"/>
      <c r="D47" s="5"/>
      <c r="E47" s="5"/>
      <c r="F47" s="5"/>
      <c r="G47" s="5"/>
      <c r="H47" s="5"/>
      <c r="I47" s="5"/>
      <c r="J47" s="30">
        <f>ROUND($J$44*0.05,-3)</f>
        <v>531000</v>
      </c>
      <c r="K47" s="5"/>
      <c r="L47" s="5" t="s">
        <v>125</v>
      </c>
      <c r="M47" s="5"/>
      <c r="N47" s="5"/>
      <c r="O47" s="5"/>
      <c r="P47" s="5"/>
    </row>
    <row r="48" spans="1:16" x14ac:dyDescent="0.35">
      <c r="A48" s="5"/>
      <c r="B48" s="26" t="s">
        <v>126</v>
      </c>
      <c r="C48" s="26"/>
      <c r="D48" s="26"/>
      <c r="E48" s="26"/>
      <c r="F48" s="26"/>
      <c r="G48" s="26"/>
      <c r="H48" s="26"/>
      <c r="I48" s="26"/>
      <c r="J48" s="29">
        <f>J47+J44</f>
        <v>11152000</v>
      </c>
      <c r="K48" s="5"/>
      <c r="L48" s="5" t="s">
        <v>127</v>
      </c>
      <c r="M48" s="5"/>
      <c r="N48" s="5"/>
      <c r="O48" s="5"/>
      <c r="P48" s="5"/>
    </row>
    <row r="49" spans="1:16" x14ac:dyDescent="0.35">
      <c r="A49" s="5"/>
      <c r="B49" s="26" t="s">
        <v>128</v>
      </c>
      <c r="C49" s="26"/>
      <c r="D49" s="26"/>
      <c r="E49" s="26"/>
      <c r="F49" s="26"/>
      <c r="G49" s="26"/>
      <c r="H49" s="26"/>
      <c r="I49" s="26"/>
      <c r="J49" s="28">
        <f>J48/(I5*1000)</f>
        <v>37.173333333333332</v>
      </c>
      <c r="K49" s="5"/>
      <c r="L49" s="5" t="s">
        <v>129</v>
      </c>
      <c r="M49" s="5"/>
      <c r="N49" s="5"/>
      <c r="O49" s="5"/>
      <c r="P49" s="5"/>
    </row>
    <row r="50" spans="1:16" x14ac:dyDescent="0.35">
      <c r="A50" s="5"/>
      <c r="B50" s="5"/>
      <c r="C50" s="5"/>
      <c r="D50" s="5"/>
      <c r="E50" s="5"/>
      <c r="F50" s="5"/>
      <c r="G50" s="5"/>
      <c r="H50" s="5"/>
      <c r="I50" s="5"/>
      <c r="J50" s="5"/>
      <c r="K50" s="5"/>
      <c r="L50" s="5"/>
      <c r="M50" s="5"/>
      <c r="N50" s="5"/>
      <c r="O50" s="5"/>
      <c r="P50" s="5"/>
    </row>
    <row r="51" spans="1:16" x14ac:dyDescent="0.35">
      <c r="A51" s="5"/>
      <c r="B51" s="5" t="s">
        <v>310</v>
      </c>
      <c r="C51" s="5"/>
      <c r="D51" s="5"/>
      <c r="E51" s="5"/>
      <c r="F51" s="5"/>
      <c r="G51" s="5"/>
      <c r="H51" s="5"/>
      <c r="I51" s="5"/>
      <c r="J51" s="30">
        <v>0</v>
      </c>
      <c r="K51" s="5"/>
      <c r="L51" s="5" t="s">
        <v>311</v>
      </c>
      <c r="M51" s="5"/>
      <c r="N51" s="5"/>
      <c r="O51" s="5"/>
      <c r="P51" s="5"/>
    </row>
    <row r="52" spans="1:16" x14ac:dyDescent="0.35">
      <c r="A52" s="5"/>
      <c r="B52" s="5"/>
      <c r="C52" s="5"/>
      <c r="D52" s="5"/>
      <c r="E52" s="5"/>
      <c r="F52" s="5"/>
      <c r="G52" s="5"/>
      <c r="H52" s="5"/>
      <c r="I52" s="5"/>
      <c r="J52" s="5"/>
      <c r="K52" s="5"/>
      <c r="L52" s="5"/>
      <c r="M52" s="5"/>
      <c r="N52" s="5"/>
      <c r="O52" s="5"/>
      <c r="P52" s="5"/>
    </row>
    <row r="53" spans="1:16" x14ac:dyDescent="0.35">
      <c r="A53" s="5"/>
      <c r="B53" s="5" t="s">
        <v>132</v>
      </c>
      <c r="C53" s="5"/>
      <c r="D53" s="5"/>
      <c r="E53" s="5"/>
      <c r="F53" s="5"/>
      <c r="G53" s="5"/>
      <c r="H53" s="5"/>
      <c r="I53" s="5"/>
      <c r="J53" s="30">
        <f>ROUND((J45+J48)*IF(I4,0.15,0),-3)</f>
        <v>0</v>
      </c>
      <c r="K53" s="5"/>
      <c r="L53" s="5" t="s">
        <v>133</v>
      </c>
      <c r="M53" s="5"/>
      <c r="N53" s="5"/>
      <c r="O53" s="5"/>
      <c r="P53" s="5"/>
    </row>
    <row r="54" spans="1:16" x14ac:dyDescent="0.35">
      <c r="A54" s="5"/>
      <c r="B54" s="5"/>
      <c r="C54" s="5"/>
      <c r="D54" s="5"/>
      <c r="E54" s="5"/>
      <c r="F54" s="5"/>
      <c r="G54" s="5"/>
      <c r="H54" s="5"/>
      <c r="I54" s="5"/>
      <c r="J54" s="5"/>
      <c r="K54" s="5"/>
      <c r="L54" s="5"/>
      <c r="M54" s="5"/>
      <c r="N54" s="5"/>
      <c r="O54" s="5"/>
      <c r="P54" s="5"/>
    </row>
    <row r="55" spans="1:16" x14ac:dyDescent="0.35">
      <c r="A55" s="5"/>
      <c r="B55" s="26" t="s">
        <v>312</v>
      </c>
      <c r="C55" s="26"/>
      <c r="D55" s="26"/>
      <c r="E55" s="26"/>
      <c r="F55" s="26"/>
      <c r="G55" s="26"/>
      <c r="H55" s="26"/>
      <c r="I55" s="26"/>
      <c r="J55" s="29">
        <f>J44+J47+J51+J53</f>
        <v>11152000</v>
      </c>
      <c r="K55" s="5"/>
      <c r="L55" s="5" t="s">
        <v>135</v>
      </c>
      <c r="M55" s="5"/>
      <c r="N55" s="5"/>
      <c r="O55" s="5"/>
      <c r="P55" s="5"/>
    </row>
    <row r="56" spans="1:16" x14ac:dyDescent="0.35">
      <c r="A56" s="5"/>
      <c r="B56" s="26" t="s">
        <v>313</v>
      </c>
      <c r="C56" s="26"/>
      <c r="D56" s="26"/>
      <c r="E56" s="26"/>
      <c r="F56" s="26"/>
      <c r="G56" s="26"/>
      <c r="H56" s="26"/>
      <c r="I56" s="26"/>
      <c r="J56" s="28">
        <f>J55/(I5*1000)</f>
        <v>37.173333333333332</v>
      </c>
      <c r="K56" s="5"/>
      <c r="L56" s="5" t="s">
        <v>137</v>
      </c>
      <c r="M56" s="5"/>
      <c r="N56" s="5"/>
      <c r="O56" s="5"/>
      <c r="P56" s="5"/>
    </row>
    <row r="57" spans="1:16" x14ac:dyDescent="0.35">
      <c r="A57" s="5"/>
      <c r="B57" s="5"/>
      <c r="C57" s="5"/>
      <c r="D57" s="5"/>
      <c r="E57" s="5"/>
      <c r="F57" s="5"/>
      <c r="G57" s="5"/>
      <c r="H57" s="5"/>
      <c r="I57" s="5"/>
      <c r="J57" s="5"/>
      <c r="K57" s="5"/>
      <c r="L57" s="5"/>
      <c r="M57" s="5"/>
      <c r="N57" s="5"/>
      <c r="O57" s="5"/>
      <c r="P57" s="5"/>
    </row>
    <row r="58" spans="1:16" x14ac:dyDescent="0.35">
      <c r="A58" s="5" t="s">
        <v>138</v>
      </c>
      <c r="B58" s="5"/>
      <c r="C58" s="5"/>
      <c r="D58" s="5"/>
      <c r="E58" s="5"/>
      <c r="F58" s="5"/>
      <c r="G58" s="5"/>
      <c r="H58" s="5"/>
      <c r="I58" s="5"/>
      <c r="J58" s="5"/>
      <c r="K58" s="5"/>
      <c r="L58" s="5"/>
      <c r="M58" s="5"/>
      <c r="N58" s="5"/>
      <c r="O58" s="5"/>
      <c r="P58" s="5"/>
    </row>
    <row r="59" spans="1:16" x14ac:dyDescent="0.35">
      <c r="A59" s="5"/>
      <c r="B59" s="5" t="s">
        <v>314</v>
      </c>
      <c r="C59" s="5"/>
      <c r="D59" s="5"/>
      <c r="E59" s="5"/>
      <c r="F59" s="5"/>
      <c r="G59" s="5"/>
      <c r="H59" s="5"/>
      <c r="I59" s="5"/>
      <c r="J59" s="27">
        <f>ROUND(0*2080*I25/(I5*1000),3)</f>
        <v>0</v>
      </c>
      <c r="K59" s="5"/>
      <c r="L59" s="5" t="s">
        <v>140</v>
      </c>
      <c r="M59" s="5"/>
      <c r="N59" s="5"/>
      <c r="O59" s="5"/>
      <c r="P59" s="5"/>
    </row>
    <row r="60" spans="1:16" x14ac:dyDescent="0.35">
      <c r="A60" s="5"/>
      <c r="B60" s="5" t="s">
        <v>315</v>
      </c>
      <c r="C60" s="5"/>
      <c r="D60" s="5"/>
      <c r="E60" s="5"/>
      <c r="F60" s="5"/>
      <c r="G60" s="5"/>
      <c r="H60" s="5"/>
      <c r="I60" s="5"/>
      <c r="J60" s="27">
        <f>ROUND((J36*0.012)/(I6*I5*1000),2)</f>
        <v>0.33</v>
      </c>
      <c r="K60" s="5"/>
      <c r="L60" s="5" t="s">
        <v>142</v>
      </c>
      <c r="M60" s="5"/>
      <c r="N60" s="5"/>
      <c r="O60" s="5"/>
      <c r="P60" s="5"/>
    </row>
    <row r="61" spans="1:16" x14ac:dyDescent="0.35">
      <c r="A61" s="5"/>
      <c r="B61" s="5" t="s">
        <v>143</v>
      </c>
      <c r="C61" s="5"/>
      <c r="D61" s="5"/>
      <c r="E61" s="5"/>
      <c r="F61" s="5"/>
      <c r="G61" s="5"/>
      <c r="H61" s="5"/>
      <c r="I61" s="5"/>
      <c r="J61" s="27">
        <f>ROUND(0.03*(J59+0.4*J60),4)</f>
        <v>4.0000000000000001E-3</v>
      </c>
      <c r="K61" s="5"/>
      <c r="L61" s="5" t="s">
        <v>144</v>
      </c>
      <c r="M61" s="5"/>
      <c r="N61" s="5"/>
      <c r="O61" s="5"/>
      <c r="P61" s="5"/>
    </row>
    <row r="62" spans="1:16" x14ac:dyDescent="0.35">
      <c r="A62" s="5"/>
      <c r="B62" s="5"/>
      <c r="C62" s="5"/>
      <c r="D62" s="5"/>
      <c r="E62" s="5"/>
      <c r="F62" s="5"/>
      <c r="G62" s="5"/>
      <c r="H62" s="5"/>
      <c r="I62" s="5"/>
      <c r="J62" s="5"/>
      <c r="K62" s="5"/>
      <c r="L62" s="5"/>
      <c r="M62" s="5"/>
      <c r="N62" s="5"/>
      <c r="O62" s="5"/>
      <c r="P62" s="5"/>
    </row>
    <row r="63" spans="1:16" x14ac:dyDescent="0.35">
      <c r="A63" s="5"/>
      <c r="B63" s="5"/>
      <c r="C63" s="5"/>
      <c r="D63" s="5"/>
      <c r="E63" s="5"/>
      <c r="F63" s="5"/>
      <c r="G63" s="26"/>
      <c r="H63" s="5"/>
      <c r="I63" s="5"/>
      <c r="J63" s="5"/>
      <c r="K63" s="5"/>
      <c r="L63" s="5"/>
      <c r="M63" s="5"/>
      <c r="N63" s="5"/>
      <c r="O63" s="5"/>
      <c r="P63" s="5"/>
    </row>
    <row r="64" spans="1:16" x14ac:dyDescent="0.35">
      <c r="A64" s="5"/>
      <c r="B64" s="26" t="s">
        <v>145</v>
      </c>
      <c r="C64" s="26"/>
      <c r="D64" s="26"/>
      <c r="E64" s="26"/>
      <c r="F64" s="26"/>
      <c r="G64" s="5"/>
      <c r="H64" s="26"/>
      <c r="I64" s="26"/>
      <c r="J64" s="25">
        <f>SUM(J59+J60+J61)</f>
        <v>0.33400000000000002</v>
      </c>
      <c r="K64" s="5"/>
      <c r="L64" s="5" t="s">
        <v>146</v>
      </c>
      <c r="M64" s="5"/>
      <c r="N64" s="5"/>
      <c r="O64" s="5"/>
      <c r="P64" s="5"/>
    </row>
    <row r="65" spans="1:16" x14ac:dyDescent="0.35">
      <c r="A65" s="5"/>
      <c r="B65" s="5"/>
      <c r="C65" s="5"/>
      <c r="D65" s="5"/>
      <c r="E65" s="5"/>
      <c r="F65" s="5"/>
      <c r="G65" s="5"/>
      <c r="H65" s="5"/>
      <c r="I65" s="5"/>
      <c r="J65" s="5"/>
      <c r="K65" s="5"/>
      <c r="L65" s="5"/>
      <c r="M65" s="5"/>
      <c r="N65" s="5"/>
      <c r="O65" s="5"/>
      <c r="P65" s="5"/>
    </row>
    <row r="66" spans="1:16" x14ac:dyDescent="0.35">
      <c r="A66" s="5" t="s">
        <v>147</v>
      </c>
      <c r="B66" s="5"/>
      <c r="C66" s="5"/>
      <c r="D66" s="5"/>
      <c r="E66" s="5"/>
      <c r="F66" s="5"/>
      <c r="G66" s="5"/>
      <c r="H66" s="5"/>
      <c r="I66" s="5"/>
      <c r="J66" s="5"/>
      <c r="K66" s="5"/>
      <c r="L66" s="5"/>
      <c r="M66" s="5"/>
      <c r="N66" s="5"/>
      <c r="O66" s="5"/>
      <c r="P66" s="5"/>
    </row>
    <row r="67" spans="1:16" x14ac:dyDescent="0.35">
      <c r="A67" s="5"/>
      <c r="B67" s="5" t="s">
        <v>316</v>
      </c>
      <c r="C67" s="5"/>
      <c r="D67" s="5"/>
      <c r="E67" s="5"/>
      <c r="F67" s="5"/>
      <c r="G67" s="5"/>
      <c r="H67" s="5"/>
      <c r="I67" s="5"/>
      <c r="J67" s="27">
        <f>ROUND(I17*I22/(I5*1000),2)</f>
        <v>0.82</v>
      </c>
      <c r="K67" s="5"/>
      <c r="L67" s="5" t="s">
        <v>317</v>
      </c>
      <c r="M67" s="5"/>
      <c r="N67" s="5"/>
      <c r="O67" s="5"/>
      <c r="P67" s="5"/>
    </row>
    <row r="68" spans="1:16" x14ac:dyDescent="0.35">
      <c r="A68" s="5"/>
      <c r="B68" s="5" t="s">
        <v>318</v>
      </c>
      <c r="C68" s="5"/>
      <c r="D68" s="5"/>
      <c r="E68" s="5"/>
      <c r="F68" s="5"/>
      <c r="G68" s="5"/>
      <c r="H68" s="5"/>
      <c r="I68" s="5"/>
      <c r="J68" s="27">
        <f>ROUND(I21*I24/I5,3)</f>
        <v>5.0000000000000001E-3</v>
      </c>
      <c r="K68" s="5"/>
      <c r="L68" s="5" t="s">
        <v>319</v>
      </c>
      <c r="M68" s="5"/>
      <c r="N68" s="5"/>
      <c r="O68" s="5"/>
      <c r="P68" s="5"/>
    </row>
    <row r="69" spans="1:16" x14ac:dyDescent="0.35">
      <c r="A69" s="5"/>
      <c r="B69" s="5" t="s">
        <v>320</v>
      </c>
      <c r="C69" s="5"/>
      <c r="D69" s="5"/>
      <c r="E69" s="5"/>
      <c r="F69" s="5"/>
      <c r="G69" s="5"/>
      <c r="H69" s="5"/>
      <c r="I69" s="5"/>
      <c r="J69" s="27">
        <f>IF(B114,I20*I23*10,0)</f>
        <v>0.03</v>
      </c>
      <c r="K69" s="5"/>
      <c r="L69" s="5" t="s">
        <v>321</v>
      </c>
      <c r="M69" s="5"/>
      <c r="N69" s="5"/>
      <c r="O69" s="5"/>
      <c r="P69" s="5"/>
    </row>
    <row r="70" spans="1:16" x14ac:dyDescent="0.35">
      <c r="A70" s="5"/>
      <c r="B70" s="5" t="s">
        <v>322</v>
      </c>
      <c r="C70" s="5"/>
      <c r="D70" s="5"/>
      <c r="E70" s="5"/>
      <c r="F70" s="5"/>
      <c r="G70" s="5"/>
      <c r="H70" s="5"/>
      <c r="I70" s="5"/>
      <c r="J70" s="27">
        <f>IF(B117,0.001175*I18*I26/I5,0)</f>
        <v>0.10463630434782609</v>
      </c>
      <c r="K70" s="5"/>
      <c r="L70" s="5" t="s">
        <v>323</v>
      </c>
      <c r="M70" s="5"/>
      <c r="N70" s="5"/>
      <c r="O70" s="5"/>
      <c r="P70" s="5"/>
    </row>
    <row r="71" spans="1:16" x14ac:dyDescent="0.35">
      <c r="A71" s="5"/>
      <c r="B71" s="5"/>
      <c r="C71" s="5"/>
      <c r="D71" s="5"/>
      <c r="E71" s="5"/>
      <c r="F71" s="5"/>
      <c r="G71" s="5"/>
      <c r="H71" s="5"/>
      <c r="I71" s="5"/>
      <c r="J71" s="5"/>
      <c r="K71" s="5"/>
      <c r="L71" s="5"/>
      <c r="M71" s="5"/>
      <c r="N71" s="5"/>
      <c r="O71" s="5"/>
      <c r="P71" s="5"/>
    </row>
    <row r="72" spans="1:16" x14ac:dyDescent="0.35">
      <c r="A72" s="5"/>
      <c r="B72" s="5"/>
      <c r="C72" s="5"/>
      <c r="D72" s="5"/>
      <c r="E72" s="5"/>
      <c r="F72" s="5"/>
      <c r="G72" s="26"/>
      <c r="H72" s="5"/>
      <c r="I72" s="5"/>
      <c r="J72" s="5"/>
      <c r="K72" s="5"/>
      <c r="L72" s="5"/>
      <c r="M72" s="5"/>
      <c r="N72" s="5"/>
      <c r="O72" s="5"/>
      <c r="P72" s="5"/>
    </row>
    <row r="73" spans="1:16" x14ac:dyDescent="0.35">
      <c r="A73" s="5"/>
      <c r="B73" s="26" t="s">
        <v>156</v>
      </c>
      <c r="C73" s="26"/>
      <c r="D73" s="26"/>
      <c r="E73" s="26"/>
      <c r="F73" s="26"/>
      <c r="G73" s="5"/>
      <c r="H73" s="26"/>
      <c r="I73" s="26"/>
      <c r="J73" s="25">
        <f>SUM(J67+J68+J69+J70)</f>
        <v>0.9596363043478261</v>
      </c>
      <c r="K73" s="5"/>
      <c r="L73" s="5" t="s">
        <v>157</v>
      </c>
      <c r="M73" s="5"/>
      <c r="N73" s="5"/>
      <c r="O73" s="5"/>
      <c r="P73" s="5"/>
    </row>
    <row r="74" spans="1:16" x14ac:dyDescent="0.35">
      <c r="A74" s="5"/>
      <c r="B74" s="5"/>
      <c r="C74" s="5"/>
      <c r="D74" s="5"/>
      <c r="E74" s="5"/>
      <c r="F74" s="5"/>
      <c r="G74" s="10" t="s">
        <v>158</v>
      </c>
      <c r="H74" s="5"/>
      <c r="I74" s="5"/>
      <c r="J74" s="5"/>
      <c r="K74" s="5"/>
      <c r="L74" s="5"/>
      <c r="M74" s="5"/>
      <c r="N74" s="5"/>
      <c r="O74" s="5"/>
      <c r="P74" s="5"/>
    </row>
    <row r="75" spans="1:16" x14ac:dyDescent="0.35">
      <c r="A75" s="5"/>
      <c r="B75" s="5"/>
      <c r="C75" s="5"/>
      <c r="D75" s="5"/>
      <c r="E75" s="5"/>
      <c r="F75" s="5"/>
      <c r="G75" s="10" t="s">
        <v>159</v>
      </c>
      <c r="H75" s="24">
        <f>I14/100</f>
        <v>0.56000000000000005</v>
      </c>
      <c r="I75" s="5"/>
      <c r="J75" s="5"/>
      <c r="K75" s="5"/>
      <c r="L75" s="5"/>
      <c r="M75" s="5"/>
      <c r="N75" s="5"/>
      <c r="O75" s="5"/>
      <c r="P75" s="5"/>
    </row>
    <row r="76" spans="1:16" x14ac:dyDescent="0.35">
      <c r="A76" s="5"/>
      <c r="B76" s="5"/>
      <c r="C76" s="5"/>
      <c r="D76" s="5"/>
      <c r="E76" s="5"/>
      <c r="F76" s="5"/>
      <c r="G76" s="10" t="s">
        <v>160</v>
      </c>
      <c r="H76" s="9">
        <f>H75*I5*8760</f>
        <v>1471680.0000000002</v>
      </c>
      <c r="I76" s="5"/>
      <c r="J76" s="5"/>
      <c r="K76" s="5"/>
      <c r="L76" s="5"/>
      <c r="M76" s="5"/>
      <c r="N76" s="5"/>
      <c r="O76" s="5"/>
      <c r="P76" s="5"/>
    </row>
    <row r="77" spans="1:16" x14ac:dyDescent="0.35">
      <c r="A77" s="5"/>
      <c r="B77" s="5"/>
      <c r="C77" s="5"/>
      <c r="D77" s="5"/>
      <c r="E77" s="5"/>
      <c r="F77" s="5"/>
      <c r="G77" s="10" t="s">
        <v>324</v>
      </c>
      <c r="H77" s="22">
        <f>H76*1000*I7/1000000</f>
        <v>14422464.000000002</v>
      </c>
      <c r="I77" s="5"/>
      <c r="J77" s="5"/>
      <c r="K77" s="5"/>
      <c r="L77" s="5"/>
      <c r="M77" s="5"/>
      <c r="N77" s="5"/>
      <c r="O77" s="5"/>
      <c r="P77" s="5"/>
    </row>
    <row r="78" spans="1:16" x14ac:dyDescent="0.35">
      <c r="A78" s="5"/>
      <c r="B78" s="5"/>
      <c r="C78" s="5"/>
      <c r="D78" s="5"/>
      <c r="E78" s="5"/>
      <c r="F78" s="5"/>
      <c r="G78" s="10" t="s">
        <v>325</v>
      </c>
      <c r="H78" s="22">
        <f>I8*H77/2000</f>
        <v>1586.4710400000004</v>
      </c>
      <c r="I78" s="5" t="s">
        <v>326</v>
      </c>
      <c r="J78" s="5"/>
      <c r="K78" s="5"/>
      <c r="L78" s="5"/>
      <c r="M78" s="5"/>
      <c r="N78" s="5"/>
      <c r="O78" s="5"/>
      <c r="P78" s="5"/>
    </row>
    <row r="79" spans="1:16" x14ac:dyDescent="0.35">
      <c r="A79" s="5"/>
      <c r="B79" s="5"/>
      <c r="C79" s="5"/>
      <c r="D79" s="5"/>
      <c r="E79" s="5"/>
      <c r="F79" s="5"/>
      <c r="G79" s="10" t="s">
        <v>327</v>
      </c>
      <c r="H79" s="22">
        <f>I15*H78/100</f>
        <v>396.61776000000015</v>
      </c>
      <c r="I79" s="5" t="str">
        <f>"at removal efficiency = "&amp;I15&amp;"%"</f>
        <v>at removal efficiency = 25%</v>
      </c>
      <c r="J79" s="5"/>
      <c r="K79" s="5"/>
      <c r="L79" s="5"/>
      <c r="M79" s="5"/>
      <c r="N79" s="5"/>
      <c r="O79" s="5"/>
      <c r="P79" s="5"/>
    </row>
    <row r="80" spans="1:16" x14ac:dyDescent="0.35">
      <c r="A80" s="5"/>
      <c r="B80" s="5"/>
      <c r="C80" s="5"/>
      <c r="D80" s="5"/>
      <c r="E80" s="5"/>
      <c r="F80" s="5"/>
      <c r="G80" s="10" t="s">
        <v>328</v>
      </c>
      <c r="H80" s="22">
        <f>H78-H79</f>
        <v>1189.8532800000003</v>
      </c>
      <c r="I80" s="5"/>
      <c r="J80" s="5"/>
      <c r="K80" s="5"/>
      <c r="L80" s="5"/>
      <c r="M80" s="5"/>
      <c r="N80" s="5"/>
      <c r="O80" s="5"/>
      <c r="P80" s="5"/>
    </row>
    <row r="81" spans="1:16" x14ac:dyDescent="0.35">
      <c r="A81" s="5"/>
      <c r="B81" s="5"/>
      <c r="C81" s="5"/>
      <c r="D81" s="5"/>
      <c r="E81" s="5"/>
      <c r="F81" s="5"/>
      <c r="G81" s="5"/>
      <c r="H81" s="5">
        <f>H80*2000/H77</f>
        <v>0.16500000000000001</v>
      </c>
      <c r="I81" s="5"/>
      <c r="J81" s="5"/>
      <c r="K81" s="5"/>
      <c r="L81" s="5"/>
      <c r="M81" s="5"/>
      <c r="N81" s="5"/>
      <c r="O81" s="5"/>
      <c r="P81" s="5"/>
    </row>
    <row r="82" spans="1:16" x14ac:dyDescent="0.35">
      <c r="A82" s="5"/>
      <c r="B82" s="5"/>
      <c r="C82" s="5"/>
      <c r="D82" s="5"/>
      <c r="E82" s="5"/>
      <c r="F82" s="5"/>
      <c r="G82" s="10" t="s">
        <v>166</v>
      </c>
      <c r="H82" s="5"/>
      <c r="I82" s="5"/>
      <c r="J82" s="5"/>
      <c r="K82" s="5"/>
      <c r="L82" s="5"/>
      <c r="M82" s="5"/>
      <c r="N82" s="5"/>
      <c r="O82" s="5"/>
      <c r="P82" s="5"/>
    </row>
    <row r="83" spans="1:16" x14ac:dyDescent="0.35">
      <c r="A83" s="5"/>
      <c r="B83" s="5"/>
      <c r="C83" s="5"/>
      <c r="D83" s="5"/>
      <c r="E83" s="5"/>
      <c r="F83" s="5"/>
      <c r="G83" s="5"/>
      <c r="H83" s="17">
        <f>0.143</f>
        <v>0.14299999999999999</v>
      </c>
      <c r="I83" s="10" t="s">
        <v>329</v>
      </c>
      <c r="J83" s="5"/>
      <c r="K83" s="5"/>
      <c r="L83" s="5"/>
      <c r="M83" s="5"/>
      <c r="N83" s="5"/>
      <c r="O83" s="5"/>
      <c r="P83" s="5"/>
    </row>
    <row r="84" spans="1:16" x14ac:dyDescent="0.35">
      <c r="A84" s="5"/>
      <c r="B84" s="5"/>
      <c r="C84" s="5"/>
      <c r="D84" s="5"/>
      <c r="E84" s="5"/>
      <c r="F84" s="5"/>
      <c r="G84" s="5"/>
      <c r="H84" s="10" t="s">
        <v>168</v>
      </c>
      <c r="I84" s="9">
        <f>ROUND(H83*J55,-3)</f>
        <v>1595000</v>
      </c>
      <c r="J84" s="5"/>
      <c r="K84" s="5"/>
      <c r="L84" s="5"/>
      <c r="M84" s="5"/>
      <c r="N84" s="5"/>
      <c r="O84" s="5"/>
      <c r="P84" s="5"/>
    </row>
    <row r="85" spans="1:16" x14ac:dyDescent="0.35">
      <c r="A85" s="5"/>
      <c r="B85" s="5"/>
      <c r="C85" s="5"/>
      <c r="D85" s="5"/>
      <c r="E85" s="5"/>
      <c r="F85" s="5"/>
      <c r="G85" s="5"/>
      <c r="H85" s="10" t="s">
        <v>169</v>
      </c>
      <c r="I85" s="9">
        <f>ROUND(J64*I5*1000,-3)</f>
        <v>100000</v>
      </c>
      <c r="J85" s="5"/>
      <c r="K85" s="5"/>
      <c r="L85" s="5"/>
      <c r="M85" s="5"/>
      <c r="N85" s="5"/>
      <c r="O85" s="5"/>
      <c r="P85" s="5"/>
    </row>
    <row r="86" spans="1:16" x14ac:dyDescent="0.35">
      <c r="A86" s="5"/>
      <c r="B86" s="5"/>
      <c r="C86" s="5"/>
      <c r="D86" s="5"/>
      <c r="E86" s="5"/>
      <c r="F86" s="5"/>
      <c r="G86" s="5"/>
      <c r="H86" s="10" t="s">
        <v>170</v>
      </c>
      <c r="I86" s="9">
        <f>ROUND(J73*H76,-3)</f>
        <v>1412000</v>
      </c>
      <c r="J86" s="5"/>
      <c r="K86" s="5"/>
      <c r="L86" s="5"/>
      <c r="M86" s="5"/>
      <c r="N86" s="5"/>
      <c r="O86" s="5"/>
      <c r="P86" s="5"/>
    </row>
    <row r="87" spans="1:16" x14ac:dyDescent="0.35">
      <c r="A87" s="5"/>
      <c r="B87" s="5"/>
      <c r="C87" s="5"/>
      <c r="D87" s="5"/>
      <c r="E87" s="5"/>
      <c r="F87" s="5"/>
      <c r="G87" s="5"/>
      <c r="H87" s="7" t="s">
        <v>330</v>
      </c>
      <c r="I87" s="6">
        <f>SUM(I84:I86)</f>
        <v>3107000</v>
      </c>
      <c r="J87" s="5"/>
      <c r="K87" s="5"/>
      <c r="L87" s="5"/>
      <c r="M87" s="5"/>
      <c r="N87" s="5"/>
      <c r="O87" s="5"/>
      <c r="P87" s="5"/>
    </row>
    <row r="88" spans="1:16" ht="15" thickBot="1" x14ac:dyDescent="0.4">
      <c r="A88" s="5"/>
      <c r="B88" s="5"/>
      <c r="C88" s="5"/>
      <c r="D88" s="5"/>
      <c r="E88" s="5"/>
      <c r="F88" s="5"/>
      <c r="G88" s="5"/>
      <c r="H88" s="5"/>
      <c r="I88" s="5"/>
      <c r="J88" s="5"/>
      <c r="K88" s="5"/>
      <c r="L88" s="5"/>
      <c r="M88" s="5"/>
      <c r="N88" s="5"/>
      <c r="O88" s="5"/>
      <c r="P88" s="5"/>
    </row>
    <row r="89" spans="1:16" ht="15" thickTop="1" x14ac:dyDescent="0.35">
      <c r="A89" s="5"/>
      <c r="B89" s="5"/>
      <c r="C89" s="5"/>
      <c r="D89" s="5"/>
      <c r="E89" s="5"/>
      <c r="F89" s="5"/>
      <c r="G89" s="5"/>
      <c r="H89" s="12" t="s">
        <v>172</v>
      </c>
      <c r="I89" s="16">
        <f>I84/$H$76</f>
        <v>1.0837953903022395</v>
      </c>
      <c r="J89" s="5"/>
      <c r="K89" s="5"/>
      <c r="L89" s="5"/>
      <c r="M89" s="5"/>
      <c r="N89" s="5"/>
      <c r="O89" s="5"/>
      <c r="P89" s="5"/>
    </row>
    <row r="90" spans="1:16" x14ac:dyDescent="0.35">
      <c r="A90" s="5"/>
      <c r="B90" s="5"/>
      <c r="C90" s="5"/>
      <c r="D90" s="5"/>
      <c r="E90" s="5"/>
      <c r="F90" s="5"/>
      <c r="G90" s="5"/>
      <c r="H90" s="10" t="s">
        <v>173</v>
      </c>
      <c r="I90" s="15">
        <f t="shared" ref="I90:I91" si="1">I85/$H$76</f>
        <v>6.7949554250924096E-2</v>
      </c>
      <c r="J90" s="5"/>
      <c r="K90" s="5"/>
      <c r="L90" s="5"/>
      <c r="M90" s="5"/>
      <c r="N90" s="5"/>
      <c r="O90" s="5"/>
      <c r="P90" s="5"/>
    </row>
    <row r="91" spans="1:16" x14ac:dyDescent="0.35">
      <c r="A91" s="5"/>
      <c r="B91" s="5"/>
      <c r="C91" s="5"/>
      <c r="D91" s="5"/>
      <c r="E91" s="5"/>
      <c r="F91" s="5"/>
      <c r="G91" s="5"/>
      <c r="H91" s="10" t="s">
        <v>174</v>
      </c>
      <c r="I91" s="15">
        <f t="shared" si="1"/>
        <v>0.9594477060230483</v>
      </c>
      <c r="J91" s="5"/>
      <c r="K91" s="5"/>
      <c r="L91" s="5"/>
      <c r="M91" s="5"/>
      <c r="N91" s="5"/>
      <c r="O91" s="5"/>
      <c r="P91" s="5"/>
    </row>
    <row r="92" spans="1:16" x14ac:dyDescent="0.35">
      <c r="A92" s="5"/>
      <c r="B92" s="5"/>
      <c r="C92" s="5"/>
      <c r="D92" s="5"/>
      <c r="E92" s="5"/>
      <c r="F92" s="5"/>
      <c r="G92" s="5"/>
      <c r="H92" s="7" t="s">
        <v>331</v>
      </c>
      <c r="I92" s="14">
        <f>SUM(I89:I91)</f>
        <v>2.111192650576212</v>
      </c>
      <c r="J92" s="5"/>
      <c r="K92" s="5"/>
      <c r="L92" s="5"/>
      <c r="M92" s="5"/>
      <c r="N92" s="5"/>
      <c r="O92" s="5"/>
      <c r="P92" s="5"/>
    </row>
    <row r="93" spans="1:16" ht="15" thickBot="1" x14ac:dyDescent="0.4">
      <c r="A93" s="5"/>
      <c r="B93" s="5"/>
      <c r="C93" s="5"/>
      <c r="D93" s="5"/>
      <c r="E93" s="5"/>
      <c r="F93" s="5"/>
      <c r="G93" s="5"/>
      <c r="H93" s="5"/>
      <c r="I93" s="5"/>
      <c r="J93" s="5"/>
      <c r="K93" s="5"/>
      <c r="L93" s="5"/>
      <c r="M93" s="5"/>
      <c r="N93" s="5"/>
      <c r="O93" s="5"/>
      <c r="P93" s="5"/>
    </row>
    <row r="94" spans="1:16" ht="15" thickTop="1" x14ac:dyDescent="0.35">
      <c r="A94" s="5"/>
      <c r="B94" s="5"/>
      <c r="C94" s="5"/>
      <c r="D94" s="5"/>
      <c r="E94" s="5"/>
      <c r="F94" s="5"/>
      <c r="G94" s="5"/>
      <c r="H94" s="12" t="s">
        <v>176</v>
      </c>
      <c r="I94" s="11">
        <f>I84/$H$79</f>
        <v>4021.5042311771399</v>
      </c>
      <c r="J94" s="5"/>
      <c r="K94" s="5"/>
      <c r="L94" s="5"/>
      <c r="M94" s="5"/>
      <c r="N94" s="5"/>
      <c r="O94" s="5"/>
      <c r="P94" s="5"/>
    </row>
    <row r="95" spans="1:16" x14ac:dyDescent="0.35">
      <c r="A95" s="5"/>
      <c r="B95" s="5"/>
      <c r="C95" s="5"/>
      <c r="D95" s="5"/>
      <c r="E95" s="5"/>
      <c r="F95" s="5"/>
      <c r="G95" s="5"/>
      <c r="H95" s="10" t="s">
        <v>177</v>
      </c>
      <c r="I95" s="9">
        <f t="shared" ref="I95:I96" si="2">I85/$H$79</f>
        <v>252.13192671956989</v>
      </c>
      <c r="J95" s="5"/>
      <c r="K95" s="5"/>
      <c r="L95" s="5"/>
      <c r="M95" s="5"/>
      <c r="N95" s="5"/>
      <c r="O95" s="5"/>
      <c r="P95" s="5"/>
    </row>
    <row r="96" spans="1:16" x14ac:dyDescent="0.35">
      <c r="A96" s="5"/>
      <c r="B96" s="5"/>
      <c r="C96" s="5"/>
      <c r="D96" s="5"/>
      <c r="E96" s="5"/>
      <c r="F96" s="5"/>
      <c r="G96" s="5"/>
      <c r="H96" s="10" t="s">
        <v>178</v>
      </c>
      <c r="I96" s="9">
        <f t="shared" si="2"/>
        <v>3560.1028052803272</v>
      </c>
      <c r="J96" s="5"/>
      <c r="K96" s="5"/>
      <c r="L96" s="5"/>
      <c r="M96" s="5"/>
      <c r="N96" s="5"/>
      <c r="O96" s="5"/>
      <c r="P96" s="5"/>
    </row>
    <row r="97" spans="1:16" x14ac:dyDescent="0.35">
      <c r="A97" s="5"/>
      <c r="B97" s="5"/>
      <c r="C97" s="5"/>
      <c r="D97" s="5"/>
      <c r="E97" s="5"/>
      <c r="F97" s="5"/>
      <c r="G97" s="5"/>
      <c r="H97" s="7" t="s">
        <v>332</v>
      </c>
      <c r="I97" s="6">
        <f>SUM(I94:I96)</f>
        <v>7833.7389631770366</v>
      </c>
      <c r="J97" s="5"/>
      <c r="K97" s="5"/>
      <c r="L97" s="5"/>
      <c r="M97" s="5"/>
      <c r="N97" s="5"/>
      <c r="O97" s="5"/>
      <c r="P97" s="5"/>
    </row>
    <row r="98" spans="1:16" x14ac:dyDescent="0.35">
      <c r="A98" s="5"/>
      <c r="B98" s="5"/>
      <c r="C98" s="5"/>
      <c r="D98" s="5"/>
      <c r="E98" s="5"/>
      <c r="F98" s="5"/>
      <c r="G98" s="5"/>
      <c r="H98" s="5"/>
      <c r="I98" s="5"/>
      <c r="J98" s="5"/>
      <c r="K98" s="5"/>
      <c r="L98" s="5"/>
      <c r="M98" s="5"/>
      <c r="N98" s="5"/>
      <c r="O98" s="5"/>
      <c r="P98" s="5"/>
    </row>
    <row r="99" spans="1:16" x14ac:dyDescent="0.35">
      <c r="A99" s="5"/>
      <c r="B99" s="5"/>
      <c r="C99" s="5"/>
      <c r="D99" s="5"/>
      <c r="E99" s="5"/>
      <c r="F99" s="5"/>
      <c r="G99" s="5"/>
      <c r="H99" s="5"/>
      <c r="I99" s="5"/>
      <c r="J99" s="5"/>
      <c r="K99" s="5"/>
      <c r="L99" s="5"/>
      <c r="M99" s="5"/>
      <c r="N99" s="5"/>
      <c r="O99" s="5"/>
      <c r="P99" s="5"/>
    </row>
    <row r="100" spans="1:16" x14ac:dyDescent="0.35">
      <c r="A100" s="5" t="s">
        <v>180</v>
      </c>
      <c r="B100" s="5"/>
      <c r="C100" s="5"/>
      <c r="D100" s="5"/>
      <c r="E100" s="5"/>
      <c r="F100" s="5"/>
      <c r="G100" s="5"/>
      <c r="H100" s="5"/>
      <c r="I100" s="5"/>
      <c r="J100" s="5"/>
      <c r="K100" s="5"/>
      <c r="L100" s="5"/>
      <c r="M100" s="5"/>
      <c r="N100" s="5"/>
      <c r="O100" s="5"/>
      <c r="P100" s="5"/>
    </row>
    <row r="101" spans="1:16" x14ac:dyDescent="0.35">
      <c r="A101" s="5"/>
      <c r="B101" s="5" t="s">
        <v>181</v>
      </c>
      <c r="C101" s="5" t="s">
        <v>50</v>
      </c>
      <c r="D101" s="5"/>
      <c r="E101" s="5"/>
      <c r="F101" s="5"/>
      <c r="G101" s="5"/>
      <c r="H101" s="5"/>
      <c r="I101" s="5"/>
      <c r="J101" s="5"/>
      <c r="K101" s="5"/>
      <c r="L101" s="5"/>
      <c r="M101" s="5"/>
      <c r="N101" s="5"/>
      <c r="O101" s="5"/>
      <c r="P101" s="5"/>
    </row>
    <row r="102" spans="1:16" x14ac:dyDescent="0.35">
      <c r="A102" s="5">
        <v>1</v>
      </c>
      <c r="B102" s="5" t="s">
        <v>182</v>
      </c>
      <c r="C102" s="5">
        <v>1.05</v>
      </c>
      <c r="D102" s="5"/>
      <c r="E102" s="5"/>
      <c r="F102" s="5"/>
      <c r="G102" s="5"/>
      <c r="H102" s="5"/>
      <c r="I102" s="5"/>
      <c r="J102" s="5"/>
      <c r="K102" s="5"/>
      <c r="L102" s="5"/>
      <c r="M102" s="5"/>
      <c r="N102" s="5"/>
      <c r="O102" s="5"/>
      <c r="P102" s="5"/>
    </row>
    <row r="103" spans="1:16" x14ac:dyDescent="0.35">
      <c r="A103" s="5">
        <v>2</v>
      </c>
      <c r="B103" s="5" t="s">
        <v>183</v>
      </c>
      <c r="C103" s="5">
        <v>1.07</v>
      </c>
      <c r="D103" s="5"/>
      <c r="E103" s="5"/>
      <c r="F103" s="5"/>
      <c r="G103" s="5"/>
      <c r="H103" s="5"/>
      <c r="I103" s="5"/>
      <c r="J103" s="5"/>
      <c r="K103" s="5"/>
      <c r="L103" s="5"/>
      <c r="M103" s="5"/>
      <c r="N103" s="5"/>
      <c r="O103" s="5"/>
      <c r="P103" s="5"/>
    </row>
    <row r="104" spans="1:16" x14ac:dyDescent="0.35">
      <c r="A104" s="5">
        <v>3</v>
      </c>
      <c r="B104" s="5" t="s">
        <v>184</v>
      </c>
      <c r="C104" s="5">
        <v>1</v>
      </c>
      <c r="D104" s="5"/>
      <c r="E104" s="5"/>
      <c r="F104" s="5"/>
      <c r="G104" s="5"/>
      <c r="H104" s="5"/>
      <c r="I104" s="5"/>
      <c r="J104" s="5"/>
      <c r="K104" s="5"/>
      <c r="L104" s="5"/>
      <c r="M104" s="5"/>
      <c r="N104" s="5"/>
      <c r="O104" s="5"/>
      <c r="P104" s="5"/>
    </row>
    <row r="105" spans="1:16" x14ac:dyDescent="0.35">
      <c r="A105" s="5"/>
      <c r="B105" s="5"/>
      <c r="C105" s="5"/>
      <c r="D105" s="5"/>
      <c r="E105" s="5"/>
      <c r="F105" s="5"/>
      <c r="G105" s="5"/>
      <c r="H105" s="5"/>
      <c r="I105" s="5"/>
      <c r="J105" s="5"/>
      <c r="K105" s="5"/>
      <c r="L105" s="5"/>
      <c r="M105" s="5"/>
      <c r="N105" s="5"/>
      <c r="O105" s="5"/>
      <c r="P105" s="5"/>
    </row>
    <row r="106" spans="1:16" x14ac:dyDescent="0.35">
      <c r="A106" s="5"/>
      <c r="B106" s="5"/>
      <c r="C106" s="5"/>
      <c r="D106" s="5"/>
      <c r="E106" s="5"/>
      <c r="F106" s="5"/>
      <c r="G106" s="5"/>
      <c r="H106" s="5"/>
      <c r="I106" s="5"/>
      <c r="J106" s="5"/>
      <c r="K106" s="5"/>
      <c r="L106" s="5"/>
      <c r="M106" s="5"/>
      <c r="N106" s="5"/>
      <c r="O106" s="5"/>
      <c r="P106" s="5"/>
    </row>
    <row r="107" spans="1:16" x14ac:dyDescent="0.35">
      <c r="A107" s="5"/>
      <c r="B107" s="78" t="s">
        <v>281</v>
      </c>
      <c r="D107" s="5"/>
      <c r="E107" s="5"/>
      <c r="F107" s="5"/>
      <c r="G107" s="5"/>
      <c r="H107" s="5"/>
      <c r="I107" s="5"/>
      <c r="J107" s="5"/>
      <c r="K107" s="5"/>
      <c r="L107" s="5"/>
      <c r="M107" s="5"/>
      <c r="N107" s="5"/>
      <c r="O107" s="5"/>
      <c r="P107" s="5"/>
    </row>
    <row r="108" spans="1:16" x14ac:dyDescent="0.35">
      <c r="A108" s="5"/>
      <c r="B108" s="78" t="s">
        <v>337</v>
      </c>
      <c r="C108" s="3">
        <v>1</v>
      </c>
      <c r="D108" s="5"/>
      <c r="E108" s="5"/>
      <c r="F108" s="5"/>
      <c r="G108" s="5"/>
      <c r="H108" s="5"/>
      <c r="I108" s="5"/>
      <c r="J108" s="5"/>
      <c r="K108" s="5"/>
      <c r="L108" s="5"/>
      <c r="M108" s="5"/>
      <c r="N108" s="5"/>
      <c r="O108" s="5"/>
      <c r="P108" s="5"/>
    </row>
    <row r="109" spans="1:16" x14ac:dyDescent="0.35">
      <c r="A109" s="5"/>
      <c r="B109" s="78" t="s">
        <v>338</v>
      </c>
      <c r="C109" s="3">
        <v>2</v>
      </c>
      <c r="D109" s="5"/>
      <c r="E109" s="5"/>
      <c r="F109" s="5"/>
      <c r="G109" s="5"/>
      <c r="H109" s="5"/>
      <c r="I109" s="5"/>
      <c r="J109" s="5"/>
      <c r="K109" s="5"/>
      <c r="L109" s="5"/>
      <c r="M109" s="5"/>
      <c r="N109" s="5"/>
      <c r="O109" s="5"/>
      <c r="P109" s="5"/>
    </row>
    <row r="110" spans="1:16" x14ac:dyDescent="0.35">
      <c r="A110" s="5"/>
      <c r="B110" s="78" t="s">
        <v>339</v>
      </c>
      <c r="C110" s="3">
        <v>3</v>
      </c>
      <c r="D110" s="5"/>
      <c r="E110" s="5"/>
      <c r="F110" s="5"/>
      <c r="G110" s="5"/>
      <c r="H110" s="5"/>
      <c r="I110" s="5"/>
      <c r="J110" s="5"/>
      <c r="K110" s="5"/>
      <c r="L110" s="5"/>
      <c r="M110" s="5"/>
      <c r="N110" s="5"/>
      <c r="O110" s="5"/>
      <c r="P110" s="5"/>
    </row>
    <row r="111" spans="1:16" x14ac:dyDescent="0.35">
      <c r="A111" s="5"/>
      <c r="B111" s="78" t="s">
        <v>340</v>
      </c>
      <c r="C111" s="3">
        <v>4</v>
      </c>
      <c r="D111" s="5"/>
      <c r="E111" s="5"/>
      <c r="F111" s="5"/>
      <c r="G111" s="5"/>
      <c r="H111" s="5"/>
      <c r="I111" s="5"/>
      <c r="J111" s="5"/>
      <c r="K111" s="5"/>
      <c r="L111" s="5"/>
      <c r="M111" s="5"/>
      <c r="N111" s="5"/>
      <c r="O111" s="5"/>
      <c r="P111" s="5"/>
    </row>
    <row r="112" spans="1:16" x14ac:dyDescent="0.35">
      <c r="A112" s="5"/>
      <c r="D112" s="5"/>
      <c r="E112" s="5"/>
      <c r="F112" s="5"/>
      <c r="G112" s="5"/>
      <c r="H112" s="5"/>
      <c r="I112" s="5"/>
      <c r="J112" s="5"/>
      <c r="K112" s="5"/>
      <c r="L112" s="5"/>
      <c r="M112" s="5"/>
      <c r="N112" s="5"/>
      <c r="O112" s="5"/>
      <c r="P112" s="5"/>
    </row>
    <row r="113" spans="1:16" x14ac:dyDescent="0.35">
      <c r="A113" s="5"/>
      <c r="B113" s="78" t="s">
        <v>185</v>
      </c>
      <c r="D113" s="5"/>
      <c r="E113" s="5"/>
      <c r="F113" s="5"/>
      <c r="G113" s="5"/>
      <c r="H113" s="5"/>
      <c r="I113" s="5"/>
      <c r="J113" s="5"/>
      <c r="K113" s="5"/>
      <c r="L113" s="5"/>
      <c r="M113" s="5"/>
      <c r="N113" s="5"/>
      <c r="O113" s="5"/>
      <c r="P113" s="5"/>
    </row>
    <row r="114" spans="1:16" x14ac:dyDescent="0.35">
      <c r="A114" s="5"/>
      <c r="B114" s="1" t="b">
        <v>1</v>
      </c>
      <c r="D114" s="5"/>
      <c r="E114" s="5"/>
      <c r="F114" s="5"/>
      <c r="G114" s="5"/>
      <c r="H114" s="5"/>
      <c r="I114" s="5"/>
      <c r="J114" s="5"/>
      <c r="K114" s="5"/>
      <c r="L114" s="5"/>
      <c r="M114" s="5"/>
      <c r="N114" s="5"/>
      <c r="O114" s="5"/>
      <c r="P114" s="5"/>
    </row>
    <row r="115" spans="1:16" x14ac:dyDescent="0.35">
      <c r="A115" s="5"/>
      <c r="D115" s="5"/>
      <c r="E115" s="5"/>
      <c r="F115" s="5"/>
      <c r="H115" s="5"/>
      <c r="I115" s="5"/>
      <c r="J115" s="5"/>
      <c r="K115" s="5"/>
      <c r="L115" s="5"/>
      <c r="M115" s="5"/>
      <c r="N115" s="5"/>
      <c r="O115" s="5"/>
      <c r="P115" s="5"/>
    </row>
    <row r="116" spans="1:16" x14ac:dyDescent="0.35">
      <c r="B116" s="78" t="s">
        <v>341</v>
      </c>
    </row>
    <row r="117" spans="1:16" x14ac:dyDescent="0.35">
      <c r="B117" s="1" t="b">
        <v>1</v>
      </c>
    </row>
  </sheetData>
  <mergeCells count="2">
    <mergeCell ref="D19:E19"/>
    <mergeCell ref="D20:F20"/>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Drop Down 1">
              <controlPr defaultSize="0" autoLine="0" autoPict="0">
                <anchor moveWithCells="1">
                  <from>
                    <xdr:col>8</xdr:col>
                    <xdr:colOff>19050</xdr:colOff>
                    <xdr:row>9</xdr:row>
                    <xdr:rowOff>19050</xdr:rowOff>
                  </from>
                  <to>
                    <xdr:col>9</xdr:col>
                    <xdr:colOff>69850</xdr:colOff>
                    <xdr:row>10</xdr:row>
                    <xdr:rowOff>57150</xdr:rowOff>
                  </to>
                </anchor>
              </controlPr>
            </control>
          </mc:Choice>
        </mc:AlternateContent>
        <mc:AlternateContent xmlns:mc="http://schemas.openxmlformats.org/markup-compatibility/2006">
          <mc:Choice Requires="x14">
            <control shapeId="23554" r:id="rId4" name="Drop Down 2">
              <controlPr defaultSize="0" autoLine="0" autoPict="0">
                <anchor moveWithCells="1">
                  <from>
                    <xdr:col>8</xdr:col>
                    <xdr:colOff>0</xdr:colOff>
                    <xdr:row>2</xdr:row>
                    <xdr:rowOff>0</xdr:rowOff>
                  </from>
                  <to>
                    <xdr:col>9</xdr:col>
                    <xdr:colOff>12700</xdr:colOff>
                    <xdr:row>3</xdr:row>
                    <xdr:rowOff>0</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5</xdr:col>
                    <xdr:colOff>31750</xdr:colOff>
                    <xdr:row>19</xdr:row>
                    <xdr:rowOff>127000</xdr:rowOff>
                  </from>
                  <to>
                    <xdr:col>5</xdr:col>
                    <xdr:colOff>228600</xdr:colOff>
                    <xdr:row>20</xdr:row>
                    <xdr:rowOff>114300</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4</xdr:col>
                    <xdr:colOff>590550</xdr:colOff>
                    <xdr:row>18</xdr:row>
                    <xdr:rowOff>12700</xdr:rowOff>
                  </from>
                  <to>
                    <xdr:col>5</xdr:col>
                    <xdr:colOff>203200</xdr:colOff>
                    <xdr:row>19</xdr:row>
                    <xdr:rowOff>19050</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8</xdr:col>
                    <xdr:colOff>0</xdr:colOff>
                    <xdr:row>2</xdr:row>
                    <xdr:rowOff>171450</xdr:rowOff>
                  </from>
                  <to>
                    <xdr:col>8</xdr:col>
                    <xdr:colOff>412750</xdr:colOff>
                    <xdr:row>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F039-B998-4CED-ABF3-65EAEE60FE9C}">
  <dimension ref="A1:P114"/>
  <sheetViews>
    <sheetView topLeftCell="A20" workbookViewId="0">
      <selection activeCell="I5" sqref="I5:I26"/>
    </sheetView>
  </sheetViews>
  <sheetFormatPr defaultColWidth="8.7265625" defaultRowHeight="14.5" x14ac:dyDescent="0.35"/>
  <cols>
    <col min="1" max="1" width="8.7265625" style="78"/>
    <col min="2" max="2" width="12.453125" style="78" customWidth="1"/>
    <col min="3" max="3" width="14.81640625" style="78" bestFit="1" customWidth="1"/>
    <col min="4" max="5" width="8.7265625" style="78"/>
    <col min="6" max="6" width="6.26953125" style="78" customWidth="1"/>
    <col min="7" max="7" width="12.7265625" style="78" customWidth="1"/>
    <col min="8" max="8" width="13.26953125" style="78" bestFit="1" customWidth="1"/>
    <col min="9" max="9" width="12.7265625" style="78" customWidth="1"/>
    <col min="10" max="10" width="15.26953125" style="78" bestFit="1" customWidth="1"/>
    <col min="11" max="11" width="8.7265625" style="78"/>
    <col min="12" max="12" width="56.1796875" style="78" customWidth="1"/>
    <col min="13" max="16384" width="8.7265625" style="78"/>
  </cols>
  <sheetData>
    <row r="1" spans="1:16" ht="15" thickBot="1" x14ac:dyDescent="0.4">
      <c r="A1" s="5" t="s">
        <v>26</v>
      </c>
      <c r="B1" s="5"/>
      <c r="C1" s="5"/>
      <c r="D1" s="5"/>
      <c r="E1" s="5"/>
      <c r="F1" s="5"/>
      <c r="G1" s="5"/>
      <c r="H1" s="5"/>
      <c r="I1" s="5"/>
      <c r="J1" s="5"/>
      <c r="K1" s="5"/>
      <c r="L1" s="5"/>
      <c r="M1" s="5"/>
      <c r="N1" s="5"/>
      <c r="O1" s="5"/>
      <c r="P1" s="5"/>
    </row>
    <row r="2" spans="1:16" x14ac:dyDescent="0.35">
      <c r="A2" s="5"/>
      <c r="B2" s="5"/>
      <c r="C2" s="5"/>
      <c r="D2" s="90" t="s">
        <v>27</v>
      </c>
      <c r="E2" s="91"/>
      <c r="F2" s="92"/>
      <c r="G2" s="93" t="s">
        <v>28</v>
      </c>
      <c r="H2" s="93" t="s">
        <v>29</v>
      </c>
      <c r="I2" s="93" t="s">
        <v>30</v>
      </c>
      <c r="J2" s="94" t="s">
        <v>31</v>
      </c>
      <c r="K2" s="95"/>
      <c r="L2" s="96"/>
      <c r="M2" s="5"/>
      <c r="N2" s="5"/>
      <c r="O2" s="5"/>
      <c r="P2" s="5"/>
    </row>
    <row r="3" spans="1:16" x14ac:dyDescent="0.35">
      <c r="A3" s="5"/>
      <c r="B3" s="5"/>
      <c r="C3" s="5"/>
      <c r="D3" s="122" t="s">
        <v>32</v>
      </c>
      <c r="E3" s="37"/>
      <c r="F3" s="36"/>
      <c r="G3" s="58"/>
      <c r="H3" s="58"/>
      <c r="I3" s="59" t="b">
        <v>0</v>
      </c>
      <c r="J3" s="38"/>
      <c r="K3" s="37"/>
      <c r="L3" s="98"/>
      <c r="M3" s="5"/>
      <c r="N3" s="5"/>
      <c r="O3" s="5"/>
      <c r="P3" s="5"/>
    </row>
    <row r="4" spans="1:16" x14ac:dyDescent="0.35">
      <c r="A4" s="5"/>
      <c r="B4" s="5"/>
      <c r="C4" s="5"/>
      <c r="D4" s="122"/>
      <c r="E4" s="37"/>
      <c r="F4" s="36"/>
      <c r="G4" s="58"/>
      <c r="H4" s="58"/>
      <c r="I4" s="58"/>
      <c r="J4" s="38"/>
      <c r="K4" s="37"/>
      <c r="L4" s="98"/>
      <c r="M4" s="5"/>
      <c r="N4" s="5"/>
      <c r="O4" s="5"/>
      <c r="P4" s="5"/>
    </row>
    <row r="5" spans="1:16" x14ac:dyDescent="0.35">
      <c r="A5" s="5"/>
      <c r="B5" s="30"/>
      <c r="C5" s="30"/>
      <c r="D5" s="122" t="s">
        <v>33</v>
      </c>
      <c r="E5" s="37"/>
      <c r="F5" s="36"/>
      <c r="G5" s="58" t="s">
        <v>34</v>
      </c>
      <c r="H5" s="58" t="s">
        <v>35</v>
      </c>
      <c r="I5" s="132">
        <v>500</v>
      </c>
      <c r="J5" s="38" t="s">
        <v>43</v>
      </c>
      <c r="K5" s="37"/>
      <c r="L5" s="98"/>
      <c r="M5" s="5"/>
      <c r="N5" s="5"/>
      <c r="O5" s="5"/>
      <c r="P5" s="5"/>
    </row>
    <row r="6" spans="1:16" x14ac:dyDescent="0.35">
      <c r="A6" s="5"/>
      <c r="B6" s="30"/>
      <c r="C6" s="30"/>
      <c r="D6" s="122" t="s">
        <v>37</v>
      </c>
      <c r="E6" s="37"/>
      <c r="F6" s="36"/>
      <c r="G6" s="58" t="s">
        <v>38</v>
      </c>
      <c r="H6" s="58"/>
      <c r="I6" s="134">
        <v>1</v>
      </c>
      <c r="J6" s="38" t="s">
        <v>39</v>
      </c>
      <c r="K6" s="37"/>
      <c r="L6" s="98"/>
      <c r="M6" s="5"/>
      <c r="N6" s="5"/>
      <c r="O6" s="5"/>
      <c r="P6" s="5"/>
    </row>
    <row r="7" spans="1:16" x14ac:dyDescent="0.35">
      <c r="A7" s="5"/>
      <c r="B7" s="30"/>
      <c r="C7" s="30"/>
      <c r="D7" s="122" t="s">
        <v>40</v>
      </c>
      <c r="E7" s="37"/>
      <c r="F7" s="36"/>
      <c r="G7" s="58" t="s">
        <v>41</v>
      </c>
      <c r="H7" s="58" t="s">
        <v>42</v>
      </c>
      <c r="I7" s="132">
        <v>9500</v>
      </c>
      <c r="J7" s="38" t="s">
        <v>43</v>
      </c>
      <c r="K7" s="37"/>
      <c r="L7" s="98"/>
      <c r="M7" s="5"/>
      <c r="N7" s="5"/>
      <c r="O7" s="5"/>
      <c r="P7" s="5"/>
    </row>
    <row r="8" spans="1:16" x14ac:dyDescent="0.35">
      <c r="A8" s="5"/>
      <c r="B8" s="30"/>
      <c r="C8" s="30"/>
      <c r="D8" s="122" t="s">
        <v>283</v>
      </c>
      <c r="E8" s="37"/>
      <c r="F8" s="36"/>
      <c r="G8" s="58" t="s">
        <v>45</v>
      </c>
      <c r="H8" s="58" t="s">
        <v>46</v>
      </c>
      <c r="I8" s="132">
        <v>0.3</v>
      </c>
      <c r="J8" s="38" t="s">
        <v>43</v>
      </c>
      <c r="K8" s="37"/>
      <c r="L8" s="98"/>
      <c r="M8" s="5"/>
      <c r="N8" s="5"/>
      <c r="O8" s="5"/>
      <c r="P8" s="5"/>
    </row>
    <row r="9" spans="1:16" x14ac:dyDescent="0.35">
      <c r="A9" s="5"/>
      <c r="B9" s="30"/>
      <c r="C9" s="30"/>
      <c r="D9" s="122" t="s">
        <v>44</v>
      </c>
      <c r="E9" s="37"/>
      <c r="F9" s="36"/>
      <c r="G9" s="58" t="s">
        <v>49</v>
      </c>
      <c r="H9" s="58" t="s">
        <v>46</v>
      </c>
      <c r="I9" s="132">
        <v>3</v>
      </c>
      <c r="J9" s="38" t="s">
        <v>43</v>
      </c>
      <c r="K9" s="37"/>
      <c r="L9" s="98"/>
      <c r="M9" s="5"/>
      <c r="N9" s="5"/>
      <c r="O9" s="5"/>
      <c r="P9" s="5"/>
    </row>
    <row r="10" spans="1:16" ht="18.75" customHeight="1" x14ac:dyDescent="0.35">
      <c r="A10" s="5"/>
      <c r="B10" s="30"/>
      <c r="C10" s="30"/>
      <c r="D10" s="122" t="s">
        <v>347</v>
      </c>
      <c r="E10" s="37"/>
      <c r="F10" s="36"/>
      <c r="G10" s="58" t="s">
        <v>51</v>
      </c>
      <c r="H10" s="58"/>
      <c r="I10" s="133">
        <v>1</v>
      </c>
      <c r="J10" s="38" t="s">
        <v>43</v>
      </c>
      <c r="K10" s="37"/>
      <c r="L10" s="98"/>
      <c r="M10" s="5"/>
      <c r="N10" s="5"/>
      <c r="O10" s="5"/>
      <c r="P10" s="5"/>
    </row>
    <row r="11" spans="1:16" x14ac:dyDescent="0.35">
      <c r="A11" s="5"/>
      <c r="B11" s="30"/>
      <c r="C11" s="30"/>
      <c r="D11" s="122" t="s">
        <v>334</v>
      </c>
      <c r="E11" s="37"/>
      <c r="F11" s="36"/>
      <c r="G11" s="58" t="s">
        <v>54</v>
      </c>
      <c r="H11" s="58"/>
      <c r="I11" s="58">
        <f>VLOOKUP(I10,A102:C103,3)</f>
        <v>1</v>
      </c>
      <c r="J11" s="38" t="s">
        <v>285</v>
      </c>
      <c r="K11" s="37"/>
      <c r="L11" s="98"/>
      <c r="M11" s="5"/>
      <c r="N11" s="5"/>
      <c r="O11" s="5"/>
      <c r="P11" s="5"/>
    </row>
    <row r="12" spans="1:16" x14ac:dyDescent="0.35">
      <c r="A12" s="5"/>
      <c r="B12" s="5"/>
      <c r="C12" s="5"/>
      <c r="D12" s="122" t="s">
        <v>53</v>
      </c>
      <c r="E12" s="37"/>
      <c r="F12" s="36"/>
      <c r="G12" s="58" t="s">
        <v>57</v>
      </c>
      <c r="H12" s="58"/>
      <c r="I12" s="58">
        <f>I7/10000</f>
        <v>0.95</v>
      </c>
      <c r="J12" s="38" t="s">
        <v>55</v>
      </c>
      <c r="K12" s="37"/>
      <c r="L12" s="98"/>
      <c r="M12" s="5"/>
      <c r="N12" s="5"/>
      <c r="O12" s="5"/>
      <c r="P12" s="5"/>
    </row>
    <row r="13" spans="1:16" x14ac:dyDescent="0.35">
      <c r="A13" s="5"/>
      <c r="B13" s="5"/>
      <c r="C13" s="5"/>
      <c r="D13" s="122" t="s">
        <v>56</v>
      </c>
      <c r="E13" s="37"/>
      <c r="F13" s="36"/>
      <c r="G13" s="58" t="s">
        <v>61</v>
      </c>
      <c r="H13" s="58" t="s">
        <v>58</v>
      </c>
      <c r="I13" s="70">
        <f>I5*I7*1000</f>
        <v>4750000000</v>
      </c>
      <c r="J13" s="38" t="s">
        <v>59</v>
      </c>
      <c r="K13" s="37"/>
      <c r="L13" s="98"/>
      <c r="M13" s="5"/>
      <c r="N13" s="5"/>
      <c r="O13" s="5"/>
      <c r="P13" s="5"/>
    </row>
    <row r="14" spans="1:16" x14ac:dyDescent="0.35">
      <c r="A14" s="5"/>
      <c r="B14" s="5"/>
      <c r="C14" s="5"/>
      <c r="D14" s="122" t="s">
        <v>60</v>
      </c>
      <c r="E14" s="37"/>
      <c r="F14" s="36"/>
      <c r="G14" s="58" t="s">
        <v>64</v>
      </c>
      <c r="H14" s="58" t="s">
        <v>62</v>
      </c>
      <c r="I14" s="132">
        <v>26</v>
      </c>
      <c r="J14" s="38" t="s">
        <v>43</v>
      </c>
      <c r="K14" s="37"/>
      <c r="L14" s="98"/>
      <c r="M14" s="5"/>
      <c r="N14" s="5"/>
      <c r="O14" s="5"/>
      <c r="P14" s="5"/>
    </row>
    <row r="15" spans="1:16" x14ac:dyDescent="0.35">
      <c r="A15" s="5"/>
      <c r="B15" s="5"/>
      <c r="C15" s="5"/>
      <c r="D15" s="122" t="s">
        <v>286</v>
      </c>
      <c r="E15" s="37"/>
      <c r="F15" s="36"/>
      <c r="G15" s="58" t="s">
        <v>67</v>
      </c>
      <c r="H15" s="58" t="s">
        <v>62</v>
      </c>
      <c r="I15" s="132">
        <v>90</v>
      </c>
      <c r="J15" s="38" t="s">
        <v>43</v>
      </c>
      <c r="K15" s="37"/>
      <c r="L15" s="98"/>
      <c r="M15" s="5"/>
      <c r="N15" s="5"/>
      <c r="O15" s="5"/>
      <c r="P15" s="5"/>
    </row>
    <row r="16" spans="1:16" x14ac:dyDescent="0.35">
      <c r="A16" s="5"/>
      <c r="B16" s="5"/>
      <c r="C16" s="5"/>
      <c r="D16" s="122" t="s">
        <v>348</v>
      </c>
      <c r="E16" s="37"/>
      <c r="F16" s="36"/>
      <c r="G16" s="58" t="s">
        <v>71</v>
      </c>
      <c r="H16" s="58"/>
      <c r="I16" s="129">
        <f>I15/80</f>
        <v>1.125</v>
      </c>
      <c r="J16" s="38" t="s">
        <v>349</v>
      </c>
      <c r="K16" s="37"/>
      <c r="L16" s="98"/>
      <c r="M16" s="5"/>
      <c r="N16" s="5"/>
      <c r="O16" s="5"/>
      <c r="P16" s="5"/>
    </row>
    <row r="17" spans="1:16" x14ac:dyDescent="0.35">
      <c r="A17" s="5"/>
      <c r="B17" s="5"/>
      <c r="C17" s="5"/>
      <c r="D17" s="122" t="s">
        <v>287</v>
      </c>
      <c r="E17" s="37"/>
      <c r="F17" s="36"/>
      <c r="G17" s="58" t="s">
        <v>74</v>
      </c>
      <c r="H17" s="58" t="s">
        <v>288</v>
      </c>
      <c r="I17" s="71">
        <f>I8*I13/10^6*I15/100</f>
        <v>1282.5</v>
      </c>
      <c r="J17" s="38" t="s">
        <v>289</v>
      </c>
      <c r="K17" s="37"/>
      <c r="L17" s="98"/>
      <c r="M17" s="5"/>
      <c r="N17" s="5"/>
      <c r="O17" s="5"/>
      <c r="P17" s="5"/>
    </row>
    <row r="18" spans="1:16" x14ac:dyDescent="0.35">
      <c r="A18" s="5"/>
      <c r="B18" s="5"/>
      <c r="C18" s="5"/>
      <c r="D18" s="122" t="s">
        <v>290</v>
      </c>
      <c r="E18" s="37"/>
      <c r="F18" s="36"/>
      <c r="G18" s="58" t="s">
        <v>77</v>
      </c>
      <c r="H18" s="58" t="s">
        <v>288</v>
      </c>
      <c r="I18" s="71">
        <f>I17*0.525*60/46*1.01/0.99</f>
        <v>895.97579051383389</v>
      </c>
      <c r="J18" s="38" t="s">
        <v>350</v>
      </c>
      <c r="K18" s="37"/>
      <c r="L18" s="98"/>
      <c r="M18" s="5"/>
      <c r="N18" s="5"/>
      <c r="O18" s="5"/>
      <c r="P18" s="5"/>
    </row>
    <row r="19" spans="1:16" x14ac:dyDescent="0.35">
      <c r="A19" s="5"/>
      <c r="B19" s="5"/>
      <c r="C19" s="5"/>
      <c r="D19" s="122" t="s">
        <v>351</v>
      </c>
      <c r="E19" s="37"/>
      <c r="F19" s="36"/>
      <c r="G19" s="58" t="s">
        <v>296</v>
      </c>
      <c r="H19" s="58" t="s">
        <v>288</v>
      </c>
      <c r="I19" s="71">
        <f>I18*1.1315</f>
        <v>1013.796606966403</v>
      </c>
      <c r="J19" s="38" t="s">
        <v>352</v>
      </c>
      <c r="K19" s="37"/>
      <c r="L19" s="98"/>
      <c r="M19" s="5"/>
      <c r="N19" s="5"/>
      <c r="O19" s="5"/>
      <c r="P19" s="5"/>
    </row>
    <row r="20" spans="1:16" ht="28.5" customHeight="1" x14ac:dyDescent="0.35">
      <c r="A20" s="5"/>
      <c r="B20" s="5"/>
      <c r="C20" s="5"/>
      <c r="D20" s="146" t="s">
        <v>73</v>
      </c>
      <c r="E20" s="147"/>
      <c r="F20" s="148"/>
      <c r="G20" s="58" t="s">
        <v>81</v>
      </c>
      <c r="H20" s="58" t="s">
        <v>62</v>
      </c>
      <c r="I20" s="72">
        <f>0.28*(I11*I12)^0.43</f>
        <v>0.27389189550479226</v>
      </c>
      <c r="J20" s="38" t="s">
        <v>353</v>
      </c>
      <c r="K20" s="37"/>
      <c r="L20" s="98"/>
      <c r="M20" s="5"/>
      <c r="N20" s="5"/>
      <c r="O20" s="5"/>
      <c r="P20" s="5"/>
    </row>
    <row r="21" spans="1:16" x14ac:dyDescent="0.35">
      <c r="A21" s="5"/>
      <c r="B21" s="5"/>
      <c r="C21" s="5"/>
      <c r="D21" s="122" t="s">
        <v>76</v>
      </c>
      <c r="E21" s="37"/>
      <c r="F21" s="36"/>
      <c r="G21" s="58" t="s">
        <v>84</v>
      </c>
      <c r="H21" s="58" t="s">
        <v>78</v>
      </c>
      <c r="I21" s="58">
        <v>0</v>
      </c>
      <c r="J21" s="38"/>
      <c r="K21" s="37"/>
      <c r="L21" s="98"/>
      <c r="M21" s="5"/>
      <c r="N21" s="5"/>
      <c r="O21" s="5"/>
      <c r="P21" s="5"/>
    </row>
    <row r="22" spans="1:16" x14ac:dyDescent="0.35">
      <c r="A22" s="5"/>
      <c r="B22" s="5"/>
      <c r="C22" s="5"/>
      <c r="D22" s="122" t="s">
        <v>300</v>
      </c>
      <c r="E22" s="37"/>
      <c r="F22" s="36"/>
      <c r="G22" s="58" t="s">
        <v>86</v>
      </c>
      <c r="H22" s="58" t="s">
        <v>82</v>
      </c>
      <c r="I22" s="132">
        <v>350</v>
      </c>
      <c r="J22" s="38" t="s">
        <v>43</v>
      </c>
      <c r="K22" s="37"/>
      <c r="L22" s="98"/>
      <c r="M22" s="5"/>
      <c r="N22" s="5"/>
      <c r="O22" s="5"/>
      <c r="P22" s="5"/>
    </row>
    <row r="23" spans="1:16" x14ac:dyDescent="0.35">
      <c r="A23" s="5"/>
      <c r="B23" s="5"/>
      <c r="C23" s="5"/>
      <c r="D23" s="122" t="s">
        <v>354</v>
      </c>
      <c r="E23" s="37"/>
      <c r="F23" s="36"/>
      <c r="G23" s="58" t="s">
        <v>89</v>
      </c>
      <c r="H23" s="58" t="s">
        <v>355</v>
      </c>
      <c r="I23" s="132">
        <v>9000</v>
      </c>
      <c r="J23" s="38" t="s">
        <v>43</v>
      </c>
      <c r="K23" s="37"/>
      <c r="L23" s="98"/>
      <c r="M23" s="5"/>
      <c r="N23" s="5"/>
      <c r="O23" s="5"/>
      <c r="P23" s="5"/>
    </row>
    <row r="24" spans="1:16" x14ac:dyDescent="0.35">
      <c r="A24" s="5"/>
      <c r="B24" s="5"/>
      <c r="C24" s="5"/>
      <c r="D24" s="122" t="s">
        <v>85</v>
      </c>
      <c r="E24" s="37"/>
      <c r="F24" s="36"/>
      <c r="G24" s="58" t="s">
        <v>92</v>
      </c>
      <c r="H24" s="58" t="s">
        <v>87</v>
      </c>
      <c r="I24" s="132">
        <v>0.06</v>
      </c>
      <c r="J24" s="38" t="s">
        <v>356</v>
      </c>
      <c r="K24" s="37"/>
      <c r="L24" s="98"/>
      <c r="M24" s="5"/>
      <c r="N24" s="5"/>
      <c r="O24" s="5"/>
      <c r="P24" s="5"/>
    </row>
    <row r="25" spans="1:16" x14ac:dyDescent="0.35">
      <c r="A25" s="5"/>
      <c r="B25" s="5"/>
      <c r="C25" s="5"/>
      <c r="D25" s="122" t="s">
        <v>357</v>
      </c>
      <c r="E25" s="37"/>
      <c r="F25" s="36"/>
      <c r="G25" s="58" t="s">
        <v>242</v>
      </c>
      <c r="H25" s="58" t="s">
        <v>302</v>
      </c>
      <c r="I25" s="132">
        <v>4</v>
      </c>
      <c r="J25" s="38" t="s">
        <v>43</v>
      </c>
      <c r="K25" s="37"/>
      <c r="L25" s="98"/>
      <c r="M25" s="5"/>
      <c r="N25" s="5"/>
      <c r="O25" s="5"/>
      <c r="P25" s="5"/>
    </row>
    <row r="26" spans="1:16" ht="15" thickBot="1" x14ac:dyDescent="0.4">
      <c r="A26" s="5"/>
      <c r="B26" s="5"/>
      <c r="C26" s="5"/>
      <c r="D26" s="124" t="s">
        <v>91</v>
      </c>
      <c r="E26" s="104"/>
      <c r="F26" s="125"/>
      <c r="G26" s="126" t="s">
        <v>232</v>
      </c>
      <c r="H26" s="126" t="s">
        <v>93</v>
      </c>
      <c r="I26" s="135">
        <v>60</v>
      </c>
      <c r="J26" s="103" t="s">
        <v>94</v>
      </c>
      <c r="K26" s="104"/>
      <c r="L26" s="105"/>
      <c r="M26" s="5"/>
      <c r="N26" s="5"/>
      <c r="O26" s="5"/>
      <c r="P26" s="5"/>
    </row>
    <row r="27" spans="1:16" x14ac:dyDescent="0.35">
      <c r="A27" s="5"/>
      <c r="B27" s="5"/>
      <c r="C27" s="5"/>
      <c r="D27" s="5"/>
      <c r="E27" s="5"/>
      <c r="F27" s="5"/>
      <c r="G27" s="5"/>
      <c r="H27" s="5"/>
      <c r="I27" s="5"/>
      <c r="J27" s="5"/>
      <c r="K27" s="5"/>
      <c r="L27" s="5"/>
      <c r="M27" s="5"/>
      <c r="N27" s="5"/>
      <c r="O27" s="5"/>
      <c r="P27" s="5"/>
    </row>
    <row r="28" spans="1:16" x14ac:dyDescent="0.35">
      <c r="A28" s="5"/>
      <c r="B28" s="5"/>
      <c r="C28" s="5"/>
      <c r="D28" s="5"/>
      <c r="E28" s="5"/>
      <c r="F28" s="5"/>
      <c r="G28" s="5"/>
      <c r="H28" s="5"/>
      <c r="I28" s="5"/>
      <c r="J28" s="5"/>
      <c r="K28" s="5"/>
      <c r="L28" s="5"/>
      <c r="M28" s="5"/>
      <c r="N28" s="5"/>
      <c r="O28" s="5"/>
      <c r="P28" s="5"/>
    </row>
    <row r="29" spans="1:16" x14ac:dyDescent="0.35">
      <c r="A29" s="5"/>
      <c r="B29" s="5"/>
      <c r="C29" s="5"/>
      <c r="D29" s="5"/>
      <c r="E29" s="5"/>
      <c r="F29" s="5"/>
      <c r="G29" s="5"/>
      <c r="H29" s="5"/>
      <c r="I29" s="5"/>
      <c r="J29" s="5"/>
      <c r="K29" s="5"/>
      <c r="L29" s="5"/>
      <c r="M29" s="5"/>
      <c r="N29" s="5"/>
      <c r="O29" s="5"/>
      <c r="P29" s="5"/>
    </row>
    <row r="30" spans="1:16" ht="23" x14ac:dyDescent="0.5">
      <c r="A30" s="5"/>
      <c r="B30" s="5"/>
      <c r="C30" s="5"/>
      <c r="D30" s="5"/>
      <c r="E30" s="5"/>
      <c r="F30" s="5"/>
      <c r="G30" s="5"/>
      <c r="H30" s="35" t="s">
        <v>243</v>
      </c>
      <c r="I30" s="5"/>
      <c r="J30" s="5"/>
      <c r="K30" s="5"/>
      <c r="L30" s="5"/>
      <c r="M30" s="5"/>
      <c r="N30" s="5"/>
      <c r="O30" s="5"/>
      <c r="P30" s="5"/>
    </row>
    <row r="31" spans="1:16" x14ac:dyDescent="0.35">
      <c r="A31" s="26" t="s">
        <v>95</v>
      </c>
      <c r="B31" s="26"/>
      <c r="C31" s="26"/>
      <c r="D31" s="26"/>
      <c r="E31" s="26"/>
      <c r="F31" s="26"/>
      <c r="G31" s="26"/>
      <c r="H31" s="26"/>
      <c r="I31" s="26"/>
      <c r="J31" s="26" t="s">
        <v>96</v>
      </c>
      <c r="K31" s="26"/>
      <c r="L31" s="26" t="s">
        <v>97</v>
      </c>
      <c r="M31" s="5"/>
      <c r="N31" s="5"/>
      <c r="O31" s="5"/>
      <c r="P31" s="5"/>
    </row>
    <row r="32" spans="1:16" x14ac:dyDescent="0.35">
      <c r="A32" s="5"/>
      <c r="B32" s="5" t="s">
        <v>98</v>
      </c>
      <c r="C32" s="5"/>
      <c r="D32" s="5"/>
      <c r="E32" s="5"/>
      <c r="F32" s="5"/>
      <c r="G32" s="5"/>
      <c r="H32" s="5"/>
      <c r="I32" s="5"/>
      <c r="J32" s="5"/>
      <c r="K32" s="5"/>
      <c r="L32" s="5"/>
      <c r="M32" s="5"/>
      <c r="N32" s="5"/>
      <c r="O32" s="5"/>
      <c r="P32" s="5"/>
    </row>
    <row r="33" spans="1:16" x14ac:dyDescent="0.35">
      <c r="A33" s="5"/>
      <c r="B33" s="5" t="s">
        <v>99</v>
      </c>
      <c r="C33" s="5" t="s">
        <v>358</v>
      </c>
      <c r="D33" s="5"/>
      <c r="E33" s="5"/>
      <c r="F33" s="5"/>
      <c r="G33" s="5"/>
      <c r="H33" s="5"/>
      <c r="I33" s="5"/>
      <c r="J33" s="30">
        <f>ROUND(129500*(I6)*(I16)^0.2*(I5*I11*I12)^0.92,-3)</f>
        <v>38464000</v>
      </c>
      <c r="K33" s="5"/>
      <c r="L33" s="5" t="s">
        <v>359</v>
      </c>
      <c r="M33" s="5"/>
      <c r="N33" s="5"/>
      <c r="O33" s="5"/>
      <c r="P33" s="5"/>
    </row>
    <row r="34" spans="1:16" x14ac:dyDescent="0.35">
      <c r="A34" s="5"/>
      <c r="B34" s="5" t="s">
        <v>102</v>
      </c>
      <c r="C34" s="5" t="s">
        <v>360</v>
      </c>
      <c r="D34" s="5"/>
      <c r="E34" s="5"/>
      <c r="F34" s="5"/>
      <c r="G34" s="5"/>
      <c r="H34" s="5"/>
      <c r="I34" s="5"/>
      <c r="J34" s="30">
        <f>ROUND(671000*(I17^0.25),-3)</f>
        <v>4015000</v>
      </c>
      <c r="K34" s="5"/>
      <c r="L34" s="5" t="s">
        <v>197</v>
      </c>
      <c r="M34" s="5"/>
      <c r="N34" s="5"/>
      <c r="O34" s="5"/>
      <c r="P34" s="5"/>
    </row>
    <row r="35" spans="1:16" x14ac:dyDescent="0.35">
      <c r="A35" s="5"/>
      <c r="B35" s="5" t="s">
        <v>105</v>
      </c>
      <c r="C35" s="5" t="s">
        <v>361</v>
      </c>
      <c r="D35" s="5"/>
      <c r="E35" s="5"/>
      <c r="F35" s="5"/>
      <c r="G35" s="5"/>
      <c r="H35" s="5"/>
      <c r="I35" s="5"/>
      <c r="J35" s="30">
        <f>ROUND(315000*(I6)*(I5*I11*I12)^0.42,-3)</f>
        <v>4193000</v>
      </c>
      <c r="K35" s="5"/>
      <c r="L35" s="5" t="s">
        <v>362</v>
      </c>
      <c r="M35" s="5"/>
      <c r="N35" s="5"/>
      <c r="O35" s="5"/>
      <c r="P35" s="5"/>
    </row>
    <row r="36" spans="1:16" x14ac:dyDescent="0.35">
      <c r="A36" s="5"/>
      <c r="B36" s="5" t="s">
        <v>108</v>
      </c>
      <c r="C36" s="5" t="s">
        <v>363</v>
      </c>
      <c r="D36" s="5"/>
      <c r="E36" s="5"/>
      <c r="F36" s="5"/>
      <c r="G36" s="5"/>
      <c r="H36" s="5"/>
      <c r="I36" s="5"/>
      <c r="J36" s="33">
        <f>SUM(J33:J35)</f>
        <v>46672000</v>
      </c>
      <c r="K36" s="5"/>
      <c r="L36" s="5" t="s">
        <v>110</v>
      </c>
      <c r="M36" s="5"/>
      <c r="N36" s="5"/>
      <c r="O36" s="5"/>
      <c r="P36" s="5"/>
    </row>
    <row r="37" spans="1:16" x14ac:dyDescent="0.35">
      <c r="A37" s="5"/>
      <c r="B37" s="5" t="s">
        <v>111</v>
      </c>
      <c r="C37" s="5"/>
      <c r="D37" s="5"/>
      <c r="E37" s="5"/>
      <c r="F37" s="5"/>
      <c r="G37" s="5"/>
      <c r="H37" s="5"/>
      <c r="I37" s="5"/>
      <c r="J37" s="31">
        <f>J36/(I5*1000)</f>
        <v>93.343999999999994</v>
      </c>
      <c r="K37" s="5"/>
      <c r="L37" s="5" t="s">
        <v>112</v>
      </c>
      <c r="M37" s="5"/>
      <c r="N37" s="5"/>
      <c r="O37" s="5"/>
      <c r="P37" s="5"/>
    </row>
    <row r="38" spans="1:16" x14ac:dyDescent="0.35">
      <c r="A38" s="5"/>
      <c r="B38" s="5"/>
      <c r="C38" s="5"/>
      <c r="D38" s="5"/>
      <c r="E38" s="5"/>
      <c r="F38" s="5"/>
      <c r="G38" s="5"/>
      <c r="H38" s="5"/>
      <c r="I38" s="5"/>
      <c r="J38" s="5"/>
      <c r="K38" s="5"/>
      <c r="L38" s="5"/>
      <c r="M38" s="5"/>
      <c r="N38" s="5"/>
      <c r="O38" s="5"/>
      <c r="P38" s="5"/>
    </row>
    <row r="39" spans="1:16" x14ac:dyDescent="0.35">
      <c r="A39" s="26" t="s">
        <v>113</v>
      </c>
      <c r="B39" s="5"/>
      <c r="C39" s="5"/>
      <c r="D39" s="5"/>
      <c r="E39" s="5"/>
      <c r="F39" s="5"/>
      <c r="G39" s="5"/>
      <c r="H39" s="5"/>
      <c r="I39" s="5"/>
      <c r="J39" s="5"/>
      <c r="K39" s="5"/>
      <c r="L39" s="5"/>
      <c r="M39" s="5"/>
      <c r="N39" s="5"/>
      <c r="O39" s="5"/>
      <c r="P39" s="5"/>
    </row>
    <row r="40" spans="1:16" x14ac:dyDescent="0.35">
      <c r="A40" s="5"/>
      <c r="B40" s="5" t="s">
        <v>114</v>
      </c>
      <c r="C40" s="5"/>
      <c r="D40" s="5"/>
      <c r="E40" s="5"/>
      <c r="F40" s="5"/>
      <c r="G40" s="5"/>
      <c r="H40" s="5"/>
      <c r="I40" s="5"/>
      <c r="J40" s="30">
        <f>ROUND($J$36*0.1,-3)</f>
        <v>4667000</v>
      </c>
      <c r="K40" s="5"/>
      <c r="L40" s="5" t="s">
        <v>115</v>
      </c>
      <c r="M40" s="5"/>
      <c r="N40" s="5"/>
      <c r="O40" s="5"/>
      <c r="P40" s="5"/>
    </row>
    <row r="41" spans="1:16" x14ac:dyDescent="0.35">
      <c r="A41" s="5"/>
      <c r="B41" s="5" t="s">
        <v>116</v>
      </c>
      <c r="C41" s="5"/>
      <c r="D41" s="5"/>
      <c r="E41" s="5"/>
      <c r="F41" s="5"/>
      <c r="G41" s="5"/>
      <c r="H41" s="5"/>
      <c r="I41" s="5"/>
      <c r="J41" s="30">
        <f t="shared" ref="J41:J42" si="0">ROUND($J$36*0.1,-3)</f>
        <v>4667000</v>
      </c>
      <c r="K41" s="5"/>
      <c r="L41" s="5" t="s">
        <v>117</v>
      </c>
      <c r="M41" s="5"/>
      <c r="N41" s="5"/>
      <c r="O41" s="5"/>
      <c r="P41" s="5"/>
    </row>
    <row r="42" spans="1:16" x14ac:dyDescent="0.35">
      <c r="A42" s="5"/>
      <c r="B42" s="5" t="s">
        <v>118</v>
      </c>
      <c r="C42" s="5"/>
      <c r="D42" s="5"/>
      <c r="E42" s="5"/>
      <c r="F42" s="5"/>
      <c r="G42" s="5"/>
      <c r="H42" s="5"/>
      <c r="I42" s="5"/>
      <c r="J42" s="30">
        <f t="shared" si="0"/>
        <v>4667000</v>
      </c>
      <c r="K42" s="5"/>
      <c r="L42" s="5" t="s">
        <v>119</v>
      </c>
      <c r="M42" s="5"/>
      <c r="N42" s="5"/>
      <c r="O42" s="5"/>
      <c r="P42" s="5"/>
    </row>
    <row r="43" spans="1:16" x14ac:dyDescent="0.35">
      <c r="A43" s="5"/>
      <c r="B43" s="5"/>
      <c r="C43" s="5"/>
      <c r="D43" s="5"/>
      <c r="E43" s="5"/>
      <c r="F43" s="5"/>
      <c r="G43" s="5"/>
      <c r="H43" s="5"/>
      <c r="I43" s="5"/>
      <c r="J43" s="5"/>
      <c r="K43" s="5"/>
      <c r="L43" s="5"/>
      <c r="M43" s="5"/>
      <c r="N43" s="5"/>
      <c r="O43" s="5"/>
      <c r="P43" s="5"/>
    </row>
    <row r="44" spans="1:16" x14ac:dyDescent="0.35">
      <c r="A44" s="5"/>
      <c r="B44" s="26" t="s">
        <v>120</v>
      </c>
      <c r="C44" s="26"/>
      <c r="D44" s="26"/>
      <c r="E44" s="26"/>
      <c r="F44" s="26"/>
      <c r="G44" s="26"/>
      <c r="H44" s="26"/>
      <c r="I44" s="26"/>
      <c r="J44" s="29">
        <f>SUM(J36+J40+J41+J42)</f>
        <v>60673000</v>
      </c>
      <c r="K44" s="5"/>
      <c r="L44" s="5" t="s">
        <v>121</v>
      </c>
      <c r="M44" s="5"/>
      <c r="N44" s="5"/>
      <c r="O44" s="5"/>
      <c r="P44" s="5"/>
    </row>
    <row r="45" spans="1:16" x14ac:dyDescent="0.35">
      <c r="A45" s="5"/>
      <c r="B45" s="26" t="s">
        <v>122</v>
      </c>
      <c r="C45" s="26"/>
      <c r="D45" s="26"/>
      <c r="E45" s="26"/>
      <c r="F45" s="26"/>
      <c r="G45" s="26"/>
      <c r="H45" s="26"/>
      <c r="I45" s="26"/>
      <c r="J45" s="28">
        <f>J44/(I5*1000)</f>
        <v>121.346</v>
      </c>
      <c r="K45" s="5"/>
      <c r="L45" s="5" t="s">
        <v>123</v>
      </c>
      <c r="M45" s="5"/>
      <c r="N45" s="5"/>
      <c r="O45" s="5"/>
      <c r="P45" s="5"/>
    </row>
    <row r="46" spans="1:16" x14ac:dyDescent="0.35">
      <c r="A46" s="5"/>
      <c r="B46" s="5"/>
      <c r="C46" s="5"/>
      <c r="D46" s="5"/>
      <c r="E46" s="5"/>
      <c r="F46" s="5"/>
      <c r="G46" s="5"/>
      <c r="H46" s="5"/>
      <c r="I46" s="5"/>
      <c r="J46" s="5"/>
      <c r="K46" s="5"/>
      <c r="L46" s="5"/>
      <c r="M46" s="5"/>
      <c r="N46" s="5"/>
      <c r="O46" s="5"/>
      <c r="P46" s="5"/>
    </row>
    <row r="47" spans="1:16" x14ac:dyDescent="0.35">
      <c r="A47" s="5"/>
      <c r="B47" s="5" t="s">
        <v>207</v>
      </c>
      <c r="C47" s="5"/>
      <c r="D47" s="5"/>
      <c r="E47" s="5"/>
      <c r="F47" s="5"/>
      <c r="G47" s="5"/>
      <c r="H47" s="5"/>
      <c r="I47" s="5"/>
      <c r="J47" s="30">
        <f>ROUND($J$44*0.05,-3)</f>
        <v>3034000</v>
      </c>
      <c r="K47" s="5"/>
      <c r="L47" s="5" t="s">
        <v>125</v>
      </c>
      <c r="M47" s="5"/>
      <c r="N47" s="5"/>
      <c r="O47" s="5"/>
      <c r="P47" s="5"/>
    </row>
    <row r="48" spans="1:16" x14ac:dyDescent="0.35">
      <c r="A48" s="5"/>
      <c r="B48" s="26" t="s">
        <v>126</v>
      </c>
      <c r="C48" s="26"/>
      <c r="D48" s="26"/>
      <c r="E48" s="26"/>
      <c r="F48" s="26"/>
      <c r="G48" s="26"/>
      <c r="H48" s="26"/>
      <c r="I48" s="26"/>
      <c r="J48" s="29">
        <f>J47+J44</f>
        <v>63707000</v>
      </c>
      <c r="K48" s="5"/>
      <c r="L48" s="5" t="s">
        <v>127</v>
      </c>
      <c r="M48" s="5"/>
      <c r="N48" s="5"/>
      <c r="O48" s="5"/>
      <c r="P48" s="5"/>
    </row>
    <row r="49" spans="1:16" x14ac:dyDescent="0.35">
      <c r="A49" s="5"/>
      <c r="B49" s="26" t="s">
        <v>128</v>
      </c>
      <c r="C49" s="26"/>
      <c r="D49" s="26"/>
      <c r="E49" s="26"/>
      <c r="F49" s="26"/>
      <c r="G49" s="26"/>
      <c r="H49" s="26"/>
      <c r="I49" s="26"/>
      <c r="J49" s="28">
        <f>J48/(I5*1000)</f>
        <v>127.414</v>
      </c>
      <c r="K49" s="5"/>
      <c r="L49" s="5" t="s">
        <v>129</v>
      </c>
      <c r="M49" s="5"/>
      <c r="N49" s="5"/>
      <c r="O49" s="5"/>
      <c r="P49" s="5"/>
    </row>
    <row r="50" spans="1:16" x14ac:dyDescent="0.35">
      <c r="A50" s="5"/>
      <c r="B50" s="5"/>
      <c r="C50" s="5"/>
      <c r="D50" s="5"/>
      <c r="E50" s="5"/>
      <c r="F50" s="5"/>
      <c r="G50" s="5"/>
      <c r="H50" s="5"/>
      <c r="I50" s="5"/>
      <c r="J50" s="5"/>
      <c r="K50" s="5"/>
      <c r="L50" s="5"/>
      <c r="M50" s="5"/>
      <c r="N50" s="5"/>
      <c r="O50" s="5"/>
      <c r="P50" s="5"/>
    </row>
    <row r="51" spans="1:16" x14ac:dyDescent="0.35">
      <c r="A51" s="5"/>
      <c r="B51" s="5" t="s">
        <v>364</v>
      </c>
      <c r="C51" s="5"/>
      <c r="D51" s="5"/>
      <c r="E51" s="5"/>
      <c r="F51" s="5"/>
      <c r="G51" s="5"/>
      <c r="H51" s="5"/>
      <c r="I51" s="5"/>
      <c r="J51" s="30">
        <f>ROUND($J$48*0.06,-3)</f>
        <v>3822000</v>
      </c>
      <c r="K51" s="5"/>
      <c r="L51" s="5" t="s">
        <v>365</v>
      </c>
      <c r="M51" s="5"/>
      <c r="N51" s="5"/>
      <c r="O51" s="5"/>
      <c r="P51" s="5"/>
    </row>
    <row r="52" spans="1:16" x14ac:dyDescent="0.35">
      <c r="A52" s="5"/>
      <c r="B52" s="5" t="s">
        <v>132</v>
      </c>
      <c r="C52" s="5"/>
      <c r="D52" s="5"/>
      <c r="E52" s="5"/>
      <c r="F52" s="5"/>
      <c r="G52" s="5"/>
      <c r="H52" s="5"/>
      <c r="I52" s="5"/>
      <c r="J52" s="30">
        <f>ROUND((J44+J47)*IF(I3,0.15,0),-3)</f>
        <v>0</v>
      </c>
      <c r="K52" s="5"/>
      <c r="L52" s="5" t="s">
        <v>133</v>
      </c>
      <c r="M52" s="5"/>
      <c r="N52" s="5"/>
      <c r="O52" s="5"/>
      <c r="P52" s="5"/>
    </row>
    <row r="53" spans="1:16" x14ac:dyDescent="0.35">
      <c r="A53" s="5"/>
      <c r="B53" s="5"/>
      <c r="C53" s="5"/>
      <c r="D53" s="5"/>
      <c r="E53" s="5"/>
      <c r="F53" s="5"/>
      <c r="G53" s="5"/>
      <c r="H53" s="5"/>
      <c r="I53" s="5"/>
      <c r="J53" s="5"/>
      <c r="K53" s="5"/>
      <c r="L53" s="5"/>
      <c r="M53" s="5"/>
      <c r="N53" s="5"/>
      <c r="O53" s="5"/>
      <c r="P53" s="5"/>
    </row>
    <row r="54" spans="1:16" x14ac:dyDescent="0.35">
      <c r="A54" s="5"/>
      <c r="B54" s="5"/>
      <c r="C54" s="5"/>
      <c r="D54" s="5"/>
      <c r="E54" s="5"/>
      <c r="F54" s="5"/>
      <c r="G54" s="5"/>
      <c r="H54" s="5"/>
      <c r="I54" s="5"/>
      <c r="J54" s="5"/>
      <c r="K54" s="5"/>
      <c r="L54" s="5"/>
      <c r="M54" s="5"/>
      <c r="N54" s="5"/>
      <c r="O54" s="5"/>
      <c r="P54" s="5"/>
    </row>
    <row r="55" spans="1:16" x14ac:dyDescent="0.35">
      <c r="A55" s="5"/>
      <c r="B55" s="26" t="s">
        <v>312</v>
      </c>
      <c r="C55" s="26"/>
      <c r="D55" s="26"/>
      <c r="E55" s="26"/>
      <c r="F55" s="26"/>
      <c r="G55" s="26"/>
      <c r="H55" s="26"/>
      <c r="I55" s="26"/>
      <c r="J55" s="29">
        <f>J44+J47+J51+J52</f>
        <v>67529000</v>
      </c>
      <c r="K55" s="5"/>
      <c r="L55" s="5" t="s">
        <v>135</v>
      </c>
      <c r="M55" s="5"/>
      <c r="N55" s="5"/>
      <c r="O55" s="5"/>
      <c r="P55" s="5"/>
    </row>
    <row r="56" spans="1:16" x14ac:dyDescent="0.35">
      <c r="A56" s="5"/>
      <c r="B56" s="26" t="s">
        <v>313</v>
      </c>
      <c r="C56" s="26"/>
      <c r="D56" s="26"/>
      <c r="E56" s="26"/>
      <c r="F56" s="26"/>
      <c r="G56" s="26"/>
      <c r="H56" s="26"/>
      <c r="I56" s="26"/>
      <c r="J56" s="28">
        <f>J55/(I5*1000)</f>
        <v>135.05799999999999</v>
      </c>
      <c r="K56" s="5"/>
      <c r="L56" s="5" t="s">
        <v>137</v>
      </c>
      <c r="M56" s="5"/>
      <c r="N56" s="5"/>
      <c r="O56" s="5"/>
      <c r="P56" s="5"/>
    </row>
    <row r="57" spans="1:16" x14ac:dyDescent="0.35">
      <c r="A57" s="5"/>
      <c r="B57" s="5"/>
      <c r="C57" s="5"/>
      <c r="D57" s="5"/>
      <c r="E57" s="5"/>
      <c r="F57" s="5"/>
      <c r="G57" s="5"/>
      <c r="H57" s="5"/>
      <c r="I57" s="5"/>
      <c r="J57" s="5"/>
      <c r="K57" s="5"/>
      <c r="L57" s="5"/>
      <c r="M57" s="5"/>
      <c r="N57" s="5"/>
      <c r="O57" s="5"/>
      <c r="P57" s="5"/>
    </row>
    <row r="58" spans="1:16" x14ac:dyDescent="0.35">
      <c r="A58" s="5" t="s">
        <v>138</v>
      </c>
      <c r="B58" s="5"/>
      <c r="C58" s="5"/>
      <c r="D58" s="5"/>
      <c r="E58" s="5"/>
      <c r="F58" s="5"/>
      <c r="G58" s="5"/>
      <c r="H58" s="5"/>
      <c r="I58" s="5"/>
      <c r="J58" s="5"/>
      <c r="K58" s="5"/>
      <c r="L58" s="5"/>
      <c r="M58" s="5"/>
      <c r="N58" s="5"/>
      <c r="O58" s="5"/>
      <c r="P58" s="5"/>
    </row>
    <row r="59" spans="1:16" x14ac:dyDescent="0.35">
      <c r="A59" s="5"/>
      <c r="B59" s="5" t="s">
        <v>366</v>
      </c>
      <c r="C59" s="5"/>
      <c r="D59" s="5"/>
      <c r="E59" s="5"/>
      <c r="F59" s="5"/>
      <c r="G59" s="5"/>
      <c r="H59" s="5"/>
      <c r="I59" s="5"/>
      <c r="J59" s="27">
        <f>ROUND(0.5*2080*I26/(I5*1000),3)</f>
        <v>0.125</v>
      </c>
      <c r="K59" s="5"/>
      <c r="L59" s="5" t="s">
        <v>140</v>
      </c>
      <c r="M59" s="5"/>
      <c r="N59" s="5"/>
      <c r="O59" s="5"/>
      <c r="P59" s="5"/>
    </row>
    <row r="60" spans="1:16" x14ac:dyDescent="0.35">
      <c r="A60" s="5"/>
      <c r="B60" s="5" t="s">
        <v>367</v>
      </c>
      <c r="C60" s="5"/>
      <c r="D60" s="5"/>
      <c r="E60" s="5"/>
      <c r="F60" s="5"/>
      <c r="G60" s="5"/>
      <c r="H60" s="5"/>
      <c r="I60" s="5"/>
      <c r="J60" s="27">
        <f>ROUND(IF(I5&lt;300,J36*0.005,J36*0.003)/(I6*I5*1000),2)</f>
        <v>0.28000000000000003</v>
      </c>
      <c r="K60" s="5"/>
      <c r="L60" s="5" t="s">
        <v>142</v>
      </c>
      <c r="M60" s="5"/>
      <c r="N60" s="5"/>
      <c r="O60" s="5"/>
      <c r="P60" s="5"/>
    </row>
    <row r="61" spans="1:16" x14ac:dyDescent="0.35">
      <c r="A61" s="5"/>
      <c r="B61" s="5" t="s">
        <v>143</v>
      </c>
      <c r="C61" s="5"/>
      <c r="D61" s="5"/>
      <c r="E61" s="5"/>
      <c r="F61" s="5"/>
      <c r="G61" s="5"/>
      <c r="H61" s="5"/>
      <c r="I61" s="5"/>
      <c r="J61" s="27">
        <f>ROUND(0.03*(J59+0.4*J60),4)</f>
        <v>7.1000000000000004E-3</v>
      </c>
      <c r="K61" s="5"/>
      <c r="L61" s="5" t="s">
        <v>144</v>
      </c>
      <c r="M61" s="5"/>
      <c r="N61" s="5"/>
      <c r="O61" s="5"/>
      <c r="P61" s="5"/>
    </row>
    <row r="62" spans="1:16" x14ac:dyDescent="0.35">
      <c r="A62" s="5"/>
      <c r="B62" s="5"/>
      <c r="C62" s="5"/>
      <c r="D62" s="5"/>
      <c r="E62" s="5"/>
      <c r="F62" s="5"/>
      <c r="G62" s="5"/>
      <c r="H62" s="5"/>
      <c r="I62" s="5"/>
      <c r="J62" s="5"/>
      <c r="K62" s="5"/>
      <c r="L62" s="5"/>
      <c r="M62" s="5"/>
      <c r="N62" s="5"/>
      <c r="O62" s="5"/>
      <c r="P62" s="5"/>
    </row>
    <row r="63" spans="1:16" x14ac:dyDescent="0.35">
      <c r="A63" s="5"/>
      <c r="B63" s="5"/>
      <c r="C63" s="5"/>
      <c r="D63" s="5"/>
      <c r="E63" s="5"/>
      <c r="F63" s="5"/>
      <c r="G63" s="5"/>
      <c r="H63" s="5"/>
      <c r="I63" s="5"/>
      <c r="J63" s="5"/>
      <c r="K63" s="5"/>
      <c r="L63" s="5"/>
      <c r="M63" s="5"/>
      <c r="N63" s="5"/>
      <c r="O63" s="5"/>
      <c r="P63" s="5"/>
    </row>
    <row r="64" spans="1:16" x14ac:dyDescent="0.35">
      <c r="A64" s="5"/>
      <c r="B64" s="26" t="s">
        <v>145</v>
      </c>
      <c r="C64" s="26"/>
      <c r="D64" s="26"/>
      <c r="E64" s="26"/>
      <c r="F64" s="26"/>
      <c r="G64" s="26"/>
      <c r="H64" s="26"/>
      <c r="I64" s="26"/>
      <c r="J64" s="25">
        <f>SUM(J59+J60+J61)</f>
        <v>0.41210000000000002</v>
      </c>
      <c r="K64" s="5"/>
      <c r="L64" s="5" t="s">
        <v>146</v>
      </c>
      <c r="M64" s="5"/>
      <c r="N64" s="5"/>
      <c r="O64" s="5"/>
      <c r="P64" s="5"/>
    </row>
    <row r="65" spans="1:16" x14ac:dyDescent="0.35">
      <c r="A65" s="5"/>
      <c r="B65" s="5"/>
      <c r="C65" s="5"/>
      <c r="D65" s="5"/>
      <c r="E65" s="5"/>
      <c r="F65" s="5"/>
      <c r="G65" s="5"/>
      <c r="H65" s="5"/>
      <c r="I65" s="5"/>
      <c r="J65" s="5"/>
      <c r="K65" s="5"/>
      <c r="L65" s="5"/>
      <c r="M65" s="5"/>
      <c r="N65" s="5"/>
      <c r="O65" s="5"/>
      <c r="P65" s="5"/>
    </row>
    <row r="66" spans="1:16" x14ac:dyDescent="0.35">
      <c r="A66" s="5" t="s">
        <v>147</v>
      </c>
      <c r="B66" s="5"/>
      <c r="C66" s="5"/>
      <c r="D66" s="5"/>
      <c r="E66" s="5"/>
      <c r="F66" s="5"/>
      <c r="G66" s="5"/>
      <c r="H66" s="5"/>
      <c r="I66" s="5"/>
      <c r="J66" s="5"/>
      <c r="K66" s="5"/>
      <c r="L66" s="5"/>
      <c r="M66" s="5"/>
      <c r="N66" s="5"/>
      <c r="O66" s="5"/>
      <c r="P66" s="5"/>
    </row>
    <row r="67" spans="1:16" x14ac:dyDescent="0.35">
      <c r="A67" s="5"/>
      <c r="B67" s="5" t="s">
        <v>368</v>
      </c>
      <c r="C67" s="5"/>
      <c r="D67" s="5"/>
      <c r="E67" s="5"/>
      <c r="F67" s="5"/>
      <c r="G67" s="5"/>
      <c r="H67" s="5"/>
      <c r="I67" s="5"/>
      <c r="J67" s="27">
        <f>ROUND(I18*I22/(I5*1000),2)</f>
        <v>0.63</v>
      </c>
      <c r="K67" s="5"/>
      <c r="L67" s="5" t="s">
        <v>317</v>
      </c>
      <c r="M67" s="5"/>
      <c r="N67" s="5"/>
      <c r="O67" s="5"/>
      <c r="P67" s="5"/>
    </row>
    <row r="68" spans="1:16" x14ac:dyDescent="0.35">
      <c r="A68" s="5"/>
      <c r="B68" s="5" t="s">
        <v>369</v>
      </c>
      <c r="C68" s="5"/>
      <c r="D68" s="5"/>
      <c r="E68" s="5"/>
      <c r="F68" s="5"/>
      <c r="G68" s="5"/>
      <c r="H68" s="5"/>
      <c r="I68" s="5"/>
      <c r="J68" s="27">
        <f xml:space="preserve"> (0.065*(I11^2.9)*(I16^0.71)*I23)/(8760)</f>
        <v>7.260558865591045E-2</v>
      </c>
      <c r="K68" s="5"/>
      <c r="L68" s="5" t="s">
        <v>370</v>
      </c>
      <c r="M68" s="5"/>
      <c r="N68" s="5"/>
      <c r="O68" s="5"/>
      <c r="P68" s="5"/>
    </row>
    <row r="69" spans="1:16" x14ac:dyDescent="0.35">
      <c r="A69" s="5"/>
      <c r="B69" s="5" t="s">
        <v>371</v>
      </c>
      <c r="C69" s="5"/>
      <c r="D69" s="5"/>
      <c r="E69" s="5"/>
      <c r="F69" s="5"/>
      <c r="G69" s="5"/>
      <c r="H69" s="5"/>
      <c r="I69" s="5"/>
      <c r="J69" s="27">
        <f>IF(B111,I20*I24*10,0)</f>
        <v>0.16433513730287536</v>
      </c>
      <c r="K69" s="5"/>
      <c r="L69" s="5" t="s">
        <v>372</v>
      </c>
      <c r="M69" s="5"/>
      <c r="N69" s="5"/>
      <c r="O69" s="5"/>
      <c r="P69" s="5"/>
    </row>
    <row r="70" spans="1:16" x14ac:dyDescent="0.35">
      <c r="A70" s="5"/>
      <c r="B70" s="5" t="s">
        <v>373</v>
      </c>
      <c r="C70" s="5"/>
      <c r="D70" s="5"/>
      <c r="E70" s="5"/>
      <c r="F70" s="5"/>
      <c r="G70" s="5"/>
      <c r="H70" s="5"/>
      <c r="I70" s="5"/>
      <c r="J70" s="27">
        <f>ROUND(I19/1000*I25/I5,3)</f>
        <v>8.0000000000000002E-3</v>
      </c>
      <c r="K70" s="5"/>
      <c r="L70" s="5" t="s">
        <v>374</v>
      </c>
      <c r="M70" s="5"/>
      <c r="N70" s="5"/>
      <c r="O70" s="5"/>
      <c r="P70" s="5"/>
    </row>
    <row r="71" spans="1:16" x14ac:dyDescent="0.35">
      <c r="A71" s="5"/>
      <c r="B71" s="5"/>
      <c r="C71" s="5"/>
      <c r="D71" s="5"/>
      <c r="E71" s="5"/>
      <c r="F71" s="5"/>
      <c r="G71" s="5"/>
      <c r="H71" s="5"/>
      <c r="I71" s="5"/>
      <c r="J71" s="5"/>
      <c r="K71" s="5"/>
      <c r="L71" s="5"/>
      <c r="M71" s="5"/>
      <c r="N71" s="5"/>
      <c r="O71" s="5"/>
      <c r="P71" s="5"/>
    </row>
    <row r="72" spans="1:16" x14ac:dyDescent="0.35">
      <c r="A72" s="5"/>
      <c r="B72" s="5"/>
      <c r="C72" s="5"/>
      <c r="D72" s="5"/>
      <c r="E72" s="5"/>
      <c r="F72" s="5"/>
      <c r="G72" s="5"/>
      <c r="H72" s="5"/>
      <c r="I72" s="5"/>
      <c r="J72" s="5"/>
      <c r="K72" s="5"/>
      <c r="L72" s="5"/>
      <c r="M72" s="5"/>
      <c r="N72" s="5"/>
      <c r="O72" s="5"/>
      <c r="P72" s="5"/>
    </row>
    <row r="73" spans="1:16" x14ac:dyDescent="0.35">
      <c r="A73" s="5"/>
      <c r="B73" s="26" t="s">
        <v>156</v>
      </c>
      <c r="C73" s="26"/>
      <c r="D73" s="26"/>
      <c r="E73" s="26"/>
      <c r="F73" s="26"/>
      <c r="G73" s="26"/>
      <c r="H73" s="26"/>
      <c r="I73" s="26"/>
      <c r="J73" s="25">
        <f>SUM(J67+J68+J69+J70)</f>
        <v>0.8749407259587858</v>
      </c>
      <c r="K73" s="5"/>
      <c r="L73" s="5" t="s">
        <v>157</v>
      </c>
      <c r="M73" s="5"/>
      <c r="N73" s="5"/>
      <c r="O73" s="5"/>
      <c r="P73" s="5"/>
    </row>
    <row r="74" spans="1:16" x14ac:dyDescent="0.35">
      <c r="A74" s="5"/>
      <c r="B74" s="5"/>
      <c r="C74" s="5"/>
      <c r="D74" s="5"/>
      <c r="E74" s="5"/>
      <c r="F74" s="5"/>
      <c r="G74" s="5"/>
      <c r="H74" s="5"/>
      <c r="I74" s="5"/>
      <c r="J74" s="5"/>
      <c r="K74" s="5"/>
      <c r="L74" s="5"/>
      <c r="M74" s="5"/>
      <c r="N74" s="5"/>
      <c r="O74" s="5"/>
      <c r="P74" s="5"/>
    </row>
    <row r="75" spans="1:16" x14ac:dyDescent="0.35">
      <c r="A75" s="5"/>
      <c r="B75" s="5"/>
      <c r="C75" s="5"/>
      <c r="D75" s="5"/>
      <c r="E75" s="5"/>
      <c r="F75" s="5"/>
      <c r="G75" s="10" t="s">
        <v>158</v>
      </c>
      <c r="H75" s="24">
        <f>I14/100</f>
        <v>0.26</v>
      </c>
      <c r="I75" s="5"/>
      <c r="J75" s="5"/>
      <c r="K75" s="5"/>
      <c r="L75" s="5"/>
      <c r="M75" s="5"/>
      <c r="N75" s="5"/>
      <c r="O75" s="5"/>
      <c r="P75" s="5"/>
    </row>
    <row r="76" spans="1:16" x14ac:dyDescent="0.35">
      <c r="A76" s="5"/>
      <c r="B76" s="5"/>
      <c r="C76" s="5"/>
      <c r="D76" s="5"/>
      <c r="E76" s="5"/>
      <c r="F76" s="5"/>
      <c r="G76" s="10" t="s">
        <v>159</v>
      </c>
      <c r="H76" s="9">
        <f>H75*I5*8760</f>
        <v>1138800</v>
      </c>
      <c r="I76" s="5"/>
      <c r="J76" s="5"/>
      <c r="K76" s="5"/>
      <c r="L76" s="5"/>
      <c r="M76" s="5"/>
      <c r="N76" s="5"/>
      <c r="O76" s="5"/>
      <c r="P76" s="5"/>
    </row>
    <row r="77" spans="1:16" x14ac:dyDescent="0.35">
      <c r="A77" s="5"/>
      <c r="B77" s="5"/>
      <c r="C77" s="5"/>
      <c r="D77" s="5"/>
      <c r="E77" s="5"/>
      <c r="F77" s="5"/>
      <c r="G77" s="10" t="s">
        <v>160</v>
      </c>
      <c r="H77" s="22">
        <f>H76*1000*I7/1000000</f>
        <v>10818600</v>
      </c>
      <c r="I77" s="5"/>
      <c r="J77" s="5"/>
      <c r="K77" s="5"/>
      <c r="L77" s="5"/>
      <c r="M77" s="5"/>
      <c r="N77" s="5"/>
      <c r="O77" s="5"/>
      <c r="P77" s="5"/>
    </row>
    <row r="78" spans="1:16" x14ac:dyDescent="0.35">
      <c r="A78" s="5"/>
      <c r="B78" s="5"/>
      <c r="C78" s="5"/>
      <c r="D78" s="5"/>
      <c r="E78" s="5"/>
      <c r="F78" s="5"/>
      <c r="G78" s="10" t="s">
        <v>324</v>
      </c>
      <c r="H78" s="22">
        <f>I8*H77/2000</f>
        <v>1622.79</v>
      </c>
      <c r="I78" s="5" t="s">
        <v>326</v>
      </c>
      <c r="J78" s="5"/>
      <c r="K78" s="5"/>
      <c r="L78" s="5"/>
      <c r="M78" s="5"/>
      <c r="N78" s="5"/>
      <c r="O78" s="5"/>
      <c r="P78" s="5"/>
    </row>
    <row r="79" spans="1:16" x14ac:dyDescent="0.35">
      <c r="A79" s="5"/>
      <c r="B79" s="5"/>
      <c r="C79" s="5"/>
      <c r="D79" s="5"/>
      <c r="E79" s="5"/>
      <c r="F79" s="5"/>
      <c r="G79" s="10" t="s">
        <v>325</v>
      </c>
      <c r="H79" s="22">
        <f>I15*H78/100</f>
        <v>1460.511</v>
      </c>
      <c r="I79" s="5" t="str">
        <f>"at removal efficiency = "&amp;I15&amp;"%"</f>
        <v>at removal efficiency = 90%</v>
      </c>
      <c r="J79" s="5"/>
      <c r="K79" s="5"/>
      <c r="L79" s="5"/>
      <c r="M79" s="5"/>
      <c r="N79" s="5"/>
      <c r="O79" s="5"/>
      <c r="P79" s="5"/>
    </row>
    <row r="80" spans="1:16" x14ac:dyDescent="0.35">
      <c r="A80" s="5"/>
      <c r="B80" s="5"/>
      <c r="C80" s="5"/>
      <c r="D80" s="5"/>
      <c r="E80" s="5"/>
      <c r="F80" s="5"/>
      <c r="G80" s="10" t="s">
        <v>327</v>
      </c>
      <c r="H80" s="22">
        <f>H78-H79</f>
        <v>162.279</v>
      </c>
      <c r="I80" s="5"/>
      <c r="J80" s="5"/>
      <c r="K80" s="5"/>
      <c r="L80" s="5"/>
      <c r="M80" s="5"/>
      <c r="N80" s="5"/>
      <c r="O80" s="5"/>
      <c r="P80" s="5"/>
    </row>
    <row r="81" spans="1:16" x14ac:dyDescent="0.35">
      <c r="A81" s="5"/>
      <c r="B81" s="5"/>
      <c r="C81" s="5"/>
      <c r="D81" s="5"/>
      <c r="E81" s="5"/>
      <c r="F81" s="5"/>
      <c r="G81" s="10" t="s">
        <v>328</v>
      </c>
      <c r="H81" s="5">
        <f>H80*2000/H77</f>
        <v>0.03</v>
      </c>
      <c r="I81" s="5" t="str">
        <f>IF(H81&gt;=D100, "Value is AT or ABOVE a ", "Value is BELOW a ")&amp;D100&amp;" floor rate"</f>
        <v>Value is AT or ABOVE a 0.02 floor rate</v>
      </c>
      <c r="J81" s="5"/>
      <c r="K81" s="5"/>
      <c r="L81" s="5"/>
      <c r="M81" s="5"/>
      <c r="N81" s="5"/>
      <c r="O81" s="5"/>
      <c r="P81" s="5"/>
    </row>
    <row r="82" spans="1:16" x14ac:dyDescent="0.35">
      <c r="A82" s="5"/>
      <c r="B82" s="5"/>
      <c r="C82" s="5"/>
      <c r="D82" s="5"/>
      <c r="E82" s="5"/>
      <c r="F82" s="5"/>
      <c r="G82" s="5"/>
      <c r="H82" s="5"/>
      <c r="I82" s="5"/>
      <c r="J82" s="5"/>
      <c r="K82" s="5"/>
      <c r="L82" s="5"/>
      <c r="M82" s="5"/>
      <c r="N82" s="5"/>
      <c r="O82" s="5"/>
      <c r="P82" s="5"/>
    </row>
    <row r="83" spans="1:16" x14ac:dyDescent="0.35">
      <c r="A83" s="5"/>
      <c r="B83" s="5"/>
      <c r="C83" s="5"/>
      <c r="D83" s="5"/>
      <c r="E83" s="5"/>
      <c r="F83" s="5"/>
      <c r="G83" s="10" t="s">
        <v>166</v>
      </c>
      <c r="H83" s="17">
        <f>0.143</f>
        <v>0.14299999999999999</v>
      </c>
      <c r="I83" s="5" t="s">
        <v>375</v>
      </c>
      <c r="J83" s="5"/>
      <c r="K83" s="5"/>
      <c r="L83" s="5"/>
      <c r="M83" s="5"/>
      <c r="N83" s="5"/>
      <c r="O83" s="5"/>
      <c r="P83" s="5"/>
    </row>
    <row r="84" spans="1:16" x14ac:dyDescent="0.35">
      <c r="A84" s="5"/>
      <c r="B84" s="5"/>
      <c r="C84" s="5"/>
      <c r="D84" s="5"/>
      <c r="E84" s="5"/>
      <c r="F84" s="5"/>
      <c r="G84" s="5"/>
      <c r="H84" s="10" t="s">
        <v>168</v>
      </c>
      <c r="I84" s="9">
        <f>ROUND(H83*J55,-3)</f>
        <v>9657000</v>
      </c>
      <c r="J84" s="5"/>
      <c r="K84" s="5"/>
      <c r="L84" s="5"/>
      <c r="M84" s="5"/>
      <c r="N84" s="5"/>
      <c r="O84" s="5"/>
      <c r="P84" s="5"/>
    </row>
    <row r="85" spans="1:16" x14ac:dyDescent="0.35">
      <c r="A85" s="5"/>
      <c r="B85" s="5"/>
      <c r="C85" s="5"/>
      <c r="D85" s="5"/>
      <c r="E85" s="5"/>
      <c r="F85" s="5"/>
      <c r="G85" s="5"/>
      <c r="H85" s="10" t="s">
        <v>169</v>
      </c>
      <c r="I85" s="9">
        <f>ROUND(J64*I5*1000,-3)</f>
        <v>206000</v>
      </c>
      <c r="J85" s="5"/>
      <c r="K85" s="5"/>
      <c r="L85" s="5"/>
      <c r="M85" s="5"/>
      <c r="N85" s="5"/>
      <c r="O85" s="5"/>
      <c r="P85" s="5"/>
    </row>
    <row r="86" spans="1:16" x14ac:dyDescent="0.35">
      <c r="A86" s="5"/>
      <c r="B86" s="5"/>
      <c r="C86" s="5"/>
      <c r="D86" s="5"/>
      <c r="E86" s="5"/>
      <c r="F86" s="5"/>
      <c r="G86" s="5"/>
      <c r="H86" s="10" t="s">
        <v>170</v>
      </c>
      <c r="I86" s="9">
        <f>ROUND(J73*H76,-3)</f>
        <v>996000</v>
      </c>
      <c r="J86" s="5"/>
      <c r="K86" s="5"/>
      <c r="L86" s="5"/>
      <c r="M86" s="5"/>
      <c r="N86" s="5"/>
      <c r="O86" s="5"/>
      <c r="P86" s="5"/>
    </row>
    <row r="87" spans="1:16" x14ac:dyDescent="0.35">
      <c r="A87" s="5"/>
      <c r="B87" s="5"/>
      <c r="C87" s="5"/>
      <c r="D87" s="5"/>
      <c r="E87" s="5"/>
      <c r="F87" s="5"/>
      <c r="G87" s="8"/>
      <c r="H87" s="7" t="s">
        <v>376</v>
      </c>
      <c r="I87" s="6">
        <f>SUM(I84:I86)</f>
        <v>10859000</v>
      </c>
      <c r="J87" s="5"/>
      <c r="K87" s="5"/>
      <c r="L87" s="5"/>
      <c r="M87" s="5"/>
      <c r="N87" s="5"/>
      <c r="O87" s="5"/>
      <c r="P87" s="5"/>
    </row>
    <row r="88" spans="1:16" ht="15" thickBot="1" x14ac:dyDescent="0.4">
      <c r="A88" s="5"/>
      <c r="B88" s="5"/>
      <c r="C88" s="5"/>
      <c r="D88" s="5"/>
      <c r="E88" s="5"/>
      <c r="F88" s="5"/>
      <c r="G88" s="5"/>
      <c r="H88" s="5"/>
      <c r="I88" s="5"/>
      <c r="J88" s="5"/>
      <c r="K88" s="5"/>
      <c r="L88" s="5"/>
      <c r="M88" s="5"/>
      <c r="N88" s="5"/>
      <c r="O88" s="5"/>
      <c r="P88" s="5"/>
    </row>
    <row r="89" spans="1:16" ht="15" thickTop="1" x14ac:dyDescent="0.35">
      <c r="A89" s="5"/>
      <c r="B89" s="5"/>
      <c r="C89" s="5"/>
      <c r="D89" s="5"/>
      <c r="E89" s="5"/>
      <c r="F89" s="5"/>
      <c r="G89" s="13"/>
      <c r="H89" s="12" t="s">
        <v>172</v>
      </c>
      <c r="I89" s="16">
        <f>I84/$H$76</f>
        <v>8.4799789251844047</v>
      </c>
      <c r="J89" s="5"/>
      <c r="K89" s="5"/>
      <c r="L89" s="5"/>
      <c r="M89" s="5"/>
      <c r="N89" s="5"/>
      <c r="O89" s="5"/>
      <c r="P89" s="5"/>
    </row>
    <row r="90" spans="1:16" x14ac:dyDescent="0.35">
      <c r="A90" s="5"/>
      <c r="B90" s="5"/>
      <c r="C90" s="5"/>
      <c r="D90" s="5"/>
      <c r="E90" s="5"/>
      <c r="F90" s="5"/>
      <c r="G90" s="5"/>
      <c r="H90" s="10" t="s">
        <v>173</v>
      </c>
      <c r="I90" s="15">
        <f t="shared" ref="I90:I91" si="1">I85/$H$76</f>
        <v>0.18089216719353707</v>
      </c>
      <c r="J90" s="5"/>
      <c r="K90" s="5"/>
      <c r="L90" s="5"/>
      <c r="M90" s="5"/>
      <c r="N90" s="5"/>
      <c r="O90" s="5"/>
      <c r="P90" s="5"/>
    </row>
    <row r="91" spans="1:16" x14ac:dyDescent="0.35">
      <c r="A91" s="5"/>
      <c r="B91" s="5"/>
      <c r="C91" s="5"/>
      <c r="D91" s="5"/>
      <c r="E91" s="5"/>
      <c r="F91" s="5"/>
      <c r="G91" s="5"/>
      <c r="H91" s="10" t="s">
        <v>174</v>
      </c>
      <c r="I91" s="15">
        <f t="shared" si="1"/>
        <v>0.87460484720758691</v>
      </c>
      <c r="J91" s="5"/>
      <c r="K91" s="5"/>
      <c r="L91" s="5"/>
      <c r="M91" s="5"/>
      <c r="N91" s="5"/>
      <c r="O91" s="5"/>
      <c r="P91" s="5"/>
    </row>
    <row r="92" spans="1:16" x14ac:dyDescent="0.35">
      <c r="A92" s="5"/>
      <c r="B92" s="5"/>
      <c r="C92" s="5"/>
      <c r="D92" s="5"/>
      <c r="E92" s="5"/>
      <c r="F92" s="5"/>
      <c r="G92" s="8"/>
      <c r="H92" s="7" t="s">
        <v>377</v>
      </c>
      <c r="I92" s="14">
        <f>SUM(I89:I91)</f>
        <v>9.5354759395855293</v>
      </c>
      <c r="J92" s="5"/>
      <c r="K92" s="5"/>
      <c r="L92" s="5"/>
      <c r="M92" s="5"/>
      <c r="N92" s="5"/>
      <c r="O92" s="5"/>
      <c r="P92" s="5"/>
    </row>
    <row r="93" spans="1:16" ht="15" thickBot="1" x14ac:dyDescent="0.4">
      <c r="A93" s="5"/>
      <c r="B93" s="5"/>
      <c r="C93" s="5"/>
      <c r="D93" s="5"/>
      <c r="E93" s="5"/>
      <c r="F93" s="5"/>
      <c r="G93" s="5"/>
      <c r="H93" s="5"/>
      <c r="I93" s="5"/>
      <c r="J93" s="5"/>
      <c r="K93" s="5"/>
      <c r="L93" s="5"/>
      <c r="M93" s="5"/>
      <c r="N93" s="5"/>
      <c r="O93" s="5"/>
      <c r="P93" s="5"/>
    </row>
    <row r="94" spans="1:16" ht="15" thickTop="1" x14ac:dyDescent="0.35">
      <c r="A94" s="5"/>
      <c r="B94" s="5"/>
      <c r="C94" s="5"/>
      <c r="D94" s="5"/>
      <c r="E94" s="5"/>
      <c r="F94" s="5"/>
      <c r="G94" s="13"/>
      <c r="H94" s="12" t="s">
        <v>176</v>
      </c>
      <c r="I94" s="11">
        <f>I84/$H$79</f>
        <v>6612.069337375754</v>
      </c>
      <c r="J94" s="5"/>
      <c r="K94" s="5"/>
      <c r="L94" s="5"/>
      <c r="M94" s="5"/>
      <c r="N94" s="5"/>
      <c r="O94" s="5"/>
      <c r="P94" s="5"/>
    </row>
    <row r="95" spans="1:16" x14ac:dyDescent="0.35">
      <c r="A95" s="5"/>
      <c r="B95" s="5"/>
      <c r="C95" s="5"/>
      <c r="D95" s="5"/>
      <c r="E95" s="5"/>
      <c r="F95" s="5"/>
      <c r="G95" s="5"/>
      <c r="H95" s="10" t="s">
        <v>177</v>
      </c>
      <c r="I95" s="9">
        <f t="shared" ref="I95:I96" si="2">I85/$H$79</f>
        <v>141.04652412751429</v>
      </c>
      <c r="J95" s="5"/>
      <c r="K95" s="5"/>
      <c r="L95" s="5"/>
      <c r="M95" s="5"/>
      <c r="N95" s="5"/>
      <c r="O95" s="5"/>
      <c r="P95" s="5"/>
    </row>
    <row r="96" spans="1:16" x14ac:dyDescent="0.35">
      <c r="A96" s="5"/>
      <c r="B96" s="5"/>
      <c r="C96" s="5"/>
      <c r="D96" s="5"/>
      <c r="E96" s="5"/>
      <c r="F96" s="5"/>
      <c r="G96" s="5"/>
      <c r="H96" s="10" t="s">
        <v>178</v>
      </c>
      <c r="I96" s="9">
        <f t="shared" si="2"/>
        <v>681.95309723788455</v>
      </c>
      <c r="J96" s="5"/>
      <c r="K96" s="5"/>
      <c r="L96" s="5"/>
      <c r="M96" s="5"/>
      <c r="N96" s="5"/>
      <c r="O96" s="5"/>
      <c r="P96" s="5"/>
    </row>
    <row r="97" spans="1:16" x14ac:dyDescent="0.35">
      <c r="A97" s="5"/>
      <c r="B97" s="5"/>
      <c r="C97" s="5"/>
      <c r="D97" s="5"/>
      <c r="E97" s="5"/>
      <c r="F97" s="5"/>
      <c r="G97" s="8"/>
      <c r="H97" s="7" t="s">
        <v>378</v>
      </c>
      <c r="I97" s="6">
        <f>SUM(I94:I96)</f>
        <v>7435.0689587411525</v>
      </c>
      <c r="J97" s="5"/>
      <c r="K97" s="5"/>
      <c r="L97" s="5"/>
      <c r="M97" s="5"/>
      <c r="N97" s="5"/>
      <c r="O97" s="5"/>
      <c r="P97" s="5"/>
    </row>
    <row r="98" spans="1:16" x14ac:dyDescent="0.35">
      <c r="A98" s="5"/>
      <c r="B98" s="5"/>
      <c r="C98" s="5"/>
      <c r="D98" s="5"/>
      <c r="E98" s="5"/>
      <c r="F98" s="5"/>
      <c r="G98" s="5"/>
      <c r="H98" s="5"/>
      <c r="I98" s="5"/>
      <c r="J98" s="5"/>
      <c r="K98" s="5"/>
      <c r="L98" s="5"/>
      <c r="M98" s="5"/>
      <c r="N98" s="5"/>
      <c r="O98" s="5"/>
      <c r="P98" s="5"/>
    </row>
    <row r="99" spans="1:16" x14ac:dyDescent="0.35">
      <c r="A99" s="5"/>
      <c r="B99" s="5"/>
      <c r="C99" s="5"/>
      <c r="D99" s="5"/>
      <c r="E99" s="5"/>
      <c r="F99" s="5"/>
      <c r="G99" s="5"/>
      <c r="H99" s="5"/>
      <c r="I99" s="5"/>
      <c r="J99" s="5"/>
      <c r="K99" s="5"/>
      <c r="L99" s="5"/>
      <c r="M99" s="5"/>
      <c r="N99" s="5"/>
      <c r="O99" s="5"/>
      <c r="P99" s="5"/>
    </row>
    <row r="100" spans="1:16" x14ac:dyDescent="0.35">
      <c r="A100" s="5" t="s">
        <v>180</v>
      </c>
      <c r="B100" s="5"/>
      <c r="C100" s="5"/>
      <c r="D100" s="5">
        <f>VLOOKUP(I10,A102:D103,4)</f>
        <v>0.02</v>
      </c>
      <c r="E100" s="5"/>
      <c r="F100" s="5"/>
      <c r="G100" s="5"/>
      <c r="H100" s="5"/>
      <c r="I100" s="5"/>
      <c r="J100" s="5"/>
      <c r="K100" s="5"/>
      <c r="L100" s="5"/>
      <c r="M100" s="5"/>
      <c r="N100" s="5"/>
      <c r="O100" s="5"/>
      <c r="P100" s="5"/>
    </row>
    <row r="101" spans="1:16" x14ac:dyDescent="0.35">
      <c r="A101" s="5"/>
      <c r="B101" s="5" t="s">
        <v>333</v>
      </c>
      <c r="C101" s="5" t="s">
        <v>334</v>
      </c>
      <c r="D101" s="5" t="s">
        <v>379</v>
      </c>
      <c r="E101" s="5"/>
      <c r="F101" s="5"/>
      <c r="G101" s="5"/>
      <c r="H101" s="5"/>
      <c r="I101" s="5"/>
      <c r="J101" s="5"/>
      <c r="K101" s="5"/>
      <c r="L101" s="5"/>
      <c r="M101" s="5"/>
      <c r="N101" s="5"/>
      <c r="O101" s="5"/>
      <c r="P101" s="5"/>
    </row>
    <row r="102" spans="1:16" x14ac:dyDescent="0.35">
      <c r="A102" s="5">
        <v>1</v>
      </c>
      <c r="B102" s="5" t="s">
        <v>335</v>
      </c>
      <c r="C102" s="5">
        <v>1</v>
      </c>
      <c r="D102" s="5">
        <v>0.02</v>
      </c>
      <c r="E102" s="5"/>
      <c r="F102" s="5"/>
      <c r="G102" s="5"/>
      <c r="H102" s="5"/>
      <c r="I102" s="5"/>
      <c r="J102" s="5"/>
      <c r="K102" s="5"/>
      <c r="L102" s="5"/>
      <c r="M102" s="5"/>
      <c r="N102" s="5"/>
      <c r="O102" s="5"/>
      <c r="P102" s="5"/>
    </row>
    <row r="103" spans="1:16" x14ac:dyDescent="0.35">
      <c r="A103" s="5">
        <v>2</v>
      </c>
      <c r="B103" s="5" t="s">
        <v>336</v>
      </c>
      <c r="C103" s="5">
        <v>1.06</v>
      </c>
      <c r="D103" s="5">
        <v>0.02</v>
      </c>
      <c r="E103" s="5"/>
      <c r="F103" s="5"/>
      <c r="G103" s="5"/>
      <c r="H103" s="5"/>
      <c r="I103" s="5"/>
      <c r="J103" s="5"/>
      <c r="K103" s="5"/>
      <c r="L103" s="5"/>
      <c r="M103" s="5"/>
      <c r="N103" s="5"/>
      <c r="O103" s="5"/>
      <c r="P103" s="5"/>
    </row>
    <row r="104" spans="1:16" x14ac:dyDescent="0.35">
      <c r="A104" s="5"/>
      <c r="B104" s="5"/>
      <c r="C104" s="5"/>
      <c r="D104" s="5"/>
      <c r="E104" s="5"/>
      <c r="F104" s="5"/>
      <c r="G104" s="5"/>
      <c r="H104" s="5"/>
      <c r="I104" s="5"/>
      <c r="J104" s="5"/>
      <c r="K104" s="5"/>
      <c r="L104" s="5"/>
      <c r="M104" s="5"/>
      <c r="N104" s="5"/>
      <c r="O104" s="5"/>
      <c r="P104" s="5"/>
    </row>
    <row r="105" spans="1:16" x14ac:dyDescent="0.35">
      <c r="A105" s="5"/>
      <c r="B105" s="5"/>
      <c r="C105" s="5"/>
      <c r="D105" s="5"/>
      <c r="E105" s="5"/>
      <c r="F105" s="5"/>
      <c r="G105" s="5"/>
      <c r="H105" s="5"/>
      <c r="I105" s="5"/>
      <c r="J105" s="5"/>
      <c r="K105" s="5"/>
      <c r="L105" s="5"/>
      <c r="M105" s="5"/>
      <c r="N105" s="5"/>
      <c r="O105" s="5"/>
      <c r="P105" s="5"/>
    </row>
    <row r="106" spans="1:16" x14ac:dyDescent="0.35">
      <c r="A106" s="5"/>
      <c r="B106" s="5"/>
      <c r="C106" s="5"/>
      <c r="D106" s="5"/>
      <c r="E106" s="5"/>
      <c r="F106" s="5"/>
      <c r="G106" s="5"/>
      <c r="H106" s="5"/>
      <c r="I106" s="5"/>
      <c r="J106" s="5"/>
      <c r="K106" s="5"/>
      <c r="L106" s="5"/>
      <c r="M106" s="5"/>
      <c r="N106" s="5"/>
      <c r="O106" s="5"/>
      <c r="P106" s="5"/>
    </row>
    <row r="107" spans="1:16" x14ac:dyDescent="0.35">
      <c r="A107" s="5"/>
      <c r="B107" s="5"/>
      <c r="C107" s="5"/>
      <c r="D107" s="5"/>
      <c r="E107" s="5"/>
      <c r="F107" s="5"/>
      <c r="G107" s="5"/>
      <c r="H107" s="5"/>
      <c r="I107" s="5"/>
      <c r="J107" s="5"/>
      <c r="K107" s="5"/>
      <c r="L107" s="5"/>
      <c r="M107" s="5"/>
      <c r="N107" s="5"/>
      <c r="O107" s="5"/>
      <c r="P107" s="5"/>
    </row>
    <row r="108" spans="1:16" x14ac:dyDescent="0.35">
      <c r="A108" s="5"/>
      <c r="B108" s="5"/>
      <c r="C108" s="5"/>
      <c r="D108" s="5"/>
      <c r="E108" s="5"/>
      <c r="F108" s="5"/>
      <c r="G108" s="5"/>
      <c r="H108" s="5"/>
      <c r="I108" s="5"/>
      <c r="J108" s="5"/>
      <c r="K108" s="5"/>
      <c r="L108" s="5"/>
      <c r="M108" s="5"/>
      <c r="N108" s="5"/>
      <c r="O108" s="5"/>
      <c r="P108" s="5"/>
    </row>
    <row r="109" spans="1:16" x14ac:dyDescent="0.35">
      <c r="A109" s="5"/>
      <c r="B109" s="5"/>
      <c r="C109" s="5"/>
      <c r="D109" s="5"/>
      <c r="E109" s="5"/>
      <c r="F109" s="5"/>
      <c r="G109" s="5"/>
      <c r="H109" s="5"/>
      <c r="I109" s="5"/>
      <c r="J109" s="5"/>
      <c r="K109" s="5"/>
      <c r="L109" s="5"/>
      <c r="M109" s="5"/>
      <c r="N109" s="5"/>
      <c r="O109" s="5"/>
      <c r="P109" s="5"/>
    </row>
    <row r="110" spans="1:16" x14ac:dyDescent="0.35">
      <c r="A110" s="5"/>
      <c r="B110" s="5" t="s">
        <v>185</v>
      </c>
      <c r="C110" s="5"/>
      <c r="D110" s="5"/>
      <c r="E110" s="5"/>
      <c r="F110" s="5"/>
      <c r="G110" s="5"/>
      <c r="H110" s="5"/>
      <c r="I110" s="5"/>
      <c r="J110" s="5"/>
      <c r="K110" s="5"/>
      <c r="L110" s="5"/>
      <c r="M110" s="5"/>
      <c r="N110" s="5"/>
      <c r="O110" s="5"/>
      <c r="P110" s="5"/>
    </row>
    <row r="111" spans="1:16" x14ac:dyDescent="0.35">
      <c r="A111" s="5"/>
      <c r="B111" s="76" t="b">
        <v>1</v>
      </c>
      <c r="C111" s="5"/>
      <c r="D111" s="5"/>
      <c r="E111" s="5"/>
      <c r="F111" s="5"/>
      <c r="G111" s="5"/>
      <c r="H111" s="5"/>
      <c r="I111" s="5"/>
      <c r="J111" s="5"/>
      <c r="K111" s="5"/>
      <c r="L111" s="5"/>
      <c r="M111" s="5"/>
      <c r="N111" s="5"/>
      <c r="O111" s="5"/>
      <c r="P111" s="5"/>
    </row>
    <row r="112" spans="1:16" x14ac:dyDescent="0.35">
      <c r="A112" s="5"/>
      <c r="B112" s="5"/>
      <c r="C112" s="5"/>
      <c r="D112" s="5"/>
      <c r="E112" s="5"/>
      <c r="F112" s="5"/>
      <c r="G112" s="5"/>
      <c r="H112" s="5"/>
      <c r="I112" s="5"/>
      <c r="J112" s="5"/>
      <c r="K112" s="5"/>
      <c r="L112" s="5"/>
      <c r="M112" s="5"/>
      <c r="N112" s="5"/>
      <c r="O112" s="5"/>
      <c r="P112" s="5"/>
    </row>
    <row r="113" spans="1:16" x14ac:dyDescent="0.35">
      <c r="A113" s="5"/>
      <c r="B113" s="5"/>
      <c r="C113" s="5"/>
      <c r="D113" s="5"/>
      <c r="E113" s="5"/>
      <c r="F113" s="5"/>
      <c r="G113" s="5"/>
      <c r="H113" s="5"/>
      <c r="I113" s="5"/>
      <c r="J113" s="5"/>
      <c r="K113" s="5"/>
      <c r="L113" s="5"/>
      <c r="M113" s="5"/>
      <c r="N113" s="5"/>
      <c r="O113" s="5"/>
      <c r="P113" s="5"/>
    </row>
    <row r="114" spans="1:16" x14ac:dyDescent="0.35">
      <c r="A114" s="5"/>
      <c r="B114" s="5"/>
      <c r="C114" s="5"/>
      <c r="D114" s="5"/>
      <c r="E114" s="5"/>
      <c r="F114" s="5"/>
      <c r="G114" s="5"/>
      <c r="H114" s="5"/>
      <c r="I114" s="5"/>
      <c r="J114" s="5"/>
      <c r="K114" s="5"/>
      <c r="L114" s="5"/>
      <c r="M114" s="5"/>
      <c r="N114" s="5"/>
      <c r="O114" s="5"/>
      <c r="P114" s="5"/>
    </row>
  </sheetData>
  <mergeCells count="1">
    <mergeCell ref="D20:F20"/>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4577" r:id="rId3" name="Check Box 1">
              <controlPr defaultSize="0" autoFill="0" autoLine="0" autoPict="0">
                <anchor moveWithCells="1">
                  <from>
                    <xdr:col>4</xdr:col>
                    <xdr:colOff>590550</xdr:colOff>
                    <xdr:row>19</xdr:row>
                    <xdr:rowOff>171450</xdr:rowOff>
                  </from>
                  <to>
                    <xdr:col>5</xdr:col>
                    <xdr:colOff>184150</xdr:colOff>
                    <xdr:row>20</xdr:row>
                    <xdr:rowOff>165100</xdr:rowOff>
                  </to>
                </anchor>
              </controlPr>
            </control>
          </mc:Choice>
        </mc:AlternateContent>
        <mc:AlternateContent xmlns:mc="http://schemas.openxmlformats.org/markup-compatibility/2006">
          <mc:Choice Requires="x14">
            <control shapeId="24578" r:id="rId4" name="Drop Down 2">
              <controlPr defaultSize="0" autoLine="0" autoPict="0">
                <anchor moveWithCells="1">
                  <from>
                    <xdr:col>8</xdr:col>
                    <xdr:colOff>19050</xdr:colOff>
                    <xdr:row>9</xdr:row>
                    <xdr:rowOff>19050</xdr:rowOff>
                  </from>
                  <to>
                    <xdr:col>9</xdr:col>
                    <xdr:colOff>69850</xdr:colOff>
                    <xdr:row>10</xdr:row>
                    <xdr:rowOff>57150</xdr:rowOff>
                  </to>
                </anchor>
              </controlPr>
            </control>
          </mc:Choice>
        </mc:AlternateContent>
        <mc:AlternateContent xmlns:mc="http://schemas.openxmlformats.org/markup-compatibility/2006">
          <mc:Choice Requires="x14">
            <control shapeId="24579" r:id="rId5" name="Check Box 3">
              <controlPr defaultSize="0" autoFill="0" autoLine="0" autoPict="0">
                <anchor moveWithCells="1">
                  <from>
                    <xdr:col>8</xdr:col>
                    <xdr:colOff>0</xdr:colOff>
                    <xdr:row>1</xdr:row>
                    <xdr:rowOff>171450</xdr:rowOff>
                  </from>
                  <to>
                    <xdr:col>8</xdr:col>
                    <xdr:colOff>412750</xdr:colOff>
                    <xdr:row>3</xdr:row>
                    <xdr:rowOff>38100</xdr:rowOff>
                  </to>
                </anchor>
              </controlPr>
            </control>
          </mc:Choice>
        </mc:AlternateContent>
        <mc:AlternateContent xmlns:mc="http://schemas.openxmlformats.org/markup-compatibility/2006">
          <mc:Choice Requires="x14">
            <control shapeId="24580" r:id="rId6" name="Check Box 4">
              <controlPr defaultSize="0" autoFill="0" autoLine="0" autoPict="0">
                <anchor moveWithCells="1">
                  <from>
                    <xdr:col>8</xdr:col>
                    <xdr:colOff>0</xdr:colOff>
                    <xdr:row>1</xdr:row>
                    <xdr:rowOff>171450</xdr:rowOff>
                  </from>
                  <to>
                    <xdr:col>8</xdr:col>
                    <xdr:colOff>412750</xdr:colOff>
                    <xdr:row>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06DA8-1FF6-488E-B7C7-0A5C99EEDD15}">
  <dimension ref="A1:P116"/>
  <sheetViews>
    <sheetView topLeftCell="A12" workbookViewId="0">
      <selection activeCell="B9" sqref="B9"/>
    </sheetView>
  </sheetViews>
  <sheetFormatPr defaultColWidth="8.7265625" defaultRowHeight="14.5" x14ac:dyDescent="0.35"/>
  <cols>
    <col min="1" max="5" width="8.7265625" style="78"/>
    <col min="6" max="6" width="6.26953125" style="78" customWidth="1"/>
    <col min="7" max="7" width="12.7265625" style="78" customWidth="1"/>
    <col min="8" max="8" width="13.26953125" style="78" bestFit="1" customWidth="1"/>
    <col min="9" max="9" width="12.7265625" style="78" customWidth="1"/>
    <col min="10" max="10" width="15.26953125" style="78" bestFit="1" customWidth="1"/>
    <col min="11" max="11" width="8.7265625" style="78"/>
    <col min="12" max="12" width="56.1796875" style="78" customWidth="1"/>
    <col min="13" max="16384" width="8.7265625" style="78"/>
  </cols>
  <sheetData>
    <row r="1" spans="1:16" ht="15" thickBot="1" x14ac:dyDescent="0.4">
      <c r="A1" s="5" t="s">
        <v>26</v>
      </c>
      <c r="B1" s="5"/>
      <c r="C1" s="5"/>
      <c r="D1" s="5"/>
      <c r="E1" s="5"/>
      <c r="F1" s="5"/>
      <c r="G1" s="5"/>
      <c r="H1" s="5"/>
      <c r="I1" s="5"/>
      <c r="J1" s="5"/>
      <c r="K1" s="5"/>
      <c r="L1" s="5"/>
      <c r="M1" s="5"/>
      <c r="N1" s="5"/>
      <c r="O1" s="5"/>
      <c r="P1" s="5"/>
    </row>
    <row r="2" spans="1:16" x14ac:dyDescent="0.35">
      <c r="A2" s="5"/>
      <c r="B2" s="5"/>
      <c r="C2" s="5"/>
      <c r="D2" s="90" t="s">
        <v>27</v>
      </c>
      <c r="E2" s="91"/>
      <c r="F2" s="92"/>
      <c r="G2" s="93" t="s">
        <v>28</v>
      </c>
      <c r="H2" s="93" t="s">
        <v>29</v>
      </c>
      <c r="I2" s="93" t="s">
        <v>30</v>
      </c>
      <c r="J2" s="94" t="s">
        <v>31</v>
      </c>
      <c r="K2" s="95"/>
      <c r="L2" s="96"/>
      <c r="M2" s="5"/>
      <c r="N2" s="5"/>
      <c r="O2" s="5"/>
      <c r="P2" s="5"/>
    </row>
    <row r="3" spans="1:16" x14ac:dyDescent="0.35">
      <c r="A3" s="5"/>
      <c r="B3" s="5"/>
      <c r="C3" s="5"/>
      <c r="D3" s="122" t="s">
        <v>32</v>
      </c>
      <c r="E3" s="37"/>
      <c r="F3" s="36"/>
      <c r="G3" s="58"/>
      <c r="H3" s="58"/>
      <c r="I3" s="59" t="b">
        <v>0</v>
      </c>
      <c r="J3" s="38"/>
      <c r="K3" s="37"/>
      <c r="L3" s="98"/>
      <c r="M3" s="5"/>
      <c r="N3" s="5"/>
      <c r="O3" s="5"/>
      <c r="P3" s="5"/>
    </row>
    <row r="4" spans="1:16" x14ac:dyDescent="0.35">
      <c r="A4" s="5"/>
      <c r="B4" s="5"/>
      <c r="C4" s="5"/>
      <c r="D4" s="122"/>
      <c r="E4" s="37"/>
      <c r="F4" s="36"/>
      <c r="G4" s="58"/>
      <c r="H4" s="58"/>
      <c r="I4" s="58"/>
      <c r="J4" s="38"/>
      <c r="K4" s="37"/>
      <c r="L4" s="98"/>
      <c r="M4" s="5"/>
      <c r="N4" s="5"/>
      <c r="O4" s="5"/>
      <c r="P4" s="5"/>
    </row>
    <row r="5" spans="1:16" x14ac:dyDescent="0.35">
      <c r="A5" s="5"/>
      <c r="B5" s="5"/>
      <c r="C5" s="5"/>
      <c r="D5" s="122" t="s">
        <v>33</v>
      </c>
      <c r="E5" s="37"/>
      <c r="F5" s="36"/>
      <c r="G5" s="58" t="s">
        <v>34</v>
      </c>
      <c r="H5" s="58" t="s">
        <v>35</v>
      </c>
      <c r="I5" s="132">
        <v>500</v>
      </c>
      <c r="J5" s="38" t="s">
        <v>43</v>
      </c>
      <c r="K5" s="37"/>
      <c r="L5" s="98"/>
      <c r="M5" s="5"/>
      <c r="N5" s="5"/>
      <c r="O5" s="5"/>
      <c r="P5" s="5"/>
    </row>
    <row r="6" spans="1:16" x14ac:dyDescent="0.35">
      <c r="A6" s="5"/>
      <c r="B6" s="5"/>
      <c r="C6" s="5"/>
      <c r="D6" s="122" t="s">
        <v>37</v>
      </c>
      <c r="E6" s="37"/>
      <c r="F6" s="36"/>
      <c r="G6" s="58" t="s">
        <v>38</v>
      </c>
      <c r="H6" s="58"/>
      <c r="I6" s="134">
        <v>1</v>
      </c>
      <c r="J6" s="38" t="s">
        <v>39</v>
      </c>
      <c r="K6" s="37"/>
      <c r="L6" s="98"/>
      <c r="M6" s="5"/>
      <c r="N6" s="5"/>
      <c r="O6" s="5"/>
      <c r="P6" s="5"/>
    </row>
    <row r="7" spans="1:16" x14ac:dyDescent="0.35">
      <c r="A7" s="5"/>
      <c r="B7" s="5"/>
      <c r="C7" s="5"/>
      <c r="D7" s="122" t="s">
        <v>40</v>
      </c>
      <c r="E7" s="37"/>
      <c r="F7" s="36"/>
      <c r="G7" s="58" t="s">
        <v>41</v>
      </c>
      <c r="H7" s="58" t="s">
        <v>42</v>
      </c>
      <c r="I7" s="132">
        <v>9500</v>
      </c>
      <c r="J7" s="38" t="s">
        <v>43</v>
      </c>
      <c r="K7" s="37"/>
      <c r="L7" s="98"/>
      <c r="M7" s="5"/>
      <c r="N7" s="5"/>
      <c r="O7" s="5"/>
      <c r="P7" s="5"/>
    </row>
    <row r="8" spans="1:16" x14ac:dyDescent="0.35">
      <c r="A8" s="5"/>
      <c r="B8" s="5"/>
      <c r="C8" s="5"/>
      <c r="D8" s="122" t="s">
        <v>283</v>
      </c>
      <c r="E8" s="37"/>
      <c r="F8" s="36"/>
      <c r="G8" s="58" t="s">
        <v>45</v>
      </c>
      <c r="H8" s="58" t="s">
        <v>46</v>
      </c>
      <c r="I8" s="132">
        <v>0.3</v>
      </c>
      <c r="J8" s="38" t="s">
        <v>43</v>
      </c>
      <c r="K8" s="37"/>
      <c r="L8" s="98"/>
      <c r="M8" s="5"/>
      <c r="N8" s="5"/>
      <c r="O8" s="5"/>
      <c r="P8" s="5"/>
    </row>
    <row r="9" spans="1:16" x14ac:dyDescent="0.35">
      <c r="A9" s="5"/>
      <c r="B9" s="5"/>
      <c r="C9" s="5"/>
      <c r="D9" s="122" t="s">
        <v>44</v>
      </c>
      <c r="E9" s="37"/>
      <c r="F9" s="36"/>
      <c r="G9" s="58" t="s">
        <v>49</v>
      </c>
      <c r="H9" s="58" t="s">
        <v>46</v>
      </c>
      <c r="I9" s="132">
        <v>3</v>
      </c>
      <c r="J9" s="38" t="s">
        <v>43</v>
      </c>
      <c r="K9" s="37"/>
      <c r="L9" s="98"/>
      <c r="M9" s="5"/>
      <c r="N9" s="5"/>
      <c r="O9" s="5"/>
      <c r="P9" s="5"/>
    </row>
    <row r="10" spans="1:16" ht="18.75" customHeight="1" x14ac:dyDescent="0.35">
      <c r="A10" s="5"/>
      <c r="B10" s="5"/>
      <c r="C10" s="5"/>
      <c r="D10" s="122" t="s">
        <v>48</v>
      </c>
      <c r="E10" s="37"/>
      <c r="F10" s="36"/>
      <c r="G10" s="58" t="s">
        <v>51</v>
      </c>
      <c r="H10" s="58"/>
      <c r="I10" s="133">
        <v>3</v>
      </c>
      <c r="J10" s="38" t="s">
        <v>43</v>
      </c>
      <c r="K10" s="37"/>
      <c r="L10" s="98"/>
      <c r="M10" s="5"/>
      <c r="N10" s="5"/>
      <c r="O10" s="5"/>
      <c r="P10" s="5"/>
    </row>
    <row r="11" spans="1:16" x14ac:dyDescent="0.35">
      <c r="A11" s="5"/>
      <c r="B11" s="5"/>
      <c r="C11" s="5"/>
      <c r="D11" s="122" t="s">
        <v>50</v>
      </c>
      <c r="E11" s="37"/>
      <c r="F11" s="36"/>
      <c r="G11" s="58" t="s">
        <v>54</v>
      </c>
      <c r="H11" s="58"/>
      <c r="I11" s="58">
        <f>VLOOKUP(I10,A103:C105,3)</f>
        <v>1</v>
      </c>
      <c r="J11" s="38" t="s">
        <v>52</v>
      </c>
      <c r="K11" s="37"/>
      <c r="L11" s="98"/>
      <c r="M11" s="5"/>
      <c r="N11" s="5"/>
      <c r="O11" s="5"/>
      <c r="P11" s="5"/>
    </row>
    <row r="12" spans="1:16" x14ac:dyDescent="0.35">
      <c r="A12" s="5"/>
      <c r="B12" s="5"/>
      <c r="C12" s="5"/>
      <c r="D12" s="122" t="s">
        <v>53</v>
      </c>
      <c r="E12" s="37"/>
      <c r="F12" s="36"/>
      <c r="G12" s="58" t="s">
        <v>57</v>
      </c>
      <c r="H12" s="58"/>
      <c r="I12" s="58">
        <f>I7/10000</f>
        <v>0.95</v>
      </c>
      <c r="J12" s="38" t="s">
        <v>55</v>
      </c>
      <c r="K12" s="37"/>
      <c r="L12" s="98"/>
      <c r="M12" s="5"/>
      <c r="N12" s="5"/>
      <c r="O12" s="5"/>
      <c r="P12" s="5"/>
    </row>
    <row r="13" spans="1:16" x14ac:dyDescent="0.35">
      <c r="A13" s="5"/>
      <c r="B13" s="5"/>
      <c r="C13" s="5"/>
      <c r="D13" s="122" t="s">
        <v>56</v>
      </c>
      <c r="E13" s="37"/>
      <c r="F13" s="36"/>
      <c r="G13" s="58" t="s">
        <v>61</v>
      </c>
      <c r="H13" s="58" t="s">
        <v>58</v>
      </c>
      <c r="I13" s="70">
        <f>I5*I7*1000</f>
        <v>4750000000</v>
      </c>
      <c r="J13" s="38" t="s">
        <v>59</v>
      </c>
      <c r="K13" s="37"/>
      <c r="L13" s="98"/>
      <c r="M13" s="5"/>
      <c r="N13" s="5"/>
      <c r="O13" s="5"/>
      <c r="P13" s="5"/>
    </row>
    <row r="14" spans="1:16" x14ac:dyDescent="0.35">
      <c r="A14" s="5"/>
      <c r="B14" s="5"/>
      <c r="C14" s="5"/>
      <c r="D14" s="122" t="s">
        <v>60</v>
      </c>
      <c r="E14" s="37"/>
      <c r="F14" s="36"/>
      <c r="G14" s="58" t="s">
        <v>64</v>
      </c>
      <c r="H14" s="58" t="s">
        <v>62</v>
      </c>
      <c r="I14" s="132">
        <v>85</v>
      </c>
      <c r="J14" s="38" t="s">
        <v>43</v>
      </c>
      <c r="K14" s="37"/>
      <c r="L14" s="98"/>
      <c r="M14" s="5"/>
      <c r="N14" s="5"/>
      <c r="O14" s="5"/>
      <c r="P14" s="5"/>
    </row>
    <row r="15" spans="1:16" x14ac:dyDescent="0.35">
      <c r="A15" s="5"/>
      <c r="B15" s="5"/>
      <c r="C15" s="5"/>
      <c r="D15" s="122" t="s">
        <v>286</v>
      </c>
      <c r="E15" s="37"/>
      <c r="F15" s="36"/>
      <c r="G15" s="58" t="s">
        <v>67</v>
      </c>
      <c r="H15" s="58" t="s">
        <v>62</v>
      </c>
      <c r="I15" s="132">
        <v>75</v>
      </c>
      <c r="J15" s="38" t="s">
        <v>43</v>
      </c>
      <c r="K15" s="37"/>
      <c r="L15" s="98"/>
      <c r="M15" s="5"/>
      <c r="N15" s="5"/>
      <c r="O15" s="5"/>
      <c r="P15" s="5"/>
    </row>
    <row r="16" spans="1:16" x14ac:dyDescent="0.35">
      <c r="A16" s="5"/>
      <c r="B16" s="5"/>
      <c r="C16" s="5"/>
      <c r="D16" s="122" t="s">
        <v>348</v>
      </c>
      <c r="E16" s="37"/>
      <c r="F16" s="36"/>
      <c r="G16" s="58" t="s">
        <v>71</v>
      </c>
      <c r="H16" s="58"/>
      <c r="I16" s="129">
        <f>I15/80</f>
        <v>0.9375</v>
      </c>
      <c r="J16" s="38" t="s">
        <v>349</v>
      </c>
      <c r="K16" s="37"/>
      <c r="L16" s="98"/>
      <c r="M16" s="5"/>
      <c r="N16" s="5"/>
      <c r="O16" s="5"/>
      <c r="P16" s="5"/>
    </row>
    <row r="17" spans="1:16" x14ac:dyDescent="0.35">
      <c r="A17" s="5"/>
      <c r="B17" s="5"/>
      <c r="C17" s="5"/>
      <c r="D17" s="122" t="s">
        <v>287</v>
      </c>
      <c r="E17" s="37"/>
      <c r="F17" s="36"/>
      <c r="G17" s="58" t="s">
        <v>74</v>
      </c>
      <c r="H17" s="58" t="s">
        <v>288</v>
      </c>
      <c r="I17" s="71">
        <f>I8*I13/10^6*I15/100</f>
        <v>1068.75</v>
      </c>
      <c r="J17" s="38" t="s">
        <v>289</v>
      </c>
      <c r="K17" s="37"/>
      <c r="L17" s="98"/>
      <c r="M17" s="5"/>
      <c r="N17" s="5"/>
      <c r="O17" s="5"/>
      <c r="P17" s="5"/>
    </row>
    <row r="18" spans="1:16" x14ac:dyDescent="0.35">
      <c r="A18" s="5"/>
      <c r="B18" s="5"/>
      <c r="C18" s="5"/>
      <c r="D18" s="122" t="s">
        <v>290</v>
      </c>
      <c r="E18" s="37"/>
      <c r="F18" s="36"/>
      <c r="G18" s="58" t="s">
        <v>77</v>
      </c>
      <c r="H18" s="58" t="s">
        <v>288</v>
      </c>
      <c r="I18" s="71">
        <f>I17*0.525*60/46*1.01/0.99</f>
        <v>746.64649209486163</v>
      </c>
      <c r="J18" s="38" t="s">
        <v>350</v>
      </c>
      <c r="K18" s="37"/>
      <c r="L18" s="98"/>
      <c r="M18" s="5"/>
      <c r="N18" s="5"/>
      <c r="O18" s="5"/>
      <c r="P18" s="5"/>
    </row>
    <row r="19" spans="1:16" x14ac:dyDescent="0.35">
      <c r="A19" s="5"/>
      <c r="B19" s="5"/>
      <c r="C19" s="5"/>
      <c r="D19" s="122" t="s">
        <v>351</v>
      </c>
      <c r="E19" s="37"/>
      <c r="F19" s="36"/>
      <c r="G19" s="58" t="s">
        <v>296</v>
      </c>
      <c r="H19" s="58" t="s">
        <v>288</v>
      </c>
      <c r="I19" s="71">
        <f>I18*1.1315</f>
        <v>844.83050580533586</v>
      </c>
      <c r="J19" s="38" t="s">
        <v>352</v>
      </c>
      <c r="K19" s="37"/>
      <c r="L19" s="98"/>
      <c r="M19" s="5"/>
      <c r="N19" s="5"/>
      <c r="O19" s="5"/>
      <c r="P19" s="5"/>
    </row>
    <row r="20" spans="1:16" ht="28.5" customHeight="1" x14ac:dyDescent="0.35">
      <c r="A20" s="5"/>
      <c r="B20" s="5"/>
      <c r="C20" s="5"/>
      <c r="D20" s="146" t="s">
        <v>73</v>
      </c>
      <c r="E20" s="147"/>
      <c r="F20" s="148"/>
      <c r="G20" s="58" t="s">
        <v>81</v>
      </c>
      <c r="H20" s="58" t="s">
        <v>62</v>
      </c>
      <c r="I20" s="72">
        <f>0.56*(I11*I12)^0.43</f>
        <v>0.54778379100958452</v>
      </c>
      <c r="J20" s="38" t="s">
        <v>380</v>
      </c>
      <c r="K20" s="37"/>
      <c r="L20" s="98"/>
      <c r="M20" s="5"/>
      <c r="N20" s="5"/>
      <c r="O20" s="5"/>
      <c r="P20" s="5"/>
    </row>
    <row r="21" spans="1:16" x14ac:dyDescent="0.35">
      <c r="A21" s="5"/>
      <c r="B21" s="5"/>
      <c r="C21" s="5"/>
      <c r="D21" s="122" t="s">
        <v>76</v>
      </c>
      <c r="E21" s="37"/>
      <c r="F21" s="36"/>
      <c r="G21" s="58" t="s">
        <v>84</v>
      </c>
      <c r="H21" s="58" t="s">
        <v>78</v>
      </c>
      <c r="I21" s="58">
        <v>0</v>
      </c>
      <c r="J21" s="38"/>
      <c r="K21" s="37"/>
      <c r="L21" s="98"/>
      <c r="M21" s="5"/>
      <c r="N21" s="5"/>
      <c r="O21" s="5"/>
      <c r="P21" s="5"/>
    </row>
    <row r="22" spans="1:16" x14ac:dyDescent="0.35">
      <c r="A22" s="5"/>
      <c r="B22" s="5"/>
      <c r="C22" s="5"/>
      <c r="D22" s="122" t="s">
        <v>300</v>
      </c>
      <c r="E22" s="37"/>
      <c r="F22" s="36"/>
      <c r="G22" s="58" t="s">
        <v>86</v>
      </c>
      <c r="H22" s="58" t="s">
        <v>82</v>
      </c>
      <c r="I22" s="132">
        <v>350</v>
      </c>
      <c r="J22" s="38" t="s">
        <v>43</v>
      </c>
      <c r="K22" s="37"/>
      <c r="L22" s="98"/>
      <c r="M22" s="5"/>
      <c r="N22" s="5"/>
      <c r="O22" s="5"/>
      <c r="P22" s="5"/>
    </row>
    <row r="23" spans="1:16" x14ac:dyDescent="0.35">
      <c r="A23" s="5"/>
      <c r="B23" s="5"/>
      <c r="C23" s="5"/>
      <c r="D23" s="122" t="s">
        <v>354</v>
      </c>
      <c r="E23" s="37"/>
      <c r="F23" s="36"/>
      <c r="G23" s="58" t="s">
        <v>89</v>
      </c>
      <c r="H23" s="58" t="s">
        <v>355</v>
      </c>
      <c r="I23" s="132">
        <v>9000</v>
      </c>
      <c r="J23" s="38" t="s">
        <v>43</v>
      </c>
      <c r="K23" s="37"/>
      <c r="L23" s="98"/>
      <c r="M23" s="5"/>
      <c r="N23" s="5"/>
      <c r="O23" s="5"/>
      <c r="P23" s="5"/>
    </row>
    <row r="24" spans="1:16" x14ac:dyDescent="0.35">
      <c r="A24" s="5"/>
      <c r="B24" s="5"/>
      <c r="C24" s="5"/>
      <c r="D24" s="122" t="s">
        <v>85</v>
      </c>
      <c r="E24" s="37"/>
      <c r="F24" s="36"/>
      <c r="G24" s="58" t="s">
        <v>92</v>
      </c>
      <c r="H24" s="58" t="s">
        <v>87</v>
      </c>
      <c r="I24" s="132">
        <v>0.06</v>
      </c>
      <c r="J24" s="38" t="s">
        <v>356</v>
      </c>
      <c r="K24" s="37"/>
      <c r="L24" s="98"/>
      <c r="M24" s="5"/>
      <c r="N24" s="5"/>
      <c r="O24" s="5"/>
      <c r="P24" s="5"/>
    </row>
    <row r="25" spans="1:16" x14ac:dyDescent="0.35">
      <c r="A25" s="5"/>
      <c r="B25" s="5"/>
      <c r="C25" s="5"/>
      <c r="D25" s="122" t="s">
        <v>357</v>
      </c>
      <c r="E25" s="37"/>
      <c r="F25" s="36"/>
      <c r="G25" s="58" t="s">
        <v>242</v>
      </c>
      <c r="H25" s="58" t="s">
        <v>302</v>
      </c>
      <c r="I25" s="132">
        <v>4</v>
      </c>
      <c r="J25" s="38" t="s">
        <v>43</v>
      </c>
      <c r="K25" s="37"/>
      <c r="L25" s="98"/>
      <c r="M25" s="5"/>
      <c r="N25" s="5"/>
      <c r="O25" s="5"/>
      <c r="P25" s="5"/>
    </row>
    <row r="26" spans="1:16" ht="15" thickBot="1" x14ac:dyDescent="0.4">
      <c r="A26" s="5"/>
      <c r="B26" s="5"/>
      <c r="C26" s="5"/>
      <c r="D26" s="124" t="s">
        <v>91</v>
      </c>
      <c r="E26" s="104"/>
      <c r="F26" s="125"/>
      <c r="G26" s="126" t="s">
        <v>232</v>
      </c>
      <c r="H26" s="126" t="s">
        <v>93</v>
      </c>
      <c r="I26" s="135">
        <v>60</v>
      </c>
      <c r="J26" s="103" t="s">
        <v>94</v>
      </c>
      <c r="K26" s="104"/>
      <c r="L26" s="105"/>
      <c r="M26" s="5"/>
      <c r="N26" s="5"/>
      <c r="O26" s="5"/>
      <c r="P26" s="5"/>
    </row>
    <row r="27" spans="1:16" x14ac:dyDescent="0.35">
      <c r="A27" s="5"/>
      <c r="B27" s="5"/>
      <c r="C27" s="5"/>
      <c r="D27" s="5"/>
      <c r="E27" s="5"/>
      <c r="F27" s="5"/>
      <c r="G27" s="5"/>
      <c r="H27" s="5"/>
      <c r="I27" s="5"/>
      <c r="J27" s="5"/>
      <c r="K27" s="5"/>
      <c r="L27" s="5"/>
      <c r="M27" s="5"/>
      <c r="N27" s="5"/>
      <c r="O27" s="5"/>
      <c r="P27" s="5"/>
    </row>
    <row r="28" spans="1:16" x14ac:dyDescent="0.35">
      <c r="A28" s="5"/>
      <c r="B28" s="5"/>
      <c r="C28" s="5"/>
      <c r="D28" s="5"/>
      <c r="E28" s="5"/>
      <c r="F28" s="5"/>
      <c r="G28" s="5"/>
      <c r="H28" s="5"/>
      <c r="I28" s="5"/>
      <c r="J28" s="5"/>
      <c r="K28" s="5"/>
      <c r="L28" s="5"/>
      <c r="M28" s="5"/>
      <c r="N28" s="5"/>
      <c r="O28" s="5"/>
      <c r="P28" s="5"/>
    </row>
    <row r="29" spans="1:16" x14ac:dyDescent="0.35">
      <c r="A29" s="5"/>
      <c r="B29" s="5"/>
      <c r="C29" s="5"/>
      <c r="D29" s="5"/>
      <c r="E29" s="5"/>
      <c r="F29" s="5"/>
      <c r="G29" s="5"/>
      <c r="H29" s="5"/>
      <c r="I29" s="5"/>
      <c r="J29" s="5"/>
      <c r="K29" s="5"/>
      <c r="L29" s="5"/>
      <c r="M29" s="5"/>
      <c r="N29" s="5"/>
      <c r="O29" s="5"/>
      <c r="P29" s="5"/>
    </row>
    <row r="30" spans="1:16" ht="23" x14ac:dyDescent="0.5">
      <c r="A30" s="5"/>
      <c r="B30" s="5"/>
      <c r="C30" s="5"/>
      <c r="D30" s="5"/>
      <c r="E30" s="5"/>
      <c r="F30" s="5"/>
      <c r="G30" s="5"/>
      <c r="H30" s="35" t="s">
        <v>243</v>
      </c>
      <c r="I30" s="5"/>
      <c r="J30" s="5"/>
      <c r="K30" s="5"/>
      <c r="L30" s="5"/>
      <c r="M30" s="5"/>
      <c r="N30" s="5"/>
      <c r="O30" s="5"/>
      <c r="P30" s="5"/>
    </row>
    <row r="31" spans="1:16" x14ac:dyDescent="0.35">
      <c r="A31" s="26" t="s">
        <v>95</v>
      </c>
      <c r="B31" s="26"/>
      <c r="C31" s="26"/>
      <c r="D31" s="26"/>
      <c r="E31" s="26"/>
      <c r="F31" s="26"/>
      <c r="G31" s="26"/>
      <c r="H31" s="26"/>
      <c r="I31" s="26"/>
      <c r="J31" s="26" t="s">
        <v>96</v>
      </c>
      <c r="K31" s="26"/>
      <c r="L31" s="26" t="s">
        <v>97</v>
      </c>
      <c r="M31" s="5"/>
      <c r="N31" s="5"/>
      <c r="O31" s="5"/>
      <c r="P31" s="5"/>
    </row>
    <row r="32" spans="1:16" x14ac:dyDescent="0.35">
      <c r="A32" s="5"/>
      <c r="B32" s="5" t="s">
        <v>98</v>
      </c>
      <c r="C32" s="5"/>
      <c r="D32" s="5"/>
      <c r="E32" s="5"/>
      <c r="F32" s="5"/>
      <c r="G32" s="5"/>
      <c r="H32" s="5"/>
      <c r="I32" s="5"/>
      <c r="J32" s="5"/>
      <c r="K32" s="5"/>
      <c r="L32" s="5"/>
      <c r="M32" s="5"/>
      <c r="N32" s="5"/>
      <c r="O32" s="5"/>
      <c r="P32" s="5"/>
    </row>
    <row r="33" spans="1:16" x14ac:dyDescent="0.35">
      <c r="A33" s="5"/>
      <c r="B33" s="5" t="s">
        <v>99</v>
      </c>
      <c r="C33" s="5" t="s">
        <v>381</v>
      </c>
      <c r="D33" s="5"/>
      <c r="E33" s="5"/>
      <c r="F33" s="5"/>
      <c r="G33" s="5"/>
      <c r="H33" s="5"/>
      <c r="I33" s="5"/>
      <c r="J33" s="30">
        <f>ROUND(370000*(I6)*(I16)^0.2*(I5*I11*I12)^0.92,-3)</f>
        <v>105963000</v>
      </c>
      <c r="K33" s="5"/>
      <c r="L33" s="5" t="s">
        <v>359</v>
      </c>
      <c r="M33" s="5"/>
      <c r="N33" s="5"/>
      <c r="O33" s="5"/>
      <c r="P33" s="5"/>
    </row>
    <row r="34" spans="1:16" x14ac:dyDescent="0.35">
      <c r="A34" s="5"/>
      <c r="B34" s="5" t="s">
        <v>102</v>
      </c>
      <c r="C34" s="5" t="s">
        <v>360</v>
      </c>
      <c r="D34" s="5"/>
      <c r="E34" s="5"/>
      <c r="F34" s="5"/>
      <c r="G34" s="5"/>
      <c r="H34" s="5"/>
      <c r="I34" s="5"/>
      <c r="J34" s="30">
        <f>ROUND(671000*(I17^0.25),-3)</f>
        <v>3837000</v>
      </c>
      <c r="K34" s="5"/>
      <c r="L34" s="5" t="s">
        <v>197</v>
      </c>
      <c r="M34" s="5"/>
      <c r="N34" s="5"/>
      <c r="O34" s="5"/>
      <c r="P34" s="5"/>
    </row>
    <row r="35" spans="1:16" x14ac:dyDescent="0.35">
      <c r="A35" s="5"/>
      <c r="B35" s="5" t="s">
        <v>343</v>
      </c>
      <c r="C35" s="5" t="s">
        <v>382</v>
      </c>
      <c r="D35" s="5"/>
      <c r="E35" s="5"/>
      <c r="F35" s="5"/>
      <c r="G35" s="5"/>
      <c r="H35" s="5"/>
      <c r="I35" s="5"/>
      <c r="J35" s="30">
        <f>ROUND(60000*(I6)*(I5*IF(AND(I11=1,I9&gt;=3),I11,0)*I12)^0.78,-3)</f>
        <v>7345000</v>
      </c>
      <c r="K35" s="5"/>
      <c r="L35" s="5" t="s">
        <v>383</v>
      </c>
      <c r="M35" s="5"/>
      <c r="N35" s="5"/>
      <c r="O35" s="5"/>
      <c r="P35" s="5"/>
    </row>
    <row r="36" spans="1:16" x14ac:dyDescent="0.35">
      <c r="A36" s="5"/>
      <c r="B36" s="5" t="s">
        <v>105</v>
      </c>
      <c r="C36" s="5" t="s">
        <v>384</v>
      </c>
      <c r="D36" s="5"/>
      <c r="E36" s="5"/>
      <c r="F36" s="5"/>
      <c r="G36" s="5"/>
      <c r="H36" s="5"/>
      <c r="I36" s="5"/>
      <c r="J36" s="30">
        <f>ROUND(630000*(I6)*(I5*I11*I12)^0.42,-3)</f>
        <v>8386000</v>
      </c>
      <c r="K36" s="5"/>
      <c r="L36" s="5" t="s">
        <v>362</v>
      </c>
      <c r="M36" s="5"/>
      <c r="N36" s="5"/>
      <c r="O36" s="5"/>
      <c r="P36" s="5"/>
    </row>
    <row r="37" spans="1:16" x14ac:dyDescent="0.35">
      <c r="A37" s="5"/>
      <c r="B37" s="5" t="s">
        <v>108</v>
      </c>
      <c r="C37" s="5" t="s">
        <v>363</v>
      </c>
      <c r="D37" s="5"/>
      <c r="E37" s="5"/>
      <c r="F37" s="5"/>
      <c r="G37" s="5"/>
      <c r="H37" s="5"/>
      <c r="I37" s="5"/>
      <c r="J37" s="33">
        <f>SUM(J33:J36)</f>
        <v>125531000</v>
      </c>
      <c r="K37" s="5"/>
      <c r="L37" s="5" t="s">
        <v>110</v>
      </c>
      <c r="M37" s="5"/>
      <c r="N37" s="5"/>
      <c r="O37" s="5"/>
      <c r="P37" s="5"/>
    </row>
    <row r="38" spans="1:16" x14ac:dyDescent="0.35">
      <c r="A38" s="5"/>
      <c r="B38" s="5" t="s">
        <v>111</v>
      </c>
      <c r="C38" s="5"/>
      <c r="D38" s="5"/>
      <c r="E38" s="5"/>
      <c r="F38" s="5"/>
      <c r="G38" s="5"/>
      <c r="H38" s="5"/>
      <c r="I38" s="5"/>
      <c r="J38" s="31">
        <f>J37/(I5*1000)</f>
        <v>251.06200000000001</v>
      </c>
      <c r="K38" s="5"/>
      <c r="L38" s="5" t="s">
        <v>112</v>
      </c>
      <c r="M38" s="5"/>
      <c r="N38" s="5"/>
      <c r="O38" s="5"/>
      <c r="P38" s="5"/>
    </row>
    <row r="39" spans="1:16" x14ac:dyDescent="0.35">
      <c r="A39" s="5"/>
      <c r="B39" s="5"/>
      <c r="C39" s="5"/>
      <c r="D39" s="5"/>
      <c r="E39" s="5"/>
      <c r="F39" s="5"/>
      <c r="G39" s="5"/>
      <c r="H39" s="5"/>
      <c r="I39" s="5"/>
      <c r="J39" s="5"/>
      <c r="K39" s="5"/>
      <c r="L39" s="5"/>
      <c r="M39" s="5"/>
      <c r="N39" s="5"/>
      <c r="O39" s="5"/>
      <c r="P39" s="5"/>
    </row>
    <row r="40" spans="1:16" x14ac:dyDescent="0.35">
      <c r="A40" s="26" t="s">
        <v>113</v>
      </c>
      <c r="B40" s="5"/>
      <c r="C40" s="5"/>
      <c r="D40" s="5"/>
      <c r="E40" s="5"/>
      <c r="F40" s="5"/>
      <c r="G40" s="5"/>
      <c r="H40" s="5"/>
      <c r="I40" s="5"/>
      <c r="J40" s="5"/>
      <c r="K40" s="5"/>
      <c r="L40" s="5"/>
      <c r="M40" s="5"/>
      <c r="N40" s="5"/>
      <c r="O40" s="5"/>
      <c r="P40" s="5"/>
    </row>
    <row r="41" spans="1:16" x14ac:dyDescent="0.35">
      <c r="A41" s="5"/>
      <c r="B41" s="5" t="s">
        <v>114</v>
      </c>
      <c r="C41" s="5"/>
      <c r="D41" s="5"/>
      <c r="E41" s="5"/>
      <c r="F41" s="5"/>
      <c r="G41" s="5"/>
      <c r="H41" s="5"/>
      <c r="I41" s="5"/>
      <c r="J41" s="30">
        <f>ROUND($J$37*0.1,-3)</f>
        <v>12553000</v>
      </c>
      <c r="K41" s="5"/>
      <c r="L41" s="5" t="s">
        <v>115</v>
      </c>
      <c r="M41" s="5"/>
      <c r="N41" s="5"/>
      <c r="O41" s="5"/>
      <c r="P41" s="5"/>
    </row>
    <row r="42" spans="1:16" x14ac:dyDescent="0.35">
      <c r="A42" s="5"/>
      <c r="B42" s="5" t="s">
        <v>116</v>
      </c>
      <c r="C42" s="5"/>
      <c r="D42" s="5"/>
      <c r="E42" s="5"/>
      <c r="F42" s="5"/>
      <c r="G42" s="5"/>
      <c r="H42" s="5"/>
      <c r="I42" s="5"/>
      <c r="J42" s="30">
        <f t="shared" ref="J42:J43" si="0">ROUND($J$37*0.1,-3)</f>
        <v>12553000</v>
      </c>
      <c r="K42" s="5"/>
      <c r="L42" s="5" t="s">
        <v>117</v>
      </c>
      <c r="M42" s="5"/>
      <c r="N42" s="5"/>
      <c r="O42" s="5"/>
      <c r="P42" s="5"/>
    </row>
    <row r="43" spans="1:16" x14ac:dyDescent="0.35">
      <c r="A43" s="5"/>
      <c r="B43" s="5" t="s">
        <v>118</v>
      </c>
      <c r="C43" s="5"/>
      <c r="D43" s="5"/>
      <c r="E43" s="5"/>
      <c r="F43" s="5"/>
      <c r="G43" s="5"/>
      <c r="H43" s="5"/>
      <c r="I43" s="5"/>
      <c r="J43" s="30">
        <f t="shared" si="0"/>
        <v>12553000</v>
      </c>
      <c r="K43" s="5"/>
      <c r="L43" s="5" t="s">
        <v>119</v>
      </c>
      <c r="M43" s="5"/>
      <c r="N43" s="5"/>
      <c r="O43" s="5"/>
      <c r="P43" s="5"/>
    </row>
    <row r="44" spans="1:16" x14ac:dyDescent="0.35">
      <c r="A44" s="5"/>
      <c r="B44" s="5"/>
      <c r="C44" s="5"/>
      <c r="D44" s="5"/>
      <c r="E44" s="5"/>
      <c r="F44" s="5"/>
      <c r="G44" s="5"/>
      <c r="H44" s="5"/>
      <c r="I44" s="5"/>
      <c r="J44" s="5"/>
      <c r="K44" s="5"/>
      <c r="L44" s="5"/>
      <c r="M44" s="5"/>
      <c r="N44" s="5"/>
      <c r="O44" s="5"/>
      <c r="P44" s="5"/>
    </row>
    <row r="45" spans="1:16" x14ac:dyDescent="0.35">
      <c r="A45" s="5"/>
      <c r="B45" s="26" t="s">
        <v>120</v>
      </c>
      <c r="C45" s="26"/>
      <c r="D45" s="26"/>
      <c r="E45" s="26"/>
      <c r="F45" s="26"/>
      <c r="G45" s="26"/>
      <c r="H45" s="26"/>
      <c r="I45" s="26"/>
      <c r="J45" s="29">
        <f>SUM(J37+J41+J42+J43)</f>
        <v>163190000</v>
      </c>
      <c r="K45" s="5"/>
      <c r="L45" s="5" t="s">
        <v>121</v>
      </c>
      <c r="M45" s="5"/>
      <c r="N45" s="5"/>
      <c r="O45" s="5"/>
      <c r="P45" s="5"/>
    </row>
    <row r="46" spans="1:16" x14ac:dyDescent="0.35">
      <c r="A46" s="5"/>
      <c r="B46" s="26" t="s">
        <v>122</v>
      </c>
      <c r="C46" s="26"/>
      <c r="D46" s="26"/>
      <c r="E46" s="26"/>
      <c r="F46" s="26"/>
      <c r="G46" s="26"/>
      <c r="H46" s="26"/>
      <c r="I46" s="26"/>
      <c r="J46" s="28">
        <f>J45/(I5*1000)</f>
        <v>326.38</v>
      </c>
      <c r="K46" s="5"/>
      <c r="L46" s="5" t="s">
        <v>123</v>
      </c>
      <c r="M46" s="5"/>
      <c r="N46" s="5"/>
      <c r="O46" s="5"/>
      <c r="P46" s="5"/>
    </row>
    <row r="47" spans="1:16" x14ac:dyDescent="0.35">
      <c r="A47" s="5"/>
      <c r="B47" s="5"/>
      <c r="C47" s="5"/>
      <c r="D47" s="5"/>
      <c r="E47" s="5"/>
      <c r="F47" s="5"/>
      <c r="G47" s="5"/>
      <c r="H47" s="5"/>
      <c r="I47" s="5"/>
      <c r="J47" s="5"/>
      <c r="K47" s="5"/>
      <c r="L47" s="5"/>
      <c r="M47" s="5"/>
      <c r="N47" s="5"/>
      <c r="O47" s="5"/>
      <c r="P47" s="5"/>
    </row>
    <row r="48" spans="1:16" x14ac:dyDescent="0.35">
      <c r="A48" s="5"/>
      <c r="B48" s="5" t="s">
        <v>207</v>
      </c>
      <c r="C48" s="5"/>
      <c r="D48" s="5"/>
      <c r="E48" s="5"/>
      <c r="F48" s="5"/>
      <c r="G48" s="5"/>
      <c r="H48" s="5"/>
      <c r="I48" s="5"/>
      <c r="J48" s="30">
        <f>ROUND($J$45*0.05,-3)</f>
        <v>8160000</v>
      </c>
      <c r="K48" s="5"/>
      <c r="L48" s="5" t="s">
        <v>125</v>
      </c>
      <c r="M48" s="5"/>
      <c r="N48" s="5"/>
      <c r="O48" s="5"/>
      <c r="P48" s="5"/>
    </row>
    <row r="49" spans="1:16" x14ac:dyDescent="0.35">
      <c r="A49" s="5"/>
      <c r="B49" s="26" t="s">
        <v>126</v>
      </c>
      <c r="C49" s="26"/>
      <c r="D49" s="26"/>
      <c r="E49" s="26"/>
      <c r="F49" s="26"/>
      <c r="G49" s="26"/>
      <c r="H49" s="26"/>
      <c r="I49" s="26"/>
      <c r="J49" s="29">
        <f>J48+J45</f>
        <v>171350000</v>
      </c>
      <c r="K49" s="5"/>
      <c r="L49" s="5" t="s">
        <v>127</v>
      </c>
      <c r="M49" s="5"/>
      <c r="N49" s="5"/>
      <c r="O49" s="5"/>
      <c r="P49" s="5"/>
    </row>
    <row r="50" spans="1:16" x14ac:dyDescent="0.35">
      <c r="A50" s="5"/>
      <c r="B50" s="26" t="s">
        <v>128</v>
      </c>
      <c r="C50" s="26"/>
      <c r="D50" s="26"/>
      <c r="E50" s="26"/>
      <c r="F50" s="26"/>
      <c r="G50" s="26"/>
      <c r="H50" s="26"/>
      <c r="I50" s="26"/>
      <c r="J50" s="28">
        <f>J49/(I5*1000)</f>
        <v>342.7</v>
      </c>
      <c r="K50" s="5"/>
      <c r="L50" s="5" t="s">
        <v>129</v>
      </c>
      <c r="M50" s="5"/>
      <c r="N50" s="5"/>
      <c r="O50" s="5"/>
      <c r="P50" s="5"/>
    </row>
    <row r="51" spans="1:16" x14ac:dyDescent="0.35">
      <c r="A51" s="5"/>
      <c r="B51" s="5"/>
      <c r="C51" s="5"/>
      <c r="D51" s="5"/>
      <c r="E51" s="5"/>
      <c r="F51" s="5"/>
      <c r="G51" s="5"/>
      <c r="H51" s="5"/>
      <c r="I51" s="5"/>
      <c r="J51" s="5"/>
      <c r="K51" s="5"/>
      <c r="L51" s="5"/>
      <c r="M51" s="5"/>
      <c r="N51" s="5"/>
      <c r="O51" s="5"/>
      <c r="P51" s="5"/>
    </row>
    <row r="52" spans="1:16" x14ac:dyDescent="0.35">
      <c r="A52" s="5"/>
      <c r="B52" s="5" t="s">
        <v>364</v>
      </c>
      <c r="C52" s="5"/>
      <c r="D52" s="5"/>
      <c r="E52" s="5"/>
      <c r="F52" s="5"/>
      <c r="G52" s="5"/>
      <c r="H52" s="5"/>
      <c r="I52" s="5"/>
      <c r="J52" s="30">
        <f>ROUND($J$49*0.06,-3)</f>
        <v>10281000</v>
      </c>
      <c r="K52" s="5"/>
      <c r="L52" s="5" t="s">
        <v>365</v>
      </c>
      <c r="M52" s="5"/>
      <c r="N52" s="5"/>
      <c r="O52" s="5"/>
      <c r="P52" s="5"/>
    </row>
    <row r="53" spans="1:16" x14ac:dyDescent="0.35">
      <c r="A53" s="5"/>
      <c r="B53" s="5" t="s">
        <v>132</v>
      </c>
      <c r="C53" s="5"/>
      <c r="D53" s="5"/>
      <c r="E53" s="5"/>
      <c r="F53" s="5"/>
      <c r="G53" s="5"/>
      <c r="H53" s="5"/>
      <c r="I53" s="5"/>
      <c r="J53" s="30">
        <f>ROUND((J45+J48)*IF(I3,0.15,0),-3)</f>
        <v>0</v>
      </c>
      <c r="K53" s="5"/>
      <c r="L53" s="5" t="s">
        <v>133</v>
      </c>
      <c r="M53" s="5"/>
      <c r="N53" s="5"/>
      <c r="O53" s="5"/>
      <c r="P53" s="5"/>
    </row>
    <row r="54" spans="1:16" x14ac:dyDescent="0.35">
      <c r="A54" s="5"/>
      <c r="B54" s="5"/>
      <c r="C54" s="5"/>
      <c r="D54" s="5"/>
      <c r="E54" s="5"/>
      <c r="F54" s="5"/>
      <c r="G54" s="5"/>
      <c r="H54" s="5"/>
      <c r="I54" s="5"/>
      <c r="J54" s="5"/>
      <c r="K54" s="5"/>
      <c r="L54" s="5"/>
      <c r="M54" s="5"/>
      <c r="N54" s="5"/>
      <c r="O54" s="5"/>
      <c r="P54" s="5"/>
    </row>
    <row r="55" spans="1:16" x14ac:dyDescent="0.35">
      <c r="A55" s="5"/>
      <c r="B55" s="5"/>
      <c r="C55" s="5"/>
      <c r="D55" s="5"/>
      <c r="E55" s="5"/>
      <c r="F55" s="5"/>
      <c r="G55" s="5"/>
      <c r="H55" s="5"/>
      <c r="I55" s="5"/>
      <c r="J55" s="5"/>
      <c r="K55" s="5"/>
      <c r="L55" s="5"/>
      <c r="M55" s="5"/>
      <c r="N55" s="5"/>
      <c r="O55" s="5"/>
      <c r="P55" s="5"/>
    </row>
    <row r="56" spans="1:16" x14ac:dyDescent="0.35">
      <c r="A56" s="5"/>
      <c r="B56" s="26" t="s">
        <v>312</v>
      </c>
      <c r="C56" s="26"/>
      <c r="D56" s="26"/>
      <c r="E56" s="26"/>
      <c r="F56" s="26"/>
      <c r="G56" s="26"/>
      <c r="H56" s="26"/>
      <c r="I56" s="26"/>
      <c r="J56" s="29">
        <f>J45+J48+J52+J53</f>
        <v>181631000</v>
      </c>
      <c r="K56" s="5"/>
      <c r="L56" s="5" t="s">
        <v>135</v>
      </c>
      <c r="M56" s="5"/>
      <c r="N56" s="5"/>
      <c r="O56" s="5"/>
      <c r="P56" s="5"/>
    </row>
    <row r="57" spans="1:16" x14ac:dyDescent="0.35">
      <c r="A57" s="5"/>
      <c r="B57" s="26" t="s">
        <v>313</v>
      </c>
      <c r="C57" s="26"/>
      <c r="D57" s="26"/>
      <c r="E57" s="26"/>
      <c r="F57" s="26"/>
      <c r="G57" s="26"/>
      <c r="H57" s="26"/>
      <c r="I57" s="26"/>
      <c r="J57" s="28">
        <f>J56/(I5*1000)</f>
        <v>363.262</v>
      </c>
      <c r="K57" s="5"/>
      <c r="L57" s="5" t="s">
        <v>137</v>
      </c>
      <c r="M57" s="5"/>
      <c r="N57" s="5"/>
      <c r="O57" s="5"/>
      <c r="P57" s="5"/>
    </row>
    <row r="58" spans="1:16" x14ac:dyDescent="0.35">
      <c r="A58" s="5"/>
      <c r="B58" s="5"/>
      <c r="C58" s="5"/>
      <c r="D58" s="5"/>
      <c r="E58" s="5"/>
      <c r="F58" s="5"/>
      <c r="G58" s="5"/>
      <c r="H58" s="5"/>
      <c r="I58" s="5"/>
      <c r="J58" s="5"/>
      <c r="K58" s="5"/>
      <c r="L58" s="5"/>
      <c r="M58" s="5"/>
      <c r="N58" s="5"/>
      <c r="O58" s="5"/>
      <c r="P58" s="5"/>
    </row>
    <row r="59" spans="1:16" x14ac:dyDescent="0.35">
      <c r="A59" s="5" t="s">
        <v>138</v>
      </c>
      <c r="B59" s="5"/>
      <c r="C59" s="5"/>
      <c r="D59" s="5"/>
      <c r="E59" s="5"/>
      <c r="F59" s="5"/>
      <c r="G59" s="5"/>
      <c r="H59" s="5"/>
      <c r="I59" s="5"/>
      <c r="J59" s="5"/>
      <c r="K59" s="5"/>
      <c r="L59" s="5"/>
      <c r="M59" s="5"/>
      <c r="N59" s="5"/>
      <c r="O59" s="5"/>
      <c r="P59" s="5"/>
    </row>
    <row r="60" spans="1:16" x14ac:dyDescent="0.35">
      <c r="A60" s="5"/>
      <c r="B60" s="5" t="s">
        <v>366</v>
      </c>
      <c r="C60" s="5"/>
      <c r="D60" s="5"/>
      <c r="E60" s="5"/>
      <c r="F60" s="5"/>
      <c r="G60" s="5"/>
      <c r="H60" s="5"/>
      <c r="I60" s="5"/>
      <c r="J60" s="27">
        <f>ROUND(0.5*2080*I26/(I5*1000),3)</f>
        <v>0.125</v>
      </c>
      <c r="K60" s="5"/>
      <c r="L60" s="5" t="s">
        <v>140</v>
      </c>
      <c r="M60" s="5"/>
      <c r="N60" s="5"/>
      <c r="O60" s="5"/>
      <c r="P60" s="5"/>
    </row>
    <row r="61" spans="1:16" x14ac:dyDescent="0.35">
      <c r="A61" s="5"/>
      <c r="B61" s="5" t="s">
        <v>367</v>
      </c>
      <c r="C61" s="5"/>
      <c r="D61" s="5"/>
      <c r="E61" s="5"/>
      <c r="F61" s="5"/>
      <c r="G61" s="5"/>
      <c r="H61" s="5"/>
      <c r="I61" s="5"/>
      <c r="J61" s="27">
        <f>ROUND(IF(I5&lt;300,J37*0.005,J37*0.003)/(I6*I5*1000),2)</f>
        <v>0.75</v>
      </c>
      <c r="K61" s="5"/>
      <c r="L61" s="5" t="s">
        <v>142</v>
      </c>
      <c r="M61" s="5"/>
      <c r="N61" s="5"/>
      <c r="O61" s="5"/>
      <c r="P61" s="5"/>
    </row>
    <row r="62" spans="1:16" x14ac:dyDescent="0.35">
      <c r="A62" s="5"/>
      <c r="B62" s="5" t="s">
        <v>143</v>
      </c>
      <c r="C62" s="5"/>
      <c r="D62" s="5"/>
      <c r="E62" s="5"/>
      <c r="F62" s="5"/>
      <c r="G62" s="5"/>
      <c r="H62" s="5"/>
      <c r="I62" s="5"/>
      <c r="J62" s="27">
        <f>ROUND(0.03*(J60+0.4*J61),4)</f>
        <v>1.2800000000000001E-2</v>
      </c>
      <c r="K62" s="5"/>
      <c r="L62" s="5" t="s">
        <v>144</v>
      </c>
      <c r="M62" s="5"/>
      <c r="N62" s="5"/>
      <c r="O62" s="5"/>
      <c r="P62" s="5"/>
    </row>
    <row r="63" spans="1:16" x14ac:dyDescent="0.35">
      <c r="A63" s="5"/>
      <c r="B63" s="5"/>
      <c r="C63" s="5"/>
      <c r="D63" s="5"/>
      <c r="E63" s="5"/>
      <c r="F63" s="5"/>
      <c r="G63" s="5"/>
      <c r="H63" s="5"/>
      <c r="I63" s="5"/>
      <c r="J63" s="5"/>
      <c r="K63" s="5"/>
      <c r="L63" s="5"/>
      <c r="M63" s="5"/>
      <c r="N63" s="5"/>
      <c r="O63" s="5"/>
      <c r="P63" s="5"/>
    </row>
    <row r="64" spans="1:16" x14ac:dyDescent="0.35">
      <c r="A64" s="5"/>
      <c r="B64" s="5"/>
      <c r="C64" s="5"/>
      <c r="D64" s="5"/>
      <c r="E64" s="5"/>
      <c r="F64" s="5"/>
      <c r="G64" s="5"/>
      <c r="H64" s="5"/>
      <c r="I64" s="5"/>
      <c r="J64" s="5"/>
      <c r="K64" s="5"/>
      <c r="L64" s="5"/>
      <c r="M64" s="5"/>
      <c r="N64" s="5"/>
      <c r="O64" s="5"/>
      <c r="P64" s="5"/>
    </row>
    <row r="65" spans="1:16" x14ac:dyDescent="0.35">
      <c r="A65" s="5"/>
      <c r="B65" s="26" t="s">
        <v>145</v>
      </c>
      <c r="C65" s="26"/>
      <c r="D65" s="26"/>
      <c r="E65" s="26"/>
      <c r="F65" s="26"/>
      <c r="G65" s="26"/>
      <c r="H65" s="26"/>
      <c r="I65" s="26"/>
      <c r="J65" s="25">
        <f>SUM(J60+J61+J62)</f>
        <v>0.88780000000000003</v>
      </c>
      <c r="K65" s="5"/>
      <c r="L65" s="5" t="s">
        <v>146</v>
      </c>
      <c r="M65" s="5"/>
      <c r="N65" s="5"/>
      <c r="O65" s="5"/>
      <c r="P65" s="5"/>
    </row>
    <row r="66" spans="1:16" x14ac:dyDescent="0.35">
      <c r="A66" s="5"/>
      <c r="B66" s="5"/>
      <c r="C66" s="5"/>
      <c r="D66" s="5"/>
      <c r="E66" s="5"/>
      <c r="F66" s="5"/>
      <c r="G66" s="5"/>
      <c r="H66" s="5"/>
      <c r="I66" s="5"/>
      <c r="J66" s="5"/>
      <c r="K66" s="5"/>
      <c r="L66" s="5"/>
      <c r="M66" s="5"/>
      <c r="N66" s="5"/>
      <c r="O66" s="5"/>
      <c r="P66" s="5"/>
    </row>
    <row r="67" spans="1:16" x14ac:dyDescent="0.35">
      <c r="A67" s="5" t="s">
        <v>147</v>
      </c>
      <c r="B67" s="5"/>
      <c r="C67" s="5"/>
      <c r="D67" s="5"/>
      <c r="E67" s="5"/>
      <c r="F67" s="5"/>
      <c r="G67" s="5"/>
      <c r="H67" s="5"/>
      <c r="I67" s="5"/>
      <c r="J67" s="5"/>
      <c r="K67" s="5"/>
      <c r="L67" s="5"/>
      <c r="M67" s="5"/>
      <c r="N67" s="5"/>
      <c r="O67" s="5"/>
      <c r="P67" s="5"/>
    </row>
    <row r="68" spans="1:16" x14ac:dyDescent="0.35">
      <c r="A68" s="5"/>
      <c r="B68" s="5" t="s">
        <v>368</v>
      </c>
      <c r="C68" s="5"/>
      <c r="D68" s="5"/>
      <c r="E68" s="5"/>
      <c r="F68" s="5"/>
      <c r="G68" s="5"/>
      <c r="H68" s="5"/>
      <c r="I68" s="5"/>
      <c r="J68" s="27">
        <f>ROUND(I18*I22/(I5*1000),2)</f>
        <v>0.52</v>
      </c>
      <c r="K68" s="5"/>
      <c r="L68" s="5" t="s">
        <v>317</v>
      </c>
      <c r="M68" s="5"/>
      <c r="N68" s="5"/>
      <c r="O68" s="5"/>
      <c r="P68" s="5"/>
    </row>
    <row r="69" spans="1:16" x14ac:dyDescent="0.35">
      <c r="A69" s="5"/>
      <c r="B69" s="5" t="s">
        <v>385</v>
      </c>
      <c r="C69" s="5"/>
      <c r="D69" s="5"/>
      <c r="E69" s="5"/>
      <c r="F69" s="5"/>
      <c r="G69" s="5"/>
      <c r="H69" s="5"/>
      <c r="I69" s="5"/>
      <c r="J69" s="27">
        <f xml:space="preserve"> (0.4*(I11^2.9)*(I16^0.71)*I23)/(8760)</f>
        <v>0.39255272895583265</v>
      </c>
      <c r="K69" s="5"/>
      <c r="L69" s="5" t="s">
        <v>370</v>
      </c>
      <c r="M69" s="5"/>
      <c r="N69" s="5"/>
      <c r="O69" s="5"/>
      <c r="P69" s="5"/>
    </row>
    <row r="70" spans="1:16" x14ac:dyDescent="0.35">
      <c r="A70" s="5"/>
      <c r="B70" s="5" t="s">
        <v>371</v>
      </c>
      <c r="C70" s="5"/>
      <c r="D70" s="5"/>
      <c r="E70" s="5"/>
      <c r="F70" s="5"/>
      <c r="G70" s="5"/>
      <c r="H70" s="5"/>
      <c r="I70" s="5"/>
      <c r="J70" s="27">
        <f>IF(B113,I20*I24*10,0)</f>
        <v>0.32867027460575071</v>
      </c>
      <c r="K70" s="5"/>
      <c r="L70" s="5" t="s">
        <v>372</v>
      </c>
      <c r="M70" s="5"/>
      <c r="N70" s="5"/>
      <c r="O70" s="5"/>
      <c r="P70" s="5"/>
    </row>
    <row r="71" spans="1:16" x14ac:dyDescent="0.35">
      <c r="A71" s="5"/>
      <c r="B71" s="5" t="s">
        <v>373</v>
      </c>
      <c r="C71" s="5"/>
      <c r="D71" s="5"/>
      <c r="E71" s="5"/>
      <c r="F71" s="5"/>
      <c r="G71" s="5"/>
      <c r="H71" s="5"/>
      <c r="I71" s="5"/>
      <c r="J71" s="27">
        <f>ROUND(I19/1000*I25/I5,3)</f>
        <v>7.0000000000000001E-3</v>
      </c>
      <c r="K71" s="5"/>
      <c r="L71" s="5" t="s">
        <v>374</v>
      </c>
      <c r="M71" s="5"/>
      <c r="N71" s="5"/>
      <c r="O71" s="5"/>
      <c r="P71" s="5"/>
    </row>
    <row r="72" spans="1:16" x14ac:dyDescent="0.35">
      <c r="A72" s="5"/>
      <c r="B72" s="5"/>
      <c r="C72" s="5"/>
      <c r="D72" s="5"/>
      <c r="E72" s="5"/>
      <c r="F72" s="5"/>
      <c r="G72" s="5"/>
      <c r="H72" s="5"/>
      <c r="I72" s="5"/>
      <c r="J72" s="5"/>
      <c r="K72" s="5"/>
      <c r="L72" s="5"/>
      <c r="M72" s="5"/>
      <c r="N72" s="5"/>
      <c r="O72" s="5"/>
      <c r="P72" s="5"/>
    </row>
    <row r="73" spans="1:16" x14ac:dyDescent="0.35">
      <c r="A73" s="5"/>
      <c r="B73" s="5"/>
      <c r="C73" s="5"/>
      <c r="D73" s="5"/>
      <c r="E73" s="5"/>
      <c r="F73" s="5"/>
      <c r="G73" s="5"/>
      <c r="H73" s="5"/>
      <c r="I73" s="5"/>
      <c r="J73" s="5"/>
      <c r="K73" s="5"/>
      <c r="L73" s="5"/>
      <c r="M73" s="5"/>
      <c r="N73" s="5"/>
      <c r="O73" s="5"/>
      <c r="P73" s="5"/>
    </row>
    <row r="74" spans="1:16" x14ac:dyDescent="0.35">
      <c r="A74" s="5"/>
      <c r="B74" s="26" t="s">
        <v>156</v>
      </c>
      <c r="C74" s="26"/>
      <c r="D74" s="26"/>
      <c r="E74" s="26"/>
      <c r="F74" s="26"/>
      <c r="G74" s="26"/>
      <c r="H74" s="26"/>
      <c r="I74" s="26"/>
      <c r="J74" s="25">
        <f>SUM(J68+J69+J70+J71)</f>
        <v>1.2482230035615831</v>
      </c>
      <c r="K74" s="5"/>
      <c r="L74" s="5" t="s">
        <v>157</v>
      </c>
      <c r="M74" s="5"/>
      <c r="N74" s="5"/>
      <c r="O74" s="5"/>
      <c r="P74" s="5"/>
    </row>
    <row r="75" spans="1:16" x14ac:dyDescent="0.35">
      <c r="A75" s="5"/>
      <c r="B75" s="5"/>
      <c r="C75" s="5"/>
      <c r="D75" s="5"/>
      <c r="E75" s="5"/>
      <c r="F75" s="5"/>
      <c r="G75" s="5"/>
      <c r="H75" s="5"/>
      <c r="I75" s="5"/>
      <c r="J75" s="5"/>
      <c r="K75" s="5"/>
      <c r="L75" s="5"/>
      <c r="M75" s="5"/>
      <c r="N75" s="5"/>
      <c r="O75" s="5"/>
      <c r="P75" s="5"/>
    </row>
    <row r="76" spans="1:16" x14ac:dyDescent="0.35">
      <c r="A76" s="5"/>
      <c r="B76" s="5"/>
      <c r="C76" s="5"/>
      <c r="D76" s="5"/>
      <c r="E76" s="5"/>
      <c r="F76" s="5"/>
      <c r="G76" s="10" t="s">
        <v>158</v>
      </c>
      <c r="H76" s="24">
        <f>I14/100</f>
        <v>0.85</v>
      </c>
      <c r="I76" s="5"/>
      <c r="J76" s="5"/>
      <c r="K76" s="5"/>
      <c r="L76" s="5"/>
      <c r="M76" s="5"/>
      <c r="N76" s="5"/>
      <c r="O76" s="5"/>
      <c r="P76" s="5"/>
    </row>
    <row r="77" spans="1:16" x14ac:dyDescent="0.35">
      <c r="A77" s="5"/>
      <c r="B77" s="5"/>
      <c r="C77" s="5"/>
      <c r="D77" s="5"/>
      <c r="E77" s="5"/>
      <c r="F77" s="5"/>
      <c r="G77" s="10" t="s">
        <v>159</v>
      </c>
      <c r="H77" s="9">
        <f>H76*I5*8760</f>
        <v>3723000</v>
      </c>
      <c r="I77" s="5"/>
      <c r="J77" s="5"/>
      <c r="K77" s="5"/>
      <c r="L77" s="5"/>
      <c r="M77" s="5"/>
      <c r="N77" s="5"/>
      <c r="O77" s="5"/>
      <c r="P77" s="5"/>
    </row>
    <row r="78" spans="1:16" x14ac:dyDescent="0.35">
      <c r="A78" s="5"/>
      <c r="B78" s="5"/>
      <c r="C78" s="5"/>
      <c r="D78" s="5"/>
      <c r="E78" s="5"/>
      <c r="F78" s="5"/>
      <c r="G78" s="10" t="s">
        <v>160</v>
      </c>
      <c r="H78" s="22">
        <f>H77*1000*I7/1000000</f>
        <v>35368500</v>
      </c>
      <c r="I78" s="5"/>
      <c r="J78" s="5"/>
      <c r="K78" s="5"/>
      <c r="L78" s="5"/>
      <c r="M78" s="5"/>
      <c r="N78" s="5"/>
      <c r="O78" s="5"/>
      <c r="P78" s="5"/>
    </row>
    <row r="79" spans="1:16" x14ac:dyDescent="0.35">
      <c r="A79" s="5"/>
      <c r="B79" s="5"/>
      <c r="C79" s="5"/>
      <c r="D79" s="5"/>
      <c r="E79" s="5"/>
      <c r="F79" s="5"/>
      <c r="G79" s="10" t="s">
        <v>324</v>
      </c>
      <c r="H79" s="22">
        <f>I8*H78/2000</f>
        <v>5305.2749999999996</v>
      </c>
      <c r="I79" s="5" t="s">
        <v>326</v>
      </c>
      <c r="J79" s="5"/>
      <c r="K79" s="5"/>
      <c r="L79" s="5"/>
      <c r="M79" s="5"/>
      <c r="N79" s="5"/>
      <c r="O79" s="5"/>
      <c r="P79" s="5"/>
    </row>
    <row r="80" spans="1:16" x14ac:dyDescent="0.35">
      <c r="A80" s="5"/>
      <c r="B80" s="5"/>
      <c r="C80" s="5"/>
      <c r="D80" s="5"/>
      <c r="E80" s="5"/>
      <c r="F80" s="5"/>
      <c r="G80" s="10" t="s">
        <v>325</v>
      </c>
      <c r="H80" s="22">
        <f>I15*H79/100</f>
        <v>3978.9562500000002</v>
      </c>
      <c r="I80" s="5" t="str">
        <f>"at removal efficiency = "&amp;I15&amp;"%"</f>
        <v>at removal efficiency = 75%</v>
      </c>
      <c r="J80" s="5"/>
      <c r="K80" s="5"/>
      <c r="L80" s="5"/>
      <c r="M80" s="5"/>
      <c r="N80" s="5"/>
      <c r="O80" s="5"/>
      <c r="P80" s="5"/>
    </row>
    <row r="81" spans="1:16" x14ac:dyDescent="0.35">
      <c r="A81" s="5"/>
      <c r="B81" s="5"/>
      <c r="C81" s="5"/>
      <c r="D81" s="5"/>
      <c r="E81" s="5"/>
      <c r="F81" s="5"/>
      <c r="G81" s="10" t="s">
        <v>327</v>
      </c>
      <c r="H81" s="22">
        <f>H79-H80</f>
        <v>1326.3187499999995</v>
      </c>
      <c r="I81" s="5"/>
      <c r="J81" s="5"/>
      <c r="K81" s="5"/>
      <c r="L81" s="5"/>
      <c r="M81" s="5"/>
      <c r="N81" s="5"/>
      <c r="O81" s="5"/>
      <c r="P81" s="5"/>
    </row>
    <row r="82" spans="1:16" x14ac:dyDescent="0.35">
      <c r="A82" s="5"/>
      <c r="B82" s="5"/>
      <c r="C82" s="5"/>
      <c r="D82" s="5"/>
      <c r="E82" s="5"/>
      <c r="F82" s="5"/>
      <c r="G82" s="10" t="s">
        <v>328</v>
      </c>
      <c r="H82" s="5">
        <f>H81*2000/H78</f>
        <v>7.4999999999999969E-2</v>
      </c>
      <c r="I82" s="5" t="str">
        <f>IF(H82&gt;=D101, "Value is AT or ABOVE a ", "Value is BELOW a ")&amp;D101&amp;" floor rate"</f>
        <v>Value is AT or ABOVE a 0.05 floor rate</v>
      </c>
      <c r="J82" s="5"/>
      <c r="K82" s="5"/>
      <c r="L82" s="5"/>
      <c r="M82" s="5"/>
      <c r="N82" s="5"/>
      <c r="O82" s="5"/>
      <c r="P82" s="5"/>
    </row>
    <row r="83" spans="1:16" x14ac:dyDescent="0.35">
      <c r="A83" s="5"/>
      <c r="B83" s="5"/>
      <c r="C83" s="5"/>
      <c r="D83" s="5"/>
      <c r="E83" s="5"/>
      <c r="F83" s="5"/>
      <c r="G83" s="5"/>
      <c r="H83" s="5"/>
      <c r="I83" s="5"/>
      <c r="J83" s="5"/>
      <c r="K83" s="5"/>
      <c r="L83" s="5"/>
      <c r="M83" s="5"/>
      <c r="N83" s="5"/>
      <c r="O83" s="5"/>
      <c r="P83" s="5"/>
    </row>
    <row r="84" spans="1:16" x14ac:dyDescent="0.35">
      <c r="A84" s="5"/>
      <c r="B84" s="5"/>
      <c r="C84" s="5"/>
      <c r="D84" s="5"/>
      <c r="E84" s="5"/>
      <c r="F84" s="5"/>
      <c r="G84" s="10" t="s">
        <v>166</v>
      </c>
      <c r="H84" s="17">
        <f>0.143</f>
        <v>0.14299999999999999</v>
      </c>
      <c r="I84" s="5" t="s">
        <v>375</v>
      </c>
      <c r="J84" s="5"/>
      <c r="K84" s="5"/>
      <c r="L84" s="5"/>
      <c r="M84" s="5"/>
      <c r="N84" s="5"/>
      <c r="O84" s="5"/>
      <c r="P84" s="5"/>
    </row>
    <row r="85" spans="1:16" x14ac:dyDescent="0.35">
      <c r="A85" s="5"/>
      <c r="B85" s="5"/>
      <c r="C85" s="5"/>
      <c r="D85" s="5"/>
      <c r="E85" s="5"/>
      <c r="F85" s="5"/>
      <c r="G85" s="5"/>
      <c r="H85" s="10" t="s">
        <v>168</v>
      </c>
      <c r="I85" s="9">
        <f>ROUND(H84*J56,-3)</f>
        <v>25973000</v>
      </c>
      <c r="J85" s="5"/>
      <c r="K85" s="5"/>
      <c r="L85" s="5"/>
      <c r="M85" s="5"/>
      <c r="N85" s="5"/>
      <c r="O85" s="5"/>
      <c r="P85" s="5"/>
    </row>
    <row r="86" spans="1:16" x14ac:dyDescent="0.35">
      <c r="A86" s="5"/>
      <c r="B86" s="5"/>
      <c r="C86" s="5"/>
      <c r="D86" s="5"/>
      <c r="E86" s="5"/>
      <c r="F86" s="5"/>
      <c r="G86" s="5"/>
      <c r="H86" s="10" t="s">
        <v>169</v>
      </c>
      <c r="I86" s="9">
        <f>ROUND(J65*I5*1000,-3)</f>
        <v>444000</v>
      </c>
      <c r="J86" s="5"/>
      <c r="K86" s="5"/>
      <c r="L86" s="5"/>
      <c r="M86" s="5"/>
      <c r="N86" s="5"/>
      <c r="O86" s="5"/>
      <c r="P86" s="5"/>
    </row>
    <row r="87" spans="1:16" x14ac:dyDescent="0.35">
      <c r="A87" s="5"/>
      <c r="B87" s="5"/>
      <c r="C87" s="5"/>
      <c r="D87" s="5"/>
      <c r="E87" s="5"/>
      <c r="F87" s="5"/>
      <c r="G87" s="5"/>
      <c r="H87" s="10" t="s">
        <v>170</v>
      </c>
      <c r="I87" s="9">
        <f>ROUND(J74*H77,-3)</f>
        <v>4647000</v>
      </c>
      <c r="J87" s="5"/>
      <c r="K87" s="5"/>
      <c r="L87" s="5"/>
      <c r="M87" s="5"/>
      <c r="N87" s="5"/>
      <c r="O87" s="5"/>
      <c r="P87" s="5"/>
    </row>
    <row r="88" spans="1:16" x14ac:dyDescent="0.35">
      <c r="A88" s="5"/>
      <c r="B88" s="5"/>
      <c r="C88" s="5"/>
      <c r="D88" s="5"/>
      <c r="E88" s="5"/>
      <c r="F88" s="5"/>
      <c r="G88" s="8"/>
      <c r="H88" s="7" t="s">
        <v>376</v>
      </c>
      <c r="I88" s="6">
        <f>SUM(I85:I87)</f>
        <v>31064000</v>
      </c>
      <c r="J88" s="5"/>
      <c r="K88" s="5"/>
      <c r="L88" s="5"/>
      <c r="M88" s="5"/>
      <c r="N88" s="5"/>
      <c r="O88" s="5"/>
      <c r="P88" s="5"/>
    </row>
    <row r="89" spans="1:16" ht="15" thickBot="1" x14ac:dyDescent="0.4">
      <c r="A89" s="5"/>
      <c r="B89" s="5"/>
      <c r="C89" s="5"/>
      <c r="D89" s="5"/>
      <c r="E89" s="5"/>
      <c r="F89" s="5"/>
      <c r="G89" s="5"/>
      <c r="H89" s="5"/>
      <c r="I89" s="5"/>
      <c r="J89" s="5"/>
      <c r="K89" s="5"/>
      <c r="L89" s="5"/>
      <c r="M89" s="5"/>
      <c r="N89" s="5"/>
      <c r="O89" s="5"/>
      <c r="P89" s="5"/>
    </row>
    <row r="90" spans="1:16" ht="15" thickTop="1" x14ac:dyDescent="0.35">
      <c r="A90" s="5"/>
      <c r="B90" s="5"/>
      <c r="C90" s="5"/>
      <c r="D90" s="5"/>
      <c r="E90" s="5"/>
      <c r="F90" s="5"/>
      <c r="G90" s="13"/>
      <c r="H90" s="12" t="s">
        <v>172</v>
      </c>
      <c r="I90" s="16">
        <f>I85/$H$77</f>
        <v>6.9763631479989252</v>
      </c>
      <c r="J90" s="5"/>
      <c r="K90" s="5"/>
      <c r="L90" s="5"/>
      <c r="M90" s="5"/>
      <c r="N90" s="5"/>
      <c r="O90" s="5"/>
      <c r="P90" s="5"/>
    </row>
    <row r="91" spans="1:16" x14ac:dyDescent="0.35">
      <c r="A91" s="5"/>
      <c r="B91" s="5"/>
      <c r="C91" s="5"/>
      <c r="D91" s="5"/>
      <c r="E91" s="5"/>
      <c r="F91" s="5"/>
      <c r="G91" s="5"/>
      <c r="H91" s="10" t="s">
        <v>173</v>
      </c>
      <c r="I91" s="15">
        <f t="shared" ref="I91:I92" si="1">I86/$H$77</f>
        <v>0.11925866236905722</v>
      </c>
      <c r="J91" s="5"/>
      <c r="K91" s="5"/>
      <c r="L91" s="5"/>
      <c r="M91" s="5"/>
      <c r="N91" s="5"/>
      <c r="O91" s="5"/>
      <c r="P91" s="5"/>
    </row>
    <row r="92" spans="1:16" x14ac:dyDescent="0.35">
      <c r="A92" s="5"/>
      <c r="B92" s="5"/>
      <c r="C92" s="5"/>
      <c r="D92" s="5"/>
      <c r="E92" s="5"/>
      <c r="F92" s="5"/>
      <c r="G92" s="5"/>
      <c r="H92" s="10" t="s">
        <v>174</v>
      </c>
      <c r="I92" s="15">
        <f t="shared" si="1"/>
        <v>1.2481869460112813</v>
      </c>
      <c r="J92" s="5"/>
      <c r="K92" s="5"/>
      <c r="L92" s="5"/>
      <c r="M92" s="5"/>
      <c r="N92" s="5"/>
      <c r="O92" s="5"/>
      <c r="P92" s="5"/>
    </row>
    <row r="93" spans="1:16" x14ac:dyDescent="0.35">
      <c r="A93" s="5"/>
      <c r="B93" s="5"/>
      <c r="C93" s="5"/>
      <c r="D93" s="5"/>
      <c r="E93" s="5"/>
      <c r="F93" s="5"/>
      <c r="G93" s="8"/>
      <c r="H93" s="7" t="s">
        <v>377</v>
      </c>
      <c r="I93" s="14">
        <f>SUM(I90:I92)</f>
        <v>8.3438087563792642</v>
      </c>
      <c r="J93" s="5"/>
      <c r="K93" s="5"/>
      <c r="L93" s="5"/>
      <c r="M93" s="5"/>
      <c r="N93" s="5"/>
      <c r="O93" s="5"/>
      <c r="P93" s="5"/>
    </row>
    <row r="94" spans="1:16" ht="15" thickBot="1" x14ac:dyDescent="0.4">
      <c r="A94" s="5"/>
      <c r="B94" s="5"/>
      <c r="C94" s="5"/>
      <c r="D94" s="5"/>
      <c r="E94" s="5"/>
      <c r="F94" s="5"/>
      <c r="G94" s="5"/>
      <c r="H94" s="5"/>
      <c r="I94" s="5"/>
      <c r="J94" s="5"/>
      <c r="K94" s="5"/>
      <c r="L94" s="5"/>
      <c r="M94" s="5"/>
      <c r="N94" s="5"/>
      <c r="O94" s="5"/>
      <c r="P94" s="5"/>
    </row>
    <row r="95" spans="1:16" ht="15" thickTop="1" x14ac:dyDescent="0.35">
      <c r="A95" s="5"/>
      <c r="B95" s="5"/>
      <c r="C95" s="5"/>
      <c r="D95" s="5"/>
      <c r="E95" s="5"/>
      <c r="F95" s="5"/>
      <c r="G95" s="13"/>
      <c r="H95" s="12" t="s">
        <v>176</v>
      </c>
      <c r="I95" s="11">
        <f>I85/$H$80</f>
        <v>6527.5912495896373</v>
      </c>
      <c r="J95" s="5"/>
      <c r="K95" s="5"/>
      <c r="L95" s="5"/>
      <c r="M95" s="5"/>
      <c r="N95" s="5"/>
      <c r="O95" s="5"/>
      <c r="P95" s="5"/>
    </row>
    <row r="96" spans="1:16" x14ac:dyDescent="0.35">
      <c r="A96" s="5"/>
      <c r="B96" s="5"/>
      <c r="C96" s="5"/>
      <c r="D96" s="5"/>
      <c r="E96" s="5"/>
      <c r="F96" s="5"/>
      <c r="G96" s="5"/>
      <c r="H96" s="10" t="s">
        <v>177</v>
      </c>
      <c r="I96" s="9">
        <f t="shared" ref="I96:I97" si="2">I86/$H$80</f>
        <v>111.58705250905938</v>
      </c>
      <c r="J96" s="22"/>
      <c r="K96" s="5"/>
      <c r="L96" s="5"/>
      <c r="M96" s="5"/>
      <c r="N96" s="5"/>
      <c r="O96" s="5"/>
      <c r="P96" s="5"/>
    </row>
    <row r="97" spans="1:16" x14ac:dyDescent="0.35">
      <c r="A97" s="5"/>
      <c r="B97" s="5"/>
      <c r="C97" s="5"/>
      <c r="D97" s="5"/>
      <c r="E97" s="5"/>
      <c r="F97" s="5"/>
      <c r="G97" s="5"/>
      <c r="H97" s="10" t="s">
        <v>178</v>
      </c>
      <c r="I97" s="9">
        <f t="shared" si="2"/>
        <v>1167.8942184900877</v>
      </c>
      <c r="J97" s="62"/>
      <c r="K97" s="5"/>
      <c r="L97" s="5"/>
      <c r="M97" s="5"/>
      <c r="N97" s="5"/>
      <c r="O97" s="5"/>
      <c r="P97" s="5"/>
    </row>
    <row r="98" spans="1:16" x14ac:dyDescent="0.35">
      <c r="A98" s="5"/>
      <c r="B98" s="5"/>
      <c r="C98" s="5"/>
      <c r="D98" s="5"/>
      <c r="E98" s="5"/>
      <c r="F98" s="5"/>
      <c r="G98" s="8"/>
      <c r="H98" s="7" t="s">
        <v>378</v>
      </c>
      <c r="I98" s="6">
        <f>SUM(I95:I97)</f>
        <v>7807.0725205887848</v>
      </c>
      <c r="J98" s="5"/>
      <c r="K98" s="5"/>
      <c r="L98" s="5"/>
      <c r="M98" s="5"/>
      <c r="N98" s="5"/>
      <c r="O98" s="5"/>
      <c r="P98" s="5"/>
    </row>
    <row r="99" spans="1:16" x14ac:dyDescent="0.35">
      <c r="A99" s="5"/>
      <c r="B99" s="5"/>
      <c r="C99" s="5"/>
      <c r="D99" s="5"/>
      <c r="E99" s="5"/>
      <c r="F99" s="5"/>
      <c r="G99" s="5"/>
      <c r="H99" s="5"/>
      <c r="I99" s="5"/>
      <c r="J99" s="5"/>
      <c r="K99" s="5"/>
      <c r="L99" s="5"/>
      <c r="M99" s="5"/>
      <c r="N99" s="5"/>
      <c r="O99" s="5"/>
      <c r="P99" s="5"/>
    </row>
    <row r="100" spans="1:16" x14ac:dyDescent="0.35">
      <c r="A100" s="5"/>
      <c r="B100" s="5"/>
      <c r="C100" s="5"/>
      <c r="D100" s="5"/>
      <c r="E100" s="5"/>
      <c r="F100" s="5"/>
      <c r="G100" s="5"/>
      <c r="H100" s="5"/>
      <c r="I100" s="5"/>
      <c r="J100" s="5"/>
      <c r="K100" s="5"/>
      <c r="L100" s="5"/>
      <c r="M100" s="5"/>
      <c r="N100" s="5"/>
      <c r="O100" s="5"/>
      <c r="P100" s="5"/>
    </row>
    <row r="101" spans="1:16" x14ac:dyDescent="0.35">
      <c r="A101" s="5" t="s">
        <v>180</v>
      </c>
      <c r="B101" s="5"/>
      <c r="C101" s="5"/>
      <c r="D101" s="5">
        <f>VLOOKUP(I10,A103:D105,4)</f>
        <v>0.05</v>
      </c>
      <c r="E101" s="5"/>
      <c r="F101" s="5"/>
      <c r="G101" s="5"/>
      <c r="H101" s="5"/>
      <c r="I101" s="5"/>
      <c r="J101" s="5"/>
      <c r="K101" s="5"/>
      <c r="L101" s="5"/>
      <c r="M101" s="5"/>
      <c r="N101" s="5"/>
      <c r="O101" s="5"/>
      <c r="P101" s="5"/>
    </row>
    <row r="102" spans="1:16" x14ac:dyDescent="0.35">
      <c r="A102" s="5"/>
      <c r="B102" s="5" t="s">
        <v>181</v>
      </c>
      <c r="C102" s="5" t="s">
        <v>50</v>
      </c>
      <c r="D102" s="5" t="s">
        <v>386</v>
      </c>
      <c r="E102" s="5"/>
      <c r="F102" s="5"/>
      <c r="G102" s="5"/>
      <c r="H102" s="5"/>
      <c r="I102" s="5"/>
      <c r="J102" s="5"/>
      <c r="K102" s="5"/>
      <c r="L102" s="5"/>
      <c r="M102" s="5"/>
      <c r="N102" s="5"/>
      <c r="O102" s="5"/>
      <c r="P102" s="5"/>
    </row>
    <row r="103" spans="1:16" x14ac:dyDescent="0.35">
      <c r="A103" s="5">
        <v>1</v>
      </c>
      <c r="B103" s="5" t="s">
        <v>182</v>
      </c>
      <c r="C103" s="5">
        <v>1.05</v>
      </c>
      <c r="D103" s="5">
        <v>0.05</v>
      </c>
      <c r="E103" s="5"/>
      <c r="F103" s="5"/>
      <c r="G103" s="5"/>
      <c r="H103" s="5"/>
      <c r="I103" s="5"/>
      <c r="J103" s="5"/>
      <c r="K103" s="5"/>
      <c r="L103" s="5"/>
      <c r="M103" s="5"/>
      <c r="N103" s="5"/>
      <c r="O103" s="5"/>
      <c r="P103" s="5"/>
    </row>
    <row r="104" spans="1:16" x14ac:dyDescent="0.35">
      <c r="A104" s="5">
        <v>2</v>
      </c>
      <c r="B104" s="5" t="s">
        <v>183</v>
      </c>
      <c r="C104" s="5">
        <v>1.07</v>
      </c>
      <c r="D104" s="5">
        <v>0.05</v>
      </c>
      <c r="E104" s="5"/>
      <c r="F104" s="5"/>
      <c r="G104" s="5"/>
      <c r="H104" s="5"/>
      <c r="I104" s="5"/>
      <c r="J104" s="5"/>
      <c r="K104" s="5"/>
      <c r="L104" s="5"/>
      <c r="M104" s="5"/>
      <c r="N104" s="5"/>
      <c r="O104" s="5"/>
      <c r="P104" s="5"/>
    </row>
    <row r="105" spans="1:16" x14ac:dyDescent="0.35">
      <c r="A105" s="5">
        <v>3</v>
      </c>
      <c r="B105" s="5" t="s">
        <v>184</v>
      </c>
      <c r="C105" s="5">
        <v>1</v>
      </c>
      <c r="D105" s="5">
        <v>0.05</v>
      </c>
      <c r="E105" s="5"/>
      <c r="F105" s="5"/>
      <c r="G105" s="5"/>
      <c r="H105" s="5"/>
      <c r="I105" s="5"/>
      <c r="J105" s="5"/>
      <c r="K105" s="5"/>
      <c r="L105" s="5"/>
      <c r="M105" s="5"/>
      <c r="N105" s="5"/>
      <c r="O105" s="5"/>
      <c r="P105" s="5"/>
    </row>
    <row r="106" spans="1:16" x14ac:dyDescent="0.35">
      <c r="A106" s="5"/>
      <c r="B106" s="5"/>
      <c r="C106" s="5"/>
      <c r="D106" s="5"/>
      <c r="E106" s="5"/>
      <c r="F106" s="5"/>
      <c r="G106" s="5"/>
      <c r="H106" s="5"/>
      <c r="I106" s="5"/>
      <c r="J106" s="5"/>
      <c r="K106" s="5"/>
      <c r="L106" s="5"/>
      <c r="M106" s="5"/>
      <c r="N106" s="5"/>
      <c r="O106" s="5"/>
      <c r="P106" s="5"/>
    </row>
    <row r="107" spans="1:16" x14ac:dyDescent="0.35">
      <c r="A107" s="5"/>
      <c r="B107" s="5"/>
      <c r="C107" s="5"/>
      <c r="D107" s="5"/>
      <c r="E107" s="5"/>
      <c r="F107" s="5"/>
      <c r="G107" s="5"/>
      <c r="H107" s="5"/>
      <c r="I107" s="5"/>
      <c r="J107" s="5"/>
      <c r="K107" s="5"/>
      <c r="L107" s="5"/>
      <c r="M107" s="5"/>
      <c r="N107" s="5"/>
      <c r="O107" s="5"/>
      <c r="P107" s="5"/>
    </row>
    <row r="108" spans="1:16" x14ac:dyDescent="0.35">
      <c r="A108" s="5"/>
      <c r="B108" s="5"/>
      <c r="C108" s="5"/>
      <c r="D108" s="5"/>
      <c r="E108" s="5"/>
      <c r="F108" s="5"/>
      <c r="G108" s="5"/>
      <c r="H108" s="5"/>
      <c r="I108" s="5"/>
      <c r="J108" s="5"/>
      <c r="K108" s="5"/>
      <c r="L108" s="5"/>
      <c r="M108" s="5"/>
      <c r="N108" s="5"/>
      <c r="O108" s="5"/>
      <c r="P108" s="5"/>
    </row>
    <row r="109" spans="1:16" x14ac:dyDescent="0.35">
      <c r="A109" s="5"/>
      <c r="B109" s="5"/>
      <c r="C109" s="5"/>
      <c r="D109" s="5"/>
      <c r="E109" s="5"/>
      <c r="F109" s="5"/>
      <c r="G109" s="5"/>
      <c r="H109" s="5"/>
      <c r="I109" s="5"/>
      <c r="J109" s="5"/>
      <c r="K109" s="5"/>
      <c r="L109" s="5"/>
      <c r="M109" s="5"/>
      <c r="N109" s="5"/>
      <c r="O109" s="5"/>
      <c r="P109" s="5"/>
    </row>
    <row r="110" spans="1:16" x14ac:dyDescent="0.35">
      <c r="A110" s="5"/>
      <c r="B110" s="5"/>
      <c r="C110" s="5"/>
      <c r="D110" s="5"/>
      <c r="E110" s="5"/>
      <c r="F110" s="5"/>
      <c r="G110" s="5"/>
      <c r="H110" s="5"/>
      <c r="I110" s="5"/>
      <c r="J110" s="5"/>
      <c r="K110" s="5"/>
      <c r="L110" s="5"/>
      <c r="M110" s="5"/>
      <c r="N110" s="5"/>
      <c r="O110" s="5"/>
      <c r="P110" s="5"/>
    </row>
    <row r="111" spans="1:16" x14ac:dyDescent="0.35">
      <c r="A111" s="5"/>
      <c r="B111" s="5"/>
      <c r="C111" s="5"/>
      <c r="D111" s="5"/>
      <c r="E111" s="5"/>
      <c r="F111" s="5"/>
      <c r="G111" s="5"/>
      <c r="H111" s="5"/>
      <c r="I111" s="5"/>
      <c r="J111" s="5"/>
      <c r="K111" s="5"/>
      <c r="L111" s="5"/>
      <c r="M111" s="5"/>
      <c r="N111" s="5"/>
      <c r="O111" s="5"/>
      <c r="P111" s="5"/>
    </row>
    <row r="112" spans="1:16" x14ac:dyDescent="0.35">
      <c r="A112" s="5"/>
      <c r="B112" s="5" t="s">
        <v>185</v>
      </c>
      <c r="C112" s="5"/>
      <c r="D112" s="5"/>
      <c r="E112" s="5"/>
      <c r="F112" s="5"/>
      <c r="G112" s="5"/>
      <c r="H112" s="5"/>
      <c r="I112" s="5"/>
      <c r="J112" s="5"/>
      <c r="K112" s="5"/>
      <c r="L112" s="5"/>
      <c r="M112" s="5"/>
      <c r="N112" s="5"/>
      <c r="O112" s="5"/>
      <c r="P112" s="5"/>
    </row>
    <row r="113" spans="1:16" x14ac:dyDescent="0.35">
      <c r="A113" s="5"/>
      <c r="B113" s="76" t="b">
        <v>1</v>
      </c>
      <c r="C113" s="5"/>
      <c r="D113" s="5"/>
      <c r="E113" s="5"/>
      <c r="F113" s="5"/>
      <c r="G113" s="5"/>
      <c r="H113" s="5"/>
      <c r="I113" s="5"/>
      <c r="J113" s="5"/>
      <c r="K113" s="5"/>
      <c r="L113" s="5"/>
      <c r="M113" s="5"/>
      <c r="N113" s="5"/>
      <c r="O113" s="5"/>
      <c r="P113" s="5"/>
    </row>
    <row r="114" spans="1:16" x14ac:dyDescent="0.35">
      <c r="A114" s="5"/>
      <c r="B114" s="5"/>
      <c r="C114" s="5"/>
      <c r="D114" s="5"/>
      <c r="E114" s="5"/>
      <c r="F114" s="5"/>
      <c r="G114" s="5"/>
      <c r="H114" s="5"/>
      <c r="I114" s="5"/>
      <c r="J114" s="5"/>
      <c r="K114" s="5"/>
      <c r="L114" s="5"/>
      <c r="M114" s="5"/>
      <c r="N114" s="5"/>
      <c r="O114" s="5"/>
      <c r="P114" s="5"/>
    </row>
    <row r="115" spans="1:16" x14ac:dyDescent="0.35">
      <c r="A115" s="5"/>
      <c r="B115" s="5"/>
      <c r="C115" s="5"/>
      <c r="D115" s="5"/>
      <c r="E115" s="5"/>
      <c r="F115" s="5"/>
      <c r="G115" s="5"/>
      <c r="H115" s="5"/>
      <c r="I115" s="5"/>
      <c r="J115" s="5"/>
      <c r="K115" s="5"/>
      <c r="L115" s="5"/>
      <c r="M115" s="5"/>
      <c r="N115" s="5"/>
      <c r="O115" s="5"/>
      <c r="P115" s="5"/>
    </row>
    <row r="116" spans="1:16" x14ac:dyDescent="0.35">
      <c r="A116" s="5"/>
      <c r="B116" s="5"/>
      <c r="C116" s="5"/>
      <c r="D116" s="5"/>
      <c r="E116" s="5"/>
      <c r="F116" s="5"/>
      <c r="G116" s="5"/>
      <c r="H116" s="5"/>
      <c r="I116" s="5"/>
      <c r="J116" s="5"/>
      <c r="K116" s="5"/>
      <c r="L116" s="5"/>
      <c r="M116" s="5"/>
      <c r="N116" s="5"/>
      <c r="O116" s="5"/>
      <c r="P116" s="5"/>
    </row>
  </sheetData>
  <mergeCells count="1">
    <mergeCell ref="D20:F2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4</xdr:col>
                    <xdr:colOff>590550</xdr:colOff>
                    <xdr:row>19</xdr:row>
                    <xdr:rowOff>171450</xdr:rowOff>
                  </from>
                  <to>
                    <xdr:col>5</xdr:col>
                    <xdr:colOff>184150</xdr:colOff>
                    <xdr:row>20</xdr:row>
                    <xdr:rowOff>165100</xdr:rowOff>
                  </to>
                </anchor>
              </controlPr>
            </control>
          </mc:Choice>
        </mc:AlternateContent>
        <mc:AlternateContent xmlns:mc="http://schemas.openxmlformats.org/markup-compatibility/2006">
          <mc:Choice Requires="x14">
            <control shapeId="25602" r:id="rId5" name="Drop Down 2">
              <controlPr defaultSize="0" autoLine="0" autoPict="0">
                <anchor moveWithCells="1">
                  <from>
                    <xdr:col>8</xdr:col>
                    <xdr:colOff>19050</xdr:colOff>
                    <xdr:row>9</xdr:row>
                    <xdr:rowOff>19050</xdr:rowOff>
                  </from>
                  <to>
                    <xdr:col>9</xdr:col>
                    <xdr:colOff>69850</xdr:colOff>
                    <xdr:row>10</xdr:row>
                    <xdr:rowOff>57150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8</xdr:col>
                    <xdr:colOff>0</xdr:colOff>
                    <xdr:row>1</xdr:row>
                    <xdr:rowOff>171450</xdr:rowOff>
                  </from>
                  <to>
                    <xdr:col>8</xdr:col>
                    <xdr:colOff>412750</xdr:colOff>
                    <xdr:row>3</xdr:row>
                    <xdr:rowOff>38100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8</xdr:col>
                    <xdr:colOff>0</xdr:colOff>
                    <xdr:row>1</xdr:row>
                    <xdr:rowOff>171450</xdr:rowOff>
                  </from>
                  <to>
                    <xdr:col>8</xdr:col>
                    <xdr:colOff>412750</xdr:colOff>
                    <xdr:row>3</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37E4C-0FD3-4BA2-B0A3-08DD62243271}">
  <dimension ref="A1:R111"/>
  <sheetViews>
    <sheetView topLeftCell="A28" workbookViewId="0">
      <selection activeCell="H27" sqref="H27"/>
    </sheetView>
  </sheetViews>
  <sheetFormatPr defaultRowHeight="14.5" x14ac:dyDescent="0.35"/>
  <cols>
    <col min="6" max="6" width="6.26953125" customWidth="1"/>
    <col min="7" max="7" width="12.7265625" customWidth="1"/>
    <col min="8" max="8" width="13.26953125" bestFit="1" customWidth="1"/>
    <col min="9" max="9" width="12.7265625" customWidth="1"/>
    <col min="10" max="10" width="15.26953125" customWidth="1"/>
    <col min="12" max="12" width="56.1796875" customWidth="1"/>
    <col min="14" max="14" width="15.26953125" customWidth="1"/>
  </cols>
  <sheetData>
    <row r="1" spans="1:16" ht="15" thickBot="1" x14ac:dyDescent="0.4">
      <c r="A1" s="5" t="s">
        <v>26</v>
      </c>
      <c r="B1" s="5"/>
      <c r="C1" s="5"/>
      <c r="D1" s="5"/>
      <c r="E1" s="5"/>
      <c r="F1" s="5"/>
      <c r="G1" s="5"/>
      <c r="H1" s="5"/>
      <c r="I1" s="5"/>
      <c r="J1" s="5"/>
      <c r="K1" s="5"/>
      <c r="L1" s="5"/>
      <c r="M1" s="5"/>
      <c r="N1" s="5"/>
      <c r="O1" s="5"/>
      <c r="P1" s="5"/>
    </row>
    <row r="2" spans="1:16" x14ac:dyDescent="0.35">
      <c r="A2" s="5"/>
      <c r="B2" s="5"/>
      <c r="C2" s="5"/>
      <c r="D2" s="90" t="s">
        <v>27</v>
      </c>
      <c r="E2" s="91"/>
      <c r="F2" s="92"/>
      <c r="G2" s="93" t="s">
        <v>28</v>
      </c>
      <c r="H2" s="93" t="s">
        <v>29</v>
      </c>
      <c r="I2" s="93" t="s">
        <v>30</v>
      </c>
      <c r="J2" s="94" t="s">
        <v>31</v>
      </c>
      <c r="K2" s="95"/>
      <c r="L2" s="96"/>
      <c r="M2" s="5"/>
      <c r="N2" s="5"/>
      <c r="O2" s="5"/>
      <c r="P2" s="5"/>
    </row>
    <row r="3" spans="1:16" x14ac:dyDescent="0.35">
      <c r="A3" s="5"/>
      <c r="B3" s="5"/>
      <c r="C3" s="5"/>
      <c r="D3" s="122" t="s">
        <v>32</v>
      </c>
      <c r="E3" s="37"/>
      <c r="F3" s="36"/>
      <c r="G3" s="58"/>
      <c r="H3" s="58"/>
      <c r="I3" s="59" t="b">
        <v>0</v>
      </c>
      <c r="J3" s="38"/>
      <c r="K3" s="37"/>
      <c r="L3" s="98"/>
      <c r="M3" s="33"/>
      <c r="N3" s="30"/>
      <c r="O3" s="5"/>
      <c r="P3" s="5"/>
    </row>
    <row r="4" spans="1:16" ht="19.5" customHeight="1" x14ac:dyDescent="0.35">
      <c r="A4" s="5"/>
      <c r="B4" s="5"/>
      <c r="C4" s="5"/>
      <c r="D4" s="122"/>
      <c r="E4" s="37"/>
      <c r="F4" s="36"/>
      <c r="G4" s="60"/>
      <c r="H4" s="60"/>
      <c r="I4" s="61"/>
      <c r="J4" s="38"/>
      <c r="K4" s="37"/>
      <c r="L4" s="98"/>
      <c r="M4" s="62"/>
      <c r="N4" s="63"/>
      <c r="O4" s="5"/>
      <c r="P4" s="5"/>
    </row>
    <row r="5" spans="1:16" x14ac:dyDescent="0.35">
      <c r="A5" s="5"/>
      <c r="B5" s="5"/>
      <c r="C5" s="5"/>
      <c r="D5" s="122" t="s">
        <v>33</v>
      </c>
      <c r="E5" s="37"/>
      <c r="F5" s="36"/>
      <c r="G5" s="58" t="s">
        <v>34</v>
      </c>
      <c r="H5" s="58" t="s">
        <v>35</v>
      </c>
      <c r="I5" s="132">
        <v>500</v>
      </c>
      <c r="J5" s="38" t="s">
        <v>36</v>
      </c>
      <c r="K5" s="37"/>
      <c r="L5" s="98"/>
      <c r="M5" s="62"/>
      <c r="N5" s="63"/>
      <c r="O5" s="5"/>
      <c r="P5" s="5"/>
    </row>
    <row r="6" spans="1:16" x14ac:dyDescent="0.35">
      <c r="A6" s="5"/>
      <c r="B6" s="5"/>
      <c r="C6" s="5"/>
      <c r="D6" s="122" t="s">
        <v>37</v>
      </c>
      <c r="E6" s="37"/>
      <c r="F6" s="36"/>
      <c r="G6" s="58" t="s">
        <v>38</v>
      </c>
      <c r="H6" s="58"/>
      <c r="I6" s="134">
        <v>1</v>
      </c>
      <c r="J6" s="38" t="s">
        <v>39</v>
      </c>
      <c r="K6" s="37"/>
      <c r="L6" s="98"/>
      <c r="M6" s="30"/>
      <c r="N6" s="66"/>
      <c r="O6" s="5"/>
      <c r="P6" s="5"/>
    </row>
    <row r="7" spans="1:16" x14ac:dyDescent="0.35">
      <c r="A7" s="5"/>
      <c r="B7" s="5"/>
      <c r="C7" s="5"/>
      <c r="D7" s="122" t="s">
        <v>40</v>
      </c>
      <c r="E7" s="37"/>
      <c r="F7" s="36"/>
      <c r="G7" s="58" t="s">
        <v>41</v>
      </c>
      <c r="H7" s="58" t="s">
        <v>42</v>
      </c>
      <c r="I7" s="132">
        <v>9800</v>
      </c>
      <c r="J7" s="38" t="s">
        <v>43</v>
      </c>
      <c r="K7" s="37"/>
      <c r="L7" s="98"/>
      <c r="M7" s="5"/>
      <c r="N7" s="5"/>
      <c r="O7" s="5"/>
      <c r="P7" s="5"/>
    </row>
    <row r="8" spans="1:16" x14ac:dyDescent="0.35">
      <c r="A8" s="5"/>
      <c r="B8" s="5"/>
      <c r="C8" s="5"/>
      <c r="D8" s="123" t="s">
        <v>44</v>
      </c>
      <c r="E8" s="68"/>
      <c r="F8" s="69"/>
      <c r="G8" s="58" t="s">
        <v>45</v>
      </c>
      <c r="H8" s="58" t="s">
        <v>46</v>
      </c>
      <c r="I8" s="132">
        <v>2</v>
      </c>
      <c r="J8" s="38" t="s">
        <v>47</v>
      </c>
      <c r="K8" s="37"/>
      <c r="L8" s="98"/>
      <c r="M8" s="5"/>
      <c r="N8" s="5"/>
      <c r="O8" s="5"/>
      <c r="P8" s="5"/>
    </row>
    <row r="9" spans="1:16" ht="18.75" customHeight="1" x14ac:dyDescent="0.35">
      <c r="A9" s="5"/>
      <c r="B9" s="5"/>
      <c r="C9" s="5"/>
      <c r="D9" s="122" t="s">
        <v>48</v>
      </c>
      <c r="E9" s="37"/>
      <c r="F9" s="36"/>
      <c r="G9" s="58" t="s">
        <v>49</v>
      </c>
      <c r="H9" s="58"/>
      <c r="I9" s="133">
        <v>1</v>
      </c>
      <c r="J9" s="38" t="s">
        <v>43</v>
      </c>
      <c r="K9" s="37"/>
      <c r="L9" s="98"/>
      <c r="M9" s="5"/>
      <c r="N9" s="66"/>
      <c r="O9" s="5"/>
      <c r="P9" s="5"/>
    </row>
    <row r="10" spans="1:16" x14ac:dyDescent="0.35">
      <c r="A10" s="5"/>
      <c r="B10" s="5"/>
      <c r="C10" s="5"/>
      <c r="D10" s="122" t="s">
        <v>50</v>
      </c>
      <c r="E10" s="37"/>
      <c r="F10" s="36"/>
      <c r="G10" s="58" t="s">
        <v>51</v>
      </c>
      <c r="H10" s="58"/>
      <c r="I10" s="58">
        <f>VLOOKUP(I9,A98:C100,3)</f>
        <v>1.05</v>
      </c>
      <c r="J10" s="38" t="s">
        <v>52</v>
      </c>
      <c r="K10" s="37"/>
      <c r="L10" s="98"/>
      <c r="M10" s="5"/>
      <c r="N10" s="5"/>
      <c r="O10" s="5"/>
      <c r="P10" s="5"/>
    </row>
    <row r="11" spans="1:16" x14ac:dyDescent="0.35">
      <c r="A11" s="5"/>
      <c r="B11" s="5"/>
      <c r="C11" s="5"/>
      <c r="D11" s="122" t="s">
        <v>53</v>
      </c>
      <c r="E11" s="37"/>
      <c r="F11" s="36"/>
      <c r="G11" s="58" t="s">
        <v>54</v>
      </c>
      <c r="H11" s="58"/>
      <c r="I11" s="58">
        <f>I7/10000</f>
        <v>0.98</v>
      </c>
      <c r="J11" s="38" t="s">
        <v>55</v>
      </c>
      <c r="K11" s="37"/>
      <c r="L11" s="98"/>
      <c r="M11" s="5"/>
      <c r="N11" s="5"/>
      <c r="O11" s="5"/>
      <c r="P11" s="5"/>
    </row>
    <row r="12" spans="1:16" x14ac:dyDescent="0.35">
      <c r="A12" s="5"/>
      <c r="B12" s="5"/>
      <c r="C12" s="5"/>
      <c r="D12" s="122" t="s">
        <v>56</v>
      </c>
      <c r="E12" s="37"/>
      <c r="F12" s="36"/>
      <c r="G12" s="58" t="s">
        <v>57</v>
      </c>
      <c r="H12" s="58" t="s">
        <v>58</v>
      </c>
      <c r="I12" s="70">
        <f>I5*I7*1000</f>
        <v>4900000000</v>
      </c>
      <c r="J12" s="38" t="s">
        <v>59</v>
      </c>
      <c r="K12" s="37"/>
      <c r="L12" s="98"/>
      <c r="M12" s="5"/>
      <c r="N12" s="5"/>
      <c r="O12" s="5"/>
      <c r="P12" s="5"/>
    </row>
    <row r="13" spans="1:16" x14ac:dyDescent="0.35">
      <c r="A13" s="5"/>
      <c r="B13" s="5"/>
      <c r="C13" s="5"/>
      <c r="D13" s="122" t="s">
        <v>60</v>
      </c>
      <c r="E13" s="37"/>
      <c r="F13" s="36"/>
      <c r="G13" s="58" t="s">
        <v>61</v>
      </c>
      <c r="H13" s="58" t="s">
        <v>62</v>
      </c>
      <c r="I13" s="132">
        <v>95</v>
      </c>
      <c r="J13" s="38" t="s">
        <v>43</v>
      </c>
      <c r="K13" s="37"/>
      <c r="L13" s="98"/>
      <c r="M13" s="5"/>
      <c r="N13" s="5"/>
      <c r="O13" s="5"/>
      <c r="P13" s="5"/>
    </row>
    <row r="14" spans="1:16" x14ac:dyDescent="0.35">
      <c r="A14" s="5"/>
      <c r="B14" s="5"/>
      <c r="C14" s="5"/>
      <c r="D14" s="123" t="s">
        <v>63</v>
      </c>
      <c r="E14" s="68"/>
      <c r="F14" s="69"/>
      <c r="G14" s="58" t="s">
        <v>64</v>
      </c>
      <c r="H14" s="58" t="s">
        <v>62</v>
      </c>
      <c r="I14" s="132">
        <v>95</v>
      </c>
      <c r="J14" s="38" t="s">
        <v>65</v>
      </c>
      <c r="K14" s="37"/>
      <c r="L14" s="98"/>
      <c r="M14" s="5"/>
      <c r="N14" s="5"/>
      <c r="O14" s="5"/>
      <c r="P14" s="5"/>
    </row>
    <row r="15" spans="1:16" x14ac:dyDescent="0.35">
      <c r="A15" s="5"/>
      <c r="B15" s="5"/>
      <c r="C15" s="5"/>
      <c r="D15" s="122" t="s">
        <v>66</v>
      </c>
      <c r="E15" s="37"/>
      <c r="F15" s="36"/>
      <c r="G15" s="58" t="s">
        <v>67</v>
      </c>
      <c r="H15" s="58" t="s">
        <v>68</v>
      </c>
      <c r="I15" s="71">
        <f>(0.6702*(I8*I8)+13.42*I8)*I5*I11/2000</f>
        <v>7.232596</v>
      </c>
      <c r="J15" s="38" t="s">
        <v>69</v>
      </c>
      <c r="K15" s="37"/>
      <c r="L15" s="98"/>
      <c r="M15" s="5"/>
      <c r="N15" s="5"/>
      <c r="O15" s="5"/>
      <c r="P15" s="5"/>
    </row>
    <row r="16" spans="1:16" x14ac:dyDescent="0.35">
      <c r="A16" s="5"/>
      <c r="B16" s="5"/>
      <c r="C16" s="5"/>
      <c r="D16" s="122" t="s">
        <v>70</v>
      </c>
      <c r="E16" s="37"/>
      <c r="F16" s="36"/>
      <c r="G16" s="58" t="s">
        <v>71</v>
      </c>
      <c r="H16" s="58" t="s">
        <v>68</v>
      </c>
      <c r="I16" s="71">
        <f>(0.8016*(I8*I8)+31.1917*I8)*I5*I11/2000</f>
        <v>16.069500999999999</v>
      </c>
      <c r="J16" s="38" t="s">
        <v>72</v>
      </c>
      <c r="K16" s="37"/>
      <c r="L16" s="98"/>
      <c r="M16" s="5"/>
      <c r="N16" s="5"/>
      <c r="O16" s="5"/>
      <c r="P16" s="5"/>
    </row>
    <row r="17" spans="1:16" ht="28.5" customHeight="1" x14ac:dyDescent="0.35">
      <c r="A17" s="5"/>
      <c r="B17" s="5"/>
      <c r="C17" s="5"/>
      <c r="D17" s="146" t="s">
        <v>73</v>
      </c>
      <c r="E17" s="147"/>
      <c r="F17" s="148"/>
      <c r="G17" s="58" t="s">
        <v>74</v>
      </c>
      <c r="H17" s="58" t="s">
        <v>62</v>
      </c>
      <c r="I17" s="72">
        <f>(0.000547*(I8*I8)+0.00649*I8+1.3)*I10*I11</f>
        <v>1.353307872</v>
      </c>
      <c r="J17" s="38" t="s">
        <v>75</v>
      </c>
      <c r="K17" s="37"/>
      <c r="L17" s="98"/>
      <c r="M17" s="5"/>
      <c r="N17" s="5"/>
      <c r="O17" s="5"/>
      <c r="P17" s="5"/>
    </row>
    <row r="18" spans="1:16" x14ac:dyDescent="0.35">
      <c r="A18" s="5"/>
      <c r="B18" s="5"/>
      <c r="C18" s="5"/>
      <c r="D18" s="122" t="s">
        <v>76</v>
      </c>
      <c r="E18" s="37"/>
      <c r="F18" s="36"/>
      <c r="G18" s="58" t="s">
        <v>77</v>
      </c>
      <c r="H18" s="58" t="s">
        <v>78</v>
      </c>
      <c r="I18" s="71">
        <f>(0.04898*(I8*I8)+0.5925*I8+55.11)*I5*I10*I11/1000</f>
        <v>29.064578340000004</v>
      </c>
      <c r="J18" s="38" t="s">
        <v>79</v>
      </c>
      <c r="K18" s="37"/>
      <c r="L18" s="98"/>
      <c r="M18" s="5"/>
      <c r="N18" s="5"/>
      <c r="O18" s="5"/>
      <c r="P18" s="5"/>
    </row>
    <row r="19" spans="1:16" x14ac:dyDescent="0.35">
      <c r="A19" s="5"/>
      <c r="B19" s="5"/>
      <c r="C19" s="5"/>
      <c r="D19" s="122" t="s">
        <v>80</v>
      </c>
      <c r="E19" s="37"/>
      <c r="F19" s="36"/>
      <c r="G19" s="58" t="s">
        <v>81</v>
      </c>
      <c r="H19" s="58" t="s">
        <v>82</v>
      </c>
      <c r="I19" s="132">
        <v>125</v>
      </c>
      <c r="J19" s="38" t="s">
        <v>43</v>
      </c>
      <c r="K19" s="37"/>
      <c r="L19" s="98"/>
      <c r="M19" s="5"/>
      <c r="N19" s="5"/>
      <c r="O19" s="5"/>
      <c r="P19" s="5"/>
    </row>
    <row r="20" spans="1:16" x14ac:dyDescent="0.35">
      <c r="A20" s="5"/>
      <c r="B20" s="5"/>
      <c r="C20" s="5"/>
      <c r="D20" s="122" t="s">
        <v>83</v>
      </c>
      <c r="E20" s="37"/>
      <c r="F20" s="36"/>
      <c r="G20" s="58" t="s">
        <v>84</v>
      </c>
      <c r="H20" s="58" t="s">
        <v>82</v>
      </c>
      <c r="I20" s="132">
        <v>30</v>
      </c>
      <c r="J20" s="38" t="s">
        <v>43</v>
      </c>
      <c r="K20" s="37"/>
      <c r="L20" s="98"/>
      <c r="M20" s="5"/>
      <c r="N20" s="5"/>
      <c r="O20" s="5"/>
      <c r="P20" s="5"/>
    </row>
    <row r="21" spans="1:16" x14ac:dyDescent="0.35">
      <c r="A21" s="5"/>
      <c r="B21" s="5"/>
      <c r="C21" s="5"/>
      <c r="D21" s="122" t="s">
        <v>85</v>
      </c>
      <c r="E21" s="37"/>
      <c r="F21" s="36"/>
      <c r="G21" s="58" t="s">
        <v>86</v>
      </c>
      <c r="H21" s="58" t="s">
        <v>87</v>
      </c>
      <c r="I21" s="132">
        <v>0.06</v>
      </c>
      <c r="J21" s="38" t="s">
        <v>43</v>
      </c>
      <c r="K21" s="37"/>
      <c r="L21" s="98"/>
      <c r="M21" s="5"/>
      <c r="N21" s="5"/>
      <c r="O21" s="5"/>
      <c r="P21" s="5"/>
    </row>
    <row r="22" spans="1:16" x14ac:dyDescent="0.35">
      <c r="A22" s="5"/>
      <c r="B22" s="5"/>
      <c r="C22" s="5"/>
      <c r="D22" s="122" t="s">
        <v>88</v>
      </c>
      <c r="E22" s="37"/>
      <c r="F22" s="36"/>
      <c r="G22" s="58" t="s">
        <v>89</v>
      </c>
      <c r="H22" s="58" t="s">
        <v>90</v>
      </c>
      <c r="I22" s="132">
        <v>1</v>
      </c>
      <c r="J22" s="38" t="s">
        <v>43</v>
      </c>
      <c r="K22" s="37"/>
      <c r="L22" s="98"/>
      <c r="M22" s="5"/>
      <c r="N22" s="5"/>
      <c r="O22" s="5"/>
      <c r="P22" s="5"/>
    </row>
    <row r="23" spans="1:16" ht="15" thickBot="1" x14ac:dyDescent="0.4">
      <c r="A23" s="5"/>
      <c r="B23" s="5"/>
      <c r="C23" s="5"/>
      <c r="D23" s="124" t="s">
        <v>91</v>
      </c>
      <c r="E23" s="104"/>
      <c r="F23" s="125"/>
      <c r="G23" s="126" t="s">
        <v>92</v>
      </c>
      <c r="H23" s="126" t="s">
        <v>93</v>
      </c>
      <c r="I23" s="135">
        <v>60</v>
      </c>
      <c r="J23" s="103" t="s">
        <v>94</v>
      </c>
      <c r="K23" s="104"/>
      <c r="L23" s="105"/>
      <c r="M23" s="5"/>
      <c r="N23" s="5"/>
      <c r="O23" s="5"/>
      <c r="P23" s="5"/>
    </row>
    <row r="24" spans="1:16" x14ac:dyDescent="0.35">
      <c r="A24" s="5"/>
      <c r="B24" s="5"/>
      <c r="C24" s="5"/>
      <c r="D24" s="5"/>
      <c r="E24" s="5"/>
      <c r="F24" s="5"/>
      <c r="G24" s="5"/>
      <c r="H24" s="5"/>
      <c r="I24" s="5"/>
      <c r="J24" s="5"/>
      <c r="K24" s="5"/>
      <c r="L24" s="5"/>
      <c r="M24" s="5"/>
      <c r="N24" s="5"/>
      <c r="O24" s="5"/>
      <c r="P24" s="5"/>
    </row>
    <row r="25" spans="1:16" x14ac:dyDescent="0.35">
      <c r="A25" s="5"/>
      <c r="B25" s="5"/>
      <c r="C25" s="5"/>
      <c r="D25" s="5"/>
      <c r="E25" s="5"/>
      <c r="F25" s="5"/>
      <c r="G25" s="5"/>
      <c r="H25" s="5"/>
      <c r="I25" s="5"/>
      <c r="J25" s="5"/>
      <c r="K25" s="5"/>
      <c r="L25" s="5"/>
      <c r="M25" s="5"/>
      <c r="N25" s="5"/>
      <c r="O25" s="5"/>
      <c r="P25" s="5"/>
    </row>
    <row r="26" spans="1:16" x14ac:dyDescent="0.35">
      <c r="A26" s="5"/>
      <c r="B26" s="5"/>
      <c r="C26" s="5"/>
      <c r="D26" s="5"/>
      <c r="E26" s="5"/>
      <c r="F26" s="5"/>
      <c r="G26" s="5"/>
      <c r="H26" s="5"/>
      <c r="I26" s="5"/>
      <c r="J26" s="5"/>
      <c r="K26" s="5"/>
      <c r="L26" s="5"/>
      <c r="M26" s="5"/>
      <c r="N26" s="5"/>
      <c r="O26" s="5"/>
      <c r="P26" s="5"/>
    </row>
    <row r="27" spans="1:16" ht="23" x14ac:dyDescent="0.5">
      <c r="A27" s="5"/>
      <c r="B27" s="5"/>
      <c r="C27" s="5"/>
      <c r="D27" s="5"/>
      <c r="E27" s="5"/>
      <c r="F27" s="5"/>
      <c r="G27" s="5"/>
      <c r="H27" s="35" t="s">
        <v>280</v>
      </c>
      <c r="I27" s="5"/>
      <c r="J27" s="5"/>
      <c r="K27" s="5"/>
      <c r="L27" s="5"/>
      <c r="M27" s="5"/>
      <c r="N27" s="5"/>
      <c r="O27" s="5"/>
      <c r="P27" s="5"/>
    </row>
    <row r="28" spans="1:16" x14ac:dyDescent="0.35">
      <c r="A28" s="26" t="s">
        <v>95</v>
      </c>
      <c r="B28" s="26"/>
      <c r="C28" s="26"/>
      <c r="D28" s="26"/>
      <c r="E28" s="26"/>
      <c r="F28" s="26"/>
      <c r="G28" s="26"/>
      <c r="H28" s="26"/>
      <c r="I28" s="26"/>
      <c r="J28" s="26" t="s">
        <v>96</v>
      </c>
      <c r="K28" s="26"/>
      <c r="L28" s="26" t="s">
        <v>97</v>
      </c>
      <c r="M28" s="5"/>
      <c r="N28" s="5"/>
      <c r="O28" s="5"/>
      <c r="P28" s="5"/>
    </row>
    <row r="29" spans="1:16" x14ac:dyDescent="0.35">
      <c r="A29" s="5"/>
      <c r="B29" s="5" t="s">
        <v>98</v>
      </c>
      <c r="C29" s="5"/>
      <c r="D29" s="5"/>
      <c r="E29" s="5"/>
      <c r="F29" s="5"/>
      <c r="G29" s="5"/>
      <c r="H29" s="5"/>
      <c r="I29" s="5"/>
      <c r="J29" s="5"/>
      <c r="K29" s="5"/>
      <c r="L29" s="5"/>
      <c r="M29" s="5"/>
      <c r="N29" s="5"/>
      <c r="O29" s="5"/>
      <c r="P29" s="5"/>
    </row>
    <row r="30" spans="1:16" x14ac:dyDescent="0.35">
      <c r="A30" s="5"/>
      <c r="B30" s="5" t="s">
        <v>99</v>
      </c>
      <c r="C30" s="5" t="s">
        <v>100</v>
      </c>
      <c r="D30" s="5"/>
      <c r="E30" s="5"/>
      <c r="F30" s="5"/>
      <c r="G30" s="5"/>
      <c r="H30" s="5"/>
      <c r="I30" s="5"/>
      <c r="J30" s="30">
        <f>ROUND(IF($I$5&gt;600,$I$5*145000,941000*($I$5^0.716))*$I$6*(($I$10*$I$11)^0.6)*(($I$8/4)^0.01),-3)</f>
        <v>81375000</v>
      </c>
      <c r="K30" s="5"/>
      <c r="L30" s="5" t="s">
        <v>101</v>
      </c>
      <c r="M30" s="5"/>
      <c r="N30" s="5"/>
      <c r="O30" s="5"/>
      <c r="P30" s="5"/>
    </row>
    <row r="31" spans="1:16" x14ac:dyDescent="0.35">
      <c r="A31" s="5"/>
      <c r="B31" s="5" t="s">
        <v>102</v>
      </c>
      <c r="C31" s="5" t="s">
        <v>103</v>
      </c>
      <c r="D31" s="5"/>
      <c r="E31" s="5"/>
      <c r="F31" s="5"/>
      <c r="G31" s="5"/>
      <c r="H31" s="5"/>
      <c r="I31" s="5"/>
      <c r="J31" s="30">
        <f>ROUND(IF($I$5&gt;600,$I$5*77000,499000*($I$5^0.716))*$I$6*((I8*$I$11)^0.2),-3)</f>
        <v>48867000</v>
      </c>
      <c r="K31" s="5"/>
      <c r="L31" s="5" t="s">
        <v>104</v>
      </c>
      <c r="M31" s="5"/>
      <c r="N31" s="5"/>
      <c r="O31" s="5"/>
      <c r="P31" s="5"/>
    </row>
    <row r="32" spans="1:16" x14ac:dyDescent="0.35">
      <c r="A32" s="5"/>
      <c r="B32" s="5" t="s">
        <v>105</v>
      </c>
      <c r="C32" s="5" t="s">
        <v>106</v>
      </c>
      <c r="D32" s="5"/>
      <c r="E32" s="5"/>
      <c r="F32" s="5"/>
      <c r="G32" s="5"/>
      <c r="H32" s="5"/>
      <c r="I32" s="5"/>
      <c r="J32" s="30">
        <f>ROUND(IF($I$5&gt;600,$I$5*204000, 1328000*($I$5^0.716))*$I$6*((I10*$I$11)^0.4),-3)</f>
        <v>114981000</v>
      </c>
      <c r="K32" s="5"/>
      <c r="L32" s="5" t="s">
        <v>107</v>
      </c>
      <c r="M32" s="5"/>
      <c r="N32" s="5"/>
      <c r="O32" s="5"/>
      <c r="P32" s="5"/>
    </row>
    <row r="33" spans="1:16" x14ac:dyDescent="0.35">
      <c r="A33" s="5"/>
      <c r="B33" s="5" t="s">
        <v>108</v>
      </c>
      <c r="C33" s="5" t="s">
        <v>109</v>
      </c>
      <c r="D33" s="5"/>
      <c r="E33" s="5"/>
      <c r="F33" s="5"/>
      <c r="G33" s="5"/>
      <c r="H33" s="5"/>
      <c r="I33" s="5"/>
      <c r="J33" s="33">
        <f>SUM(J30:J32)</f>
        <v>245223000</v>
      </c>
      <c r="K33" s="5"/>
      <c r="L33" s="5" t="s">
        <v>110</v>
      </c>
      <c r="M33" s="5"/>
      <c r="N33" s="5"/>
      <c r="O33" s="5"/>
      <c r="P33" s="5"/>
    </row>
    <row r="34" spans="1:16" x14ac:dyDescent="0.35">
      <c r="A34" s="5"/>
      <c r="B34" s="5" t="s">
        <v>111</v>
      </c>
      <c r="C34" s="5"/>
      <c r="D34" s="5"/>
      <c r="E34" s="5"/>
      <c r="F34" s="5"/>
      <c r="G34" s="5"/>
      <c r="H34" s="5"/>
      <c r="I34" s="5"/>
      <c r="J34" s="31">
        <f>J33/(I5*1000)</f>
        <v>490.44600000000003</v>
      </c>
      <c r="K34" s="5"/>
      <c r="L34" s="5" t="s">
        <v>112</v>
      </c>
      <c r="M34" s="5"/>
      <c r="N34" s="5"/>
      <c r="O34" s="5"/>
      <c r="P34" s="5"/>
    </row>
    <row r="35" spans="1:16" x14ac:dyDescent="0.35">
      <c r="A35" s="5"/>
      <c r="B35" s="5"/>
      <c r="C35" s="5"/>
      <c r="D35" s="5"/>
      <c r="E35" s="5"/>
      <c r="F35" s="5"/>
      <c r="G35" s="5"/>
      <c r="H35" s="5"/>
      <c r="I35" s="5"/>
      <c r="J35" s="5"/>
      <c r="K35" s="5"/>
      <c r="L35" s="5"/>
      <c r="M35" s="5"/>
      <c r="N35" s="5"/>
      <c r="O35" s="5"/>
      <c r="P35" s="5"/>
    </row>
    <row r="36" spans="1:16" x14ac:dyDescent="0.35">
      <c r="A36" s="26" t="s">
        <v>113</v>
      </c>
      <c r="B36" s="5"/>
      <c r="C36" s="5"/>
      <c r="D36" s="5"/>
      <c r="E36" s="5"/>
      <c r="F36" s="5"/>
      <c r="G36" s="5"/>
      <c r="H36" s="5"/>
      <c r="I36" s="5"/>
      <c r="J36" s="5"/>
      <c r="K36" s="5"/>
      <c r="L36" s="5"/>
      <c r="M36" s="5"/>
      <c r="N36" s="5"/>
      <c r="O36" s="5"/>
      <c r="P36" s="5"/>
    </row>
    <row r="37" spans="1:16" x14ac:dyDescent="0.35">
      <c r="A37" s="5"/>
      <c r="B37" s="5" t="s">
        <v>114</v>
      </c>
      <c r="C37" s="5"/>
      <c r="D37" s="5"/>
      <c r="E37" s="5"/>
      <c r="F37" s="5"/>
      <c r="G37" s="5"/>
      <c r="H37" s="5"/>
      <c r="I37" s="5"/>
      <c r="J37" s="30">
        <f>ROUND($J$33*0.1,-3)</f>
        <v>24522000</v>
      </c>
      <c r="K37" s="5"/>
      <c r="L37" s="5" t="s">
        <v>115</v>
      </c>
      <c r="M37" s="5"/>
      <c r="N37" s="5"/>
      <c r="O37" s="5"/>
      <c r="P37" s="5"/>
    </row>
    <row r="38" spans="1:16" x14ac:dyDescent="0.35">
      <c r="A38" s="5"/>
      <c r="B38" s="5" t="s">
        <v>116</v>
      </c>
      <c r="C38" s="5"/>
      <c r="D38" s="5"/>
      <c r="E38" s="5"/>
      <c r="F38" s="5"/>
      <c r="G38" s="5"/>
      <c r="H38" s="5"/>
      <c r="I38" s="5"/>
      <c r="J38" s="30">
        <f>ROUND($J$33*0.1,-3)</f>
        <v>24522000</v>
      </c>
      <c r="K38" s="5"/>
      <c r="L38" s="5" t="s">
        <v>117</v>
      </c>
      <c r="M38" s="5"/>
      <c r="N38" s="5"/>
      <c r="O38" s="5"/>
      <c r="P38" s="5"/>
    </row>
    <row r="39" spans="1:16" x14ac:dyDescent="0.35">
      <c r="A39" s="5"/>
      <c r="B39" s="5" t="s">
        <v>118</v>
      </c>
      <c r="C39" s="5"/>
      <c r="D39" s="5"/>
      <c r="E39" s="5"/>
      <c r="F39" s="5"/>
      <c r="G39" s="5"/>
      <c r="H39" s="5"/>
      <c r="I39" s="5"/>
      <c r="J39" s="30">
        <f>ROUND($J$33*0.1,-3)</f>
        <v>24522000</v>
      </c>
      <c r="K39" s="5"/>
      <c r="L39" s="5" t="s">
        <v>119</v>
      </c>
      <c r="M39" s="5"/>
      <c r="N39" s="5"/>
      <c r="O39" s="5"/>
      <c r="P39" s="5"/>
    </row>
    <row r="40" spans="1:16" x14ac:dyDescent="0.35">
      <c r="A40" s="5"/>
      <c r="B40" s="5"/>
      <c r="C40" s="5"/>
      <c r="D40" s="5"/>
      <c r="E40" s="5"/>
      <c r="F40" s="5"/>
      <c r="G40" s="5"/>
      <c r="H40" s="5"/>
      <c r="I40" s="5"/>
      <c r="J40" s="5"/>
      <c r="K40" s="5"/>
      <c r="L40" s="5"/>
      <c r="M40" s="5"/>
      <c r="N40" s="5"/>
      <c r="O40" s="5"/>
      <c r="P40" s="5"/>
    </row>
    <row r="41" spans="1:16" x14ac:dyDescent="0.35">
      <c r="A41" s="5"/>
      <c r="B41" s="26" t="s">
        <v>120</v>
      </c>
      <c r="C41" s="26"/>
      <c r="D41" s="26"/>
      <c r="E41" s="26"/>
      <c r="F41" s="26"/>
      <c r="G41" s="26"/>
      <c r="H41" s="26"/>
      <c r="I41" s="26"/>
      <c r="J41" s="29">
        <f>SUM(J33+J37+J38+J39)</f>
        <v>318789000</v>
      </c>
      <c r="K41" s="5"/>
      <c r="L41" s="5" t="s">
        <v>121</v>
      </c>
      <c r="M41" s="5"/>
      <c r="N41" s="5"/>
      <c r="O41" s="5"/>
      <c r="P41" s="5"/>
    </row>
    <row r="42" spans="1:16" x14ac:dyDescent="0.35">
      <c r="A42" s="5"/>
      <c r="B42" s="26" t="s">
        <v>122</v>
      </c>
      <c r="C42" s="26"/>
      <c r="D42" s="26"/>
      <c r="E42" s="26"/>
      <c r="F42" s="26"/>
      <c r="G42" s="26"/>
      <c r="H42" s="26"/>
      <c r="I42" s="26"/>
      <c r="J42" s="28">
        <f>J41/(I5*1000)</f>
        <v>637.57799999999997</v>
      </c>
      <c r="K42" s="5"/>
      <c r="L42" s="5" t="s">
        <v>123</v>
      </c>
      <c r="M42" s="5"/>
      <c r="N42" s="5"/>
      <c r="O42" s="5"/>
      <c r="P42" s="5"/>
    </row>
    <row r="43" spans="1:16" x14ac:dyDescent="0.35">
      <c r="A43" s="5"/>
      <c r="B43" s="5"/>
      <c r="C43" s="5"/>
      <c r="D43" s="5"/>
      <c r="E43" s="5"/>
      <c r="F43" s="5"/>
      <c r="G43" s="5"/>
      <c r="H43" s="5"/>
      <c r="I43" s="5"/>
      <c r="J43" s="5"/>
      <c r="K43" s="5"/>
      <c r="L43" s="5"/>
      <c r="M43" s="5"/>
      <c r="N43" s="5"/>
      <c r="O43" s="5"/>
      <c r="P43" s="5"/>
    </row>
    <row r="44" spans="1:16" x14ac:dyDescent="0.35">
      <c r="A44" s="5"/>
      <c r="B44" s="5" t="s">
        <v>124</v>
      </c>
      <c r="C44" s="5"/>
      <c r="D44" s="5"/>
      <c r="E44" s="5"/>
      <c r="F44" s="5"/>
      <c r="G44" s="5"/>
      <c r="H44" s="5"/>
      <c r="I44" s="5"/>
      <c r="J44" s="30">
        <f>ROUND((J41)*IF(I3,0.02,0.05),-3)</f>
        <v>15939000</v>
      </c>
      <c r="K44" s="5"/>
      <c r="L44" s="5" t="s">
        <v>125</v>
      </c>
      <c r="M44" s="5"/>
      <c r="N44" s="5"/>
      <c r="O44" s="5"/>
      <c r="P44" s="5"/>
    </row>
    <row r="45" spans="1:16" x14ac:dyDescent="0.35">
      <c r="A45" s="5"/>
      <c r="B45" s="26" t="s">
        <v>126</v>
      </c>
      <c r="C45" s="26"/>
      <c r="D45" s="26"/>
      <c r="E45" s="26"/>
      <c r="F45" s="26"/>
      <c r="G45" s="26"/>
      <c r="H45" s="26"/>
      <c r="I45" s="26"/>
      <c r="J45" s="29">
        <f>J44+J41</f>
        <v>334728000</v>
      </c>
      <c r="K45" s="5"/>
      <c r="L45" s="5" t="s">
        <v>127</v>
      </c>
      <c r="M45" s="5"/>
      <c r="N45" s="5"/>
      <c r="O45" s="5"/>
      <c r="P45" s="5"/>
    </row>
    <row r="46" spans="1:16" x14ac:dyDescent="0.35">
      <c r="A46" s="5"/>
      <c r="B46" s="26" t="s">
        <v>128</v>
      </c>
      <c r="C46" s="26"/>
      <c r="D46" s="26"/>
      <c r="E46" s="26"/>
      <c r="F46" s="26"/>
      <c r="G46" s="26"/>
      <c r="H46" s="26"/>
      <c r="I46" s="26"/>
      <c r="J46" s="28">
        <f>J45/(I5*1000)</f>
        <v>669.45600000000002</v>
      </c>
      <c r="K46" s="5"/>
      <c r="L46" s="5" t="s">
        <v>129</v>
      </c>
      <c r="M46" s="5"/>
      <c r="N46" s="5"/>
      <c r="O46" s="5"/>
      <c r="P46" s="5"/>
    </row>
    <row r="47" spans="1:16" x14ac:dyDescent="0.35">
      <c r="A47" s="5"/>
      <c r="B47" s="5"/>
      <c r="C47" s="5"/>
      <c r="D47" s="5"/>
      <c r="E47" s="5"/>
      <c r="F47" s="5"/>
      <c r="G47" s="5"/>
      <c r="H47" s="5"/>
      <c r="I47" s="5"/>
      <c r="J47" s="5"/>
      <c r="K47" s="5"/>
      <c r="L47" s="5"/>
      <c r="M47" s="5"/>
      <c r="N47" s="5"/>
      <c r="O47" s="5"/>
      <c r="P47" s="5"/>
    </row>
    <row r="48" spans="1:16" x14ac:dyDescent="0.35">
      <c r="A48" s="5"/>
      <c r="B48" s="5" t="s">
        <v>130</v>
      </c>
      <c r="C48" s="5"/>
      <c r="D48" s="5"/>
      <c r="E48" s="5"/>
      <c r="F48" s="5"/>
      <c r="G48" s="5"/>
      <c r="H48" s="5"/>
      <c r="I48" s="5"/>
      <c r="J48" s="30">
        <f>ROUND($J$45*0.1,-3)</f>
        <v>33473000</v>
      </c>
      <c r="K48" s="5"/>
      <c r="L48" s="5" t="s">
        <v>131</v>
      </c>
      <c r="M48" s="5"/>
      <c r="N48" s="5"/>
      <c r="O48" s="5"/>
      <c r="P48" s="5"/>
    </row>
    <row r="49" spans="1:16" x14ac:dyDescent="0.35">
      <c r="A49" s="5"/>
      <c r="B49" s="5" t="s">
        <v>132</v>
      </c>
      <c r="C49" s="5"/>
      <c r="D49" s="5"/>
      <c r="E49" s="5"/>
      <c r="F49" s="5"/>
      <c r="G49" s="5"/>
      <c r="H49" s="5"/>
      <c r="I49" s="5"/>
      <c r="J49" s="30">
        <f>ROUND((J41+J44)*IF(I3,0.15,0),-3)</f>
        <v>0</v>
      </c>
      <c r="K49" s="5"/>
      <c r="L49" s="5" t="s">
        <v>133</v>
      </c>
      <c r="M49" s="5"/>
      <c r="N49" s="5"/>
      <c r="O49" s="5"/>
      <c r="P49" s="5"/>
    </row>
    <row r="50" spans="1:16" x14ac:dyDescent="0.35">
      <c r="A50" s="5"/>
      <c r="B50" s="5"/>
      <c r="C50" s="5"/>
      <c r="D50" s="5"/>
      <c r="E50" s="5"/>
      <c r="F50" s="5"/>
      <c r="G50" s="5"/>
      <c r="H50" s="5"/>
      <c r="I50" s="5"/>
      <c r="J50" s="5"/>
      <c r="K50" s="5"/>
      <c r="L50" s="5"/>
      <c r="M50" s="5"/>
      <c r="N50" s="5"/>
      <c r="O50" s="5"/>
      <c r="P50" s="5"/>
    </row>
    <row r="51" spans="1:16" x14ac:dyDescent="0.35">
      <c r="A51" s="5"/>
      <c r="B51" s="26" t="s">
        <v>134</v>
      </c>
      <c r="C51" s="26"/>
      <c r="D51" s="26"/>
      <c r="E51" s="26"/>
      <c r="F51" s="26"/>
      <c r="G51" s="26"/>
      <c r="H51" s="26"/>
      <c r="I51" s="26"/>
      <c r="J51" s="29">
        <f>J41+J44+J48+J49</f>
        <v>368201000</v>
      </c>
      <c r="K51" s="5"/>
      <c r="L51" s="5" t="s">
        <v>135</v>
      </c>
      <c r="M51" s="5"/>
      <c r="N51" s="5"/>
      <c r="O51" s="5"/>
      <c r="P51" s="5"/>
    </row>
    <row r="52" spans="1:16" x14ac:dyDescent="0.35">
      <c r="A52" s="5"/>
      <c r="B52" s="26" t="s">
        <v>136</v>
      </c>
      <c r="C52" s="26"/>
      <c r="D52" s="26"/>
      <c r="E52" s="26"/>
      <c r="F52" s="26"/>
      <c r="G52" s="26"/>
      <c r="H52" s="26"/>
      <c r="I52" s="26"/>
      <c r="J52" s="28">
        <f>J51/(I5*1000)</f>
        <v>736.40200000000004</v>
      </c>
      <c r="K52" s="5"/>
      <c r="L52" s="5" t="s">
        <v>137</v>
      </c>
      <c r="M52" s="5"/>
      <c r="N52" s="5"/>
      <c r="O52" s="5"/>
      <c r="P52" s="5"/>
    </row>
    <row r="53" spans="1:16" x14ac:dyDescent="0.35">
      <c r="A53" s="5"/>
      <c r="B53" s="5"/>
      <c r="C53" s="5"/>
      <c r="D53" s="5"/>
      <c r="E53" s="5"/>
      <c r="F53" s="5"/>
      <c r="G53" s="5"/>
      <c r="H53" s="5"/>
      <c r="I53" s="5"/>
      <c r="J53" s="5"/>
      <c r="K53" s="5"/>
      <c r="L53" s="5"/>
      <c r="M53" s="5"/>
      <c r="N53" s="5"/>
      <c r="O53" s="5"/>
      <c r="P53" s="5"/>
    </row>
    <row r="54" spans="1:16" x14ac:dyDescent="0.35">
      <c r="A54" s="5" t="s">
        <v>138</v>
      </c>
      <c r="B54" s="5"/>
      <c r="C54" s="5"/>
      <c r="D54" s="5"/>
      <c r="E54" s="5"/>
      <c r="F54" s="5"/>
      <c r="G54" s="5"/>
      <c r="H54" s="5"/>
      <c r="I54" s="5"/>
      <c r="J54" s="5"/>
      <c r="K54" s="5"/>
      <c r="L54" s="5"/>
      <c r="M54" s="5"/>
      <c r="N54" s="5"/>
      <c r="O54" s="5"/>
      <c r="P54" s="5"/>
    </row>
    <row r="55" spans="1:16" x14ac:dyDescent="0.35">
      <c r="A55" s="5"/>
      <c r="B55" s="5" t="s">
        <v>139</v>
      </c>
      <c r="C55" s="5"/>
      <c r="D55" s="5"/>
      <c r="E55" s="5"/>
      <c r="F55" s="5"/>
      <c r="G55" s="5"/>
      <c r="H55" s="5"/>
      <c r="I55" s="5"/>
      <c r="J55" s="27">
        <f>ROUND(8*2080*I23/(I5*1000),3)</f>
        <v>1.9970000000000001</v>
      </c>
      <c r="K55" s="5"/>
      <c r="L55" s="5" t="s">
        <v>140</v>
      </c>
      <c r="M55" s="5"/>
      <c r="N55" s="5"/>
      <c r="O55" s="5"/>
      <c r="P55" s="5"/>
    </row>
    <row r="56" spans="1:16" x14ac:dyDescent="0.35">
      <c r="A56" s="5"/>
      <c r="B56" s="5" t="s">
        <v>141</v>
      </c>
      <c r="C56" s="5"/>
      <c r="D56" s="5"/>
      <c r="E56" s="5"/>
      <c r="F56" s="5"/>
      <c r="G56" s="5"/>
      <c r="H56" s="5"/>
      <c r="I56" s="5"/>
      <c r="J56" s="27">
        <f>ROUND((J33*0.015)/(I6*I5*1000),3)</f>
        <v>7.3570000000000002</v>
      </c>
      <c r="K56" s="5"/>
      <c r="L56" s="5" t="s">
        <v>142</v>
      </c>
      <c r="M56" s="5"/>
      <c r="N56" s="5"/>
      <c r="O56" s="5"/>
      <c r="P56" s="5"/>
    </row>
    <row r="57" spans="1:16" x14ac:dyDescent="0.35">
      <c r="A57" s="5"/>
      <c r="B57" s="5" t="s">
        <v>143</v>
      </c>
      <c r="C57" s="5"/>
      <c r="D57" s="5"/>
      <c r="E57" s="5"/>
      <c r="F57" s="5"/>
      <c r="G57" s="5"/>
      <c r="H57" s="5"/>
      <c r="I57" s="5"/>
      <c r="J57" s="27">
        <f>ROUND(0.03*(J55+0.4*J56),4)</f>
        <v>0.1482</v>
      </c>
      <c r="K57" s="5"/>
      <c r="L57" s="5" t="s">
        <v>144</v>
      </c>
      <c r="M57" s="5"/>
      <c r="N57" s="5"/>
      <c r="O57" s="5"/>
      <c r="P57" s="5"/>
    </row>
    <row r="58" spans="1:16" x14ac:dyDescent="0.35">
      <c r="A58" s="5"/>
      <c r="B58" s="5"/>
      <c r="C58" s="5"/>
      <c r="D58" s="5"/>
      <c r="E58" s="5"/>
      <c r="F58" s="5"/>
      <c r="G58" s="5"/>
      <c r="H58" s="5"/>
      <c r="I58" s="5"/>
      <c r="J58" s="5"/>
      <c r="K58" s="5"/>
      <c r="L58" s="5"/>
      <c r="M58" s="5"/>
      <c r="N58" s="5"/>
      <c r="O58" s="5"/>
      <c r="P58" s="5"/>
    </row>
    <row r="59" spans="1:16" x14ac:dyDescent="0.35">
      <c r="A59" s="5"/>
      <c r="B59" s="5"/>
      <c r="C59" s="5"/>
      <c r="D59" s="5"/>
      <c r="E59" s="5"/>
      <c r="F59" s="5"/>
      <c r="G59" s="5"/>
      <c r="H59" s="5"/>
      <c r="I59" s="5"/>
      <c r="J59" s="5"/>
      <c r="K59" s="5"/>
      <c r="L59" s="5"/>
      <c r="M59" s="5"/>
      <c r="N59" s="5"/>
      <c r="O59" s="5"/>
      <c r="P59" s="5"/>
    </row>
    <row r="60" spans="1:16" x14ac:dyDescent="0.35">
      <c r="A60" s="5"/>
      <c r="B60" s="26" t="s">
        <v>145</v>
      </c>
      <c r="C60" s="26"/>
      <c r="D60" s="26"/>
      <c r="E60" s="26"/>
      <c r="F60" s="26"/>
      <c r="G60" s="26"/>
      <c r="H60" s="26"/>
      <c r="I60" s="26"/>
      <c r="J60" s="25">
        <f>SUM(J55+J56+J57)</f>
        <v>9.5022000000000002</v>
      </c>
      <c r="K60" s="5"/>
      <c r="L60" s="5" t="s">
        <v>146</v>
      </c>
      <c r="M60" s="5"/>
      <c r="N60" s="5"/>
      <c r="O60" s="5"/>
      <c r="P60" s="5"/>
    </row>
    <row r="61" spans="1:16" x14ac:dyDescent="0.35">
      <c r="A61" s="5"/>
      <c r="B61" s="5"/>
      <c r="C61" s="5"/>
      <c r="D61" s="5"/>
      <c r="E61" s="5"/>
      <c r="F61" s="5"/>
      <c r="G61" s="5"/>
      <c r="H61" s="5"/>
      <c r="I61" s="5"/>
      <c r="J61" s="5"/>
      <c r="K61" s="5"/>
      <c r="L61" s="5"/>
      <c r="M61" s="5"/>
      <c r="N61" s="5"/>
      <c r="O61" s="5"/>
      <c r="P61" s="5"/>
    </row>
    <row r="62" spans="1:16" x14ac:dyDescent="0.35">
      <c r="A62" s="5" t="s">
        <v>147</v>
      </c>
      <c r="B62" s="5"/>
      <c r="C62" s="5"/>
      <c r="D62" s="5"/>
      <c r="E62" s="5"/>
      <c r="F62" s="5"/>
      <c r="G62" s="5"/>
      <c r="H62" s="5"/>
      <c r="I62" s="5"/>
      <c r="J62" s="5"/>
      <c r="K62" s="5"/>
      <c r="L62" s="5"/>
      <c r="M62" s="5"/>
      <c r="N62" s="5"/>
      <c r="O62" s="5"/>
      <c r="P62" s="5"/>
    </row>
    <row r="63" spans="1:16" x14ac:dyDescent="0.35">
      <c r="A63" s="5"/>
      <c r="B63" s="5" t="s">
        <v>148</v>
      </c>
      <c r="C63" s="5"/>
      <c r="D63" s="5"/>
      <c r="E63" s="5"/>
      <c r="F63" s="5"/>
      <c r="G63" s="5"/>
      <c r="H63" s="5"/>
      <c r="I63" s="5"/>
      <c r="J63" s="27">
        <f>ROUND(I15*I19/I5*I14/95,3)</f>
        <v>1.8080000000000001</v>
      </c>
      <c r="K63" s="5"/>
      <c r="L63" s="5" t="s">
        <v>149</v>
      </c>
      <c r="M63" s="5"/>
      <c r="N63" s="5"/>
      <c r="O63" s="5"/>
      <c r="P63" s="5"/>
    </row>
    <row r="64" spans="1:16" x14ac:dyDescent="0.35">
      <c r="A64" s="5"/>
      <c r="B64" s="5" t="s">
        <v>150</v>
      </c>
      <c r="C64" s="5"/>
      <c r="D64" s="5"/>
      <c r="E64" s="5"/>
      <c r="F64" s="5"/>
      <c r="G64" s="5"/>
      <c r="H64" s="5"/>
      <c r="I64" s="5"/>
      <c r="J64" s="27">
        <f xml:space="preserve"> ROUND(I16*I20/I5*I14/95,3)</f>
        <v>0.96399999999999997</v>
      </c>
      <c r="K64" s="5"/>
      <c r="L64" s="5" t="s">
        <v>151</v>
      </c>
      <c r="M64" s="5"/>
      <c r="N64" s="5"/>
      <c r="O64" s="5"/>
      <c r="P64" s="5"/>
    </row>
    <row r="65" spans="1:16" x14ac:dyDescent="0.35">
      <c r="A65" s="5"/>
      <c r="B65" s="5" t="s">
        <v>152</v>
      </c>
      <c r="C65" s="5"/>
      <c r="D65" s="5"/>
      <c r="E65" s="5"/>
      <c r="F65" s="5"/>
      <c r="G65" s="5"/>
      <c r="H65" s="5"/>
      <c r="I65" s="5"/>
      <c r="J65" s="27">
        <f>IF(B108,I17*I21*10,0)</f>
        <v>0.81198472319999992</v>
      </c>
      <c r="K65" s="5"/>
      <c r="L65" s="5" t="s">
        <v>153</v>
      </c>
      <c r="M65" s="5"/>
      <c r="N65" s="5"/>
      <c r="O65" s="5"/>
      <c r="P65" s="5"/>
    </row>
    <row r="66" spans="1:16" x14ac:dyDescent="0.35">
      <c r="A66" s="5"/>
      <c r="B66" s="5" t="s">
        <v>154</v>
      </c>
      <c r="C66" s="5"/>
      <c r="D66" s="5"/>
      <c r="E66" s="5"/>
      <c r="F66" s="5"/>
      <c r="G66" s="5"/>
      <c r="H66" s="5"/>
      <c r="I66" s="5"/>
      <c r="J66" s="27">
        <f>ROUND(I18*I22/I5,3)</f>
        <v>5.8000000000000003E-2</v>
      </c>
      <c r="K66" s="5"/>
      <c r="L66" s="5" t="s">
        <v>155</v>
      </c>
      <c r="M66" s="5"/>
      <c r="N66" s="5"/>
      <c r="O66" s="5"/>
      <c r="P66" s="5"/>
    </row>
    <row r="67" spans="1:16" x14ac:dyDescent="0.35">
      <c r="A67" s="5"/>
      <c r="B67" s="5"/>
      <c r="C67" s="5"/>
      <c r="D67" s="5"/>
      <c r="E67" s="5"/>
      <c r="F67" s="5"/>
      <c r="G67" s="5"/>
      <c r="H67" s="5"/>
      <c r="I67" s="5"/>
      <c r="J67" s="27"/>
      <c r="K67" s="5"/>
      <c r="L67" s="5"/>
      <c r="M67" s="5"/>
      <c r="N67" s="5"/>
      <c r="O67" s="5"/>
      <c r="P67" s="5"/>
    </row>
    <row r="68" spans="1:16" x14ac:dyDescent="0.35">
      <c r="A68" s="5"/>
      <c r="B68" s="5"/>
      <c r="C68" s="5"/>
      <c r="D68" s="5"/>
      <c r="E68" s="5"/>
      <c r="F68" s="5"/>
      <c r="G68" s="5"/>
      <c r="H68" s="5"/>
      <c r="I68" s="5"/>
      <c r="J68" s="5"/>
      <c r="K68" s="5"/>
      <c r="L68" s="5"/>
      <c r="M68" s="5"/>
      <c r="N68" s="5"/>
      <c r="O68" s="5"/>
      <c r="P68" s="5"/>
    </row>
    <row r="69" spans="1:16" x14ac:dyDescent="0.35">
      <c r="A69" s="5"/>
      <c r="B69" s="26" t="s">
        <v>156</v>
      </c>
      <c r="C69" s="26"/>
      <c r="D69" s="26"/>
      <c r="E69" s="26"/>
      <c r="F69" s="26"/>
      <c r="G69" s="26"/>
      <c r="H69" s="26"/>
      <c r="I69" s="26"/>
      <c r="J69" s="25">
        <f>SUM(J63+J64+J65+J66)</f>
        <v>3.6419847232000002</v>
      </c>
      <c r="K69" s="5"/>
      <c r="L69" s="5" t="s">
        <v>157</v>
      </c>
      <c r="M69" s="5"/>
      <c r="N69" s="5"/>
      <c r="O69" s="5"/>
      <c r="P69" s="5"/>
    </row>
    <row r="70" spans="1:16" x14ac:dyDescent="0.35">
      <c r="A70" s="5"/>
      <c r="B70" s="5"/>
      <c r="C70" s="5"/>
      <c r="D70" s="5"/>
      <c r="E70" s="5"/>
      <c r="F70" s="5"/>
      <c r="G70" s="5"/>
      <c r="H70" s="5"/>
      <c r="I70" s="5"/>
      <c r="J70" s="5"/>
      <c r="K70" s="5"/>
      <c r="L70" s="5"/>
      <c r="M70" s="5"/>
      <c r="N70" s="5"/>
      <c r="O70" s="5"/>
      <c r="P70" s="5"/>
    </row>
    <row r="71" spans="1:16" x14ac:dyDescent="0.35">
      <c r="A71" s="5"/>
      <c r="B71" s="5"/>
      <c r="C71" s="5"/>
      <c r="D71" s="5"/>
      <c r="E71" s="5"/>
      <c r="F71" s="5"/>
      <c r="G71" s="10" t="s">
        <v>158</v>
      </c>
      <c r="H71" s="24">
        <f>I13/100</f>
        <v>0.95</v>
      </c>
      <c r="I71" s="5"/>
      <c r="J71" s="5"/>
      <c r="K71" s="5"/>
      <c r="L71" s="5"/>
      <c r="M71" s="5"/>
      <c r="N71" s="5"/>
      <c r="O71" s="5"/>
      <c r="P71" s="5"/>
    </row>
    <row r="72" spans="1:16" x14ac:dyDescent="0.35">
      <c r="A72" s="5"/>
      <c r="B72" s="5"/>
      <c r="C72" s="5"/>
      <c r="D72" s="5"/>
      <c r="E72" s="5"/>
      <c r="F72" s="5"/>
      <c r="G72" s="10" t="s">
        <v>159</v>
      </c>
      <c r="H72" s="9">
        <f>H71*I5*8760</f>
        <v>4161000</v>
      </c>
      <c r="I72" s="5"/>
      <c r="J72" s="5"/>
      <c r="K72" s="5"/>
      <c r="L72" s="5"/>
      <c r="M72" s="5"/>
      <c r="N72" s="5"/>
      <c r="O72" s="5"/>
      <c r="P72" s="5"/>
    </row>
    <row r="73" spans="1:16" x14ac:dyDescent="0.35">
      <c r="A73" s="5"/>
      <c r="B73" s="5"/>
      <c r="C73" s="5"/>
      <c r="D73" s="5"/>
      <c r="E73" s="5"/>
      <c r="F73" s="5"/>
      <c r="G73" s="10" t="s">
        <v>160</v>
      </c>
      <c r="H73" s="22">
        <f>H72*1000*I7/1000000</f>
        <v>40777800</v>
      </c>
      <c r="I73" s="5"/>
      <c r="J73" s="5"/>
      <c r="K73" s="5"/>
      <c r="L73" s="5"/>
      <c r="M73" s="5"/>
      <c r="N73" s="5"/>
      <c r="O73" s="5"/>
      <c r="P73" s="5"/>
    </row>
    <row r="74" spans="1:16" x14ac:dyDescent="0.35">
      <c r="A74" s="5"/>
      <c r="B74" s="5"/>
      <c r="C74" s="5"/>
      <c r="D74" s="5"/>
      <c r="E74" s="5"/>
      <c r="F74" s="5"/>
      <c r="G74" s="10" t="s">
        <v>161</v>
      </c>
      <c r="H74" s="22">
        <f>I8*H73/2000</f>
        <v>40777.800000000003</v>
      </c>
      <c r="I74" s="5" t="s">
        <v>162</v>
      </c>
      <c r="J74" s="5"/>
      <c r="K74" s="5"/>
      <c r="L74" s="5"/>
      <c r="M74" s="5"/>
      <c r="N74" s="5"/>
      <c r="O74" s="5"/>
      <c r="P74" s="5"/>
    </row>
    <row r="75" spans="1:16" x14ac:dyDescent="0.35">
      <c r="A75" s="5"/>
      <c r="B75" s="5"/>
      <c r="C75" s="5"/>
      <c r="D75" s="5"/>
      <c r="E75" s="5"/>
      <c r="F75" s="5"/>
      <c r="G75" s="10" t="s">
        <v>163</v>
      </c>
      <c r="H75" s="22">
        <f>I14*H74/100</f>
        <v>38738.910000000003</v>
      </c>
      <c r="I75" s="5" t="str">
        <f>"at removal efficiency = "&amp;I14&amp;"%"</f>
        <v>at removal efficiency = 95%</v>
      </c>
      <c r="J75" s="5"/>
      <c r="K75" s="5"/>
      <c r="L75" s="5"/>
      <c r="M75" s="5"/>
      <c r="N75" s="5"/>
      <c r="O75" s="5"/>
      <c r="P75" s="5"/>
    </row>
    <row r="76" spans="1:16" x14ac:dyDescent="0.35">
      <c r="A76" s="5"/>
      <c r="B76" s="5"/>
      <c r="C76" s="5"/>
      <c r="D76" s="5"/>
      <c r="E76" s="5"/>
      <c r="F76" s="5"/>
      <c r="G76" s="10" t="s">
        <v>164</v>
      </c>
      <c r="H76" s="22">
        <f>H74-H75</f>
        <v>2038.8899999999994</v>
      </c>
      <c r="I76" s="5"/>
      <c r="J76" s="5"/>
      <c r="K76" s="5"/>
      <c r="L76" s="5"/>
      <c r="M76" s="5"/>
      <c r="N76" s="5"/>
      <c r="O76" s="5"/>
      <c r="P76" s="5"/>
    </row>
    <row r="77" spans="1:16" x14ac:dyDescent="0.35">
      <c r="A77" s="5"/>
      <c r="B77" s="5"/>
      <c r="C77" s="5"/>
      <c r="D77" s="5"/>
      <c r="E77" s="5"/>
      <c r="F77" s="5"/>
      <c r="G77" s="10" t="s">
        <v>165</v>
      </c>
      <c r="H77" s="21">
        <f>H76*2000/H73</f>
        <v>9.9999999999999978E-2</v>
      </c>
      <c r="I77" s="5" t="str">
        <f>IF(H77&gt;=0.08, "Value is AT or ABOVE a 0.08 floor rate", "Value is BELOW a 0.08 floor rate")</f>
        <v>Value is AT or ABOVE a 0.08 floor rate</v>
      </c>
      <c r="J77" s="5"/>
      <c r="K77" s="5"/>
      <c r="L77" s="5"/>
      <c r="M77" s="5"/>
      <c r="N77" s="5"/>
      <c r="O77" s="5"/>
      <c r="P77" s="5"/>
    </row>
    <row r="78" spans="1:16" x14ac:dyDescent="0.35">
      <c r="A78" s="5"/>
      <c r="B78" s="5"/>
      <c r="C78" s="5"/>
      <c r="D78" s="5"/>
      <c r="E78" s="5"/>
      <c r="F78" s="5"/>
      <c r="G78" s="5"/>
      <c r="H78" s="5"/>
      <c r="I78" s="5"/>
      <c r="J78" s="5"/>
      <c r="K78" s="5"/>
      <c r="L78" s="5"/>
      <c r="M78" s="5"/>
      <c r="N78" s="5"/>
      <c r="O78" s="5"/>
      <c r="P78" s="5"/>
    </row>
    <row r="79" spans="1:16" x14ac:dyDescent="0.35">
      <c r="A79" s="5"/>
      <c r="B79" s="5"/>
      <c r="C79" s="5"/>
      <c r="D79" s="5"/>
      <c r="E79" s="5"/>
      <c r="F79" s="5"/>
      <c r="G79" s="10" t="s">
        <v>166</v>
      </c>
      <c r="H79" s="17">
        <f>0.143</f>
        <v>0.14299999999999999</v>
      </c>
      <c r="I79" s="5" t="s">
        <v>167</v>
      </c>
      <c r="J79" s="5"/>
      <c r="K79" s="5"/>
      <c r="L79" s="5"/>
      <c r="M79" s="5"/>
      <c r="N79" s="5"/>
      <c r="O79" s="5"/>
      <c r="P79" s="5"/>
    </row>
    <row r="80" spans="1:16" x14ac:dyDescent="0.35">
      <c r="A80" s="5"/>
      <c r="B80" s="5"/>
      <c r="C80" s="5"/>
      <c r="D80" s="5"/>
      <c r="E80" s="5"/>
      <c r="F80" s="5"/>
      <c r="G80" s="5"/>
      <c r="H80" s="10" t="s">
        <v>168</v>
      </c>
      <c r="I80" s="9">
        <f>ROUND(H79*J51,-3)</f>
        <v>52653000</v>
      </c>
      <c r="J80" s="5"/>
      <c r="K80" s="5"/>
      <c r="L80" s="5"/>
      <c r="M80" s="5"/>
      <c r="N80" s="5"/>
      <c r="O80" s="5"/>
      <c r="P80" s="5"/>
    </row>
    <row r="81" spans="1:18" x14ac:dyDescent="0.35">
      <c r="A81" s="5"/>
      <c r="B81" s="5"/>
      <c r="C81" s="5"/>
      <c r="D81" s="5"/>
      <c r="E81" s="5"/>
      <c r="F81" s="5"/>
      <c r="G81" s="5"/>
      <c r="H81" s="10" t="s">
        <v>169</v>
      </c>
      <c r="I81" s="9">
        <f>ROUND(J60*I5*1000,-3)</f>
        <v>4751000</v>
      </c>
      <c r="J81" s="5"/>
      <c r="K81" s="5"/>
      <c r="L81" s="5"/>
      <c r="M81" s="5"/>
      <c r="N81" s="5"/>
      <c r="O81" s="5"/>
      <c r="P81" s="5"/>
      <c r="Q81" s="78"/>
      <c r="R81" s="78"/>
    </row>
    <row r="82" spans="1:18" x14ac:dyDescent="0.35">
      <c r="A82" s="5"/>
      <c r="B82" s="5"/>
      <c r="C82" s="5"/>
      <c r="D82" s="5"/>
      <c r="E82" s="5"/>
      <c r="F82" s="5"/>
      <c r="G82" s="5"/>
      <c r="H82" s="10" t="s">
        <v>170</v>
      </c>
      <c r="I82" s="9">
        <f>ROUND(J69*H72,-3)</f>
        <v>15154000</v>
      </c>
      <c r="J82" s="5"/>
      <c r="K82" s="5"/>
      <c r="L82" s="5"/>
      <c r="M82" s="5"/>
      <c r="N82" s="5"/>
      <c r="O82" s="5"/>
      <c r="P82" s="5"/>
      <c r="Q82" s="78"/>
      <c r="R82" s="78"/>
    </row>
    <row r="83" spans="1:18" x14ac:dyDescent="0.35">
      <c r="A83" s="5"/>
      <c r="B83" s="5"/>
      <c r="C83" s="5"/>
      <c r="D83" s="5"/>
      <c r="E83" s="5"/>
      <c r="F83" s="5"/>
      <c r="G83" s="8"/>
      <c r="H83" s="7" t="s">
        <v>171</v>
      </c>
      <c r="I83" s="6">
        <f>SUM(I80:I82)</f>
        <v>72558000</v>
      </c>
      <c r="J83" s="5"/>
      <c r="K83" s="5"/>
      <c r="L83" s="5"/>
      <c r="M83" s="5"/>
      <c r="N83" s="5"/>
      <c r="O83" s="5"/>
      <c r="P83" s="5"/>
      <c r="Q83" s="78"/>
      <c r="R83" s="78"/>
    </row>
    <row r="84" spans="1:18" ht="15" thickBot="1" x14ac:dyDescent="0.4">
      <c r="A84" s="5"/>
      <c r="B84" s="5"/>
      <c r="C84" s="5"/>
      <c r="D84" s="5"/>
      <c r="E84" s="5"/>
      <c r="F84" s="5"/>
      <c r="G84" s="5"/>
      <c r="H84" s="5"/>
      <c r="I84" s="5"/>
      <c r="J84" s="5"/>
      <c r="K84" s="5"/>
      <c r="L84" s="5"/>
      <c r="M84" s="5"/>
      <c r="N84" s="5"/>
      <c r="O84" s="5"/>
      <c r="P84" s="5"/>
      <c r="Q84" s="78"/>
      <c r="R84" s="78"/>
    </row>
    <row r="85" spans="1:18" ht="15" thickTop="1" x14ac:dyDescent="0.35">
      <c r="A85" s="5"/>
      <c r="B85" s="5"/>
      <c r="C85" s="5"/>
      <c r="D85" s="5"/>
      <c r="E85" s="5"/>
      <c r="F85" s="5"/>
      <c r="G85" s="13"/>
      <c r="H85" s="12" t="s">
        <v>172</v>
      </c>
      <c r="I85" s="16">
        <f>I80/$H$72</f>
        <v>12.653929343907715</v>
      </c>
      <c r="J85" s="5"/>
      <c r="K85" s="5"/>
      <c r="L85" s="78"/>
      <c r="M85" s="73"/>
      <c r="N85" s="73"/>
      <c r="O85" s="74"/>
      <c r="P85" s="73"/>
      <c r="Q85" s="73"/>
      <c r="R85" s="74"/>
    </row>
    <row r="86" spans="1:18" x14ac:dyDescent="0.35">
      <c r="A86" s="5"/>
      <c r="B86" s="5"/>
      <c r="C86" s="5"/>
      <c r="D86" s="5"/>
      <c r="E86" s="5"/>
      <c r="F86" s="5"/>
      <c r="G86" s="5"/>
      <c r="H86" s="10" t="s">
        <v>173</v>
      </c>
      <c r="I86" s="15">
        <f>I81/$H$72</f>
        <v>1.1417928382600337</v>
      </c>
      <c r="J86" s="5"/>
      <c r="K86" s="5"/>
      <c r="L86" s="78"/>
      <c r="M86" s="75"/>
      <c r="N86" s="73"/>
      <c r="O86" s="74"/>
      <c r="P86" s="75"/>
      <c r="Q86" s="73"/>
      <c r="R86" s="74"/>
    </row>
    <row r="87" spans="1:18" x14ac:dyDescent="0.35">
      <c r="A87" s="5"/>
      <c r="B87" s="5"/>
      <c r="C87" s="5"/>
      <c r="D87" s="5"/>
      <c r="E87" s="5"/>
      <c r="F87" s="5"/>
      <c r="G87" s="5"/>
      <c r="H87" s="10" t="s">
        <v>174</v>
      </c>
      <c r="I87" s="15">
        <f>I82/$H$72</f>
        <v>3.6419130016822878</v>
      </c>
      <c r="J87" s="5"/>
      <c r="K87" s="5"/>
      <c r="L87" s="78"/>
      <c r="M87" s="75"/>
      <c r="N87" s="73"/>
      <c r="O87" s="74"/>
      <c r="P87" s="75"/>
      <c r="Q87" s="73"/>
      <c r="R87" s="74"/>
    </row>
    <row r="88" spans="1:18" x14ac:dyDescent="0.35">
      <c r="A88" s="5"/>
      <c r="B88" s="5"/>
      <c r="C88" s="5"/>
      <c r="D88" s="5"/>
      <c r="E88" s="5"/>
      <c r="F88" s="5"/>
      <c r="G88" s="8"/>
      <c r="H88" s="7" t="s">
        <v>175</v>
      </c>
      <c r="I88" s="14">
        <f>SUM(I85:I87)</f>
        <v>17.437635183850038</v>
      </c>
      <c r="J88" s="5"/>
      <c r="K88" s="5"/>
      <c r="L88" s="78"/>
      <c r="M88" s="74"/>
      <c r="N88" s="74"/>
      <c r="O88" s="74"/>
      <c r="P88" s="74"/>
      <c r="Q88" s="74"/>
      <c r="R88" s="74"/>
    </row>
    <row r="89" spans="1:18" ht="15" thickBot="1" x14ac:dyDescent="0.4">
      <c r="A89" s="5"/>
      <c r="B89" s="5"/>
      <c r="C89" s="5"/>
      <c r="D89" s="5"/>
      <c r="E89" s="5"/>
      <c r="F89" s="5"/>
      <c r="G89" s="5"/>
      <c r="H89" s="5"/>
      <c r="I89" s="5"/>
      <c r="J89" s="5"/>
      <c r="K89" s="5"/>
      <c r="L89" s="78"/>
      <c r="M89" s="74"/>
      <c r="N89" s="73"/>
      <c r="O89" s="74"/>
      <c r="P89" s="74"/>
      <c r="Q89" s="73"/>
      <c r="R89" s="74"/>
    </row>
    <row r="90" spans="1:18" ht="15" thickTop="1" x14ac:dyDescent="0.35">
      <c r="A90" s="5"/>
      <c r="B90" s="5"/>
      <c r="C90" s="5"/>
      <c r="D90" s="5"/>
      <c r="E90" s="5"/>
      <c r="F90" s="5"/>
      <c r="G90" s="13"/>
      <c r="H90" s="12" t="s">
        <v>176</v>
      </c>
      <c r="I90" s="11">
        <f>I80/$H$75</f>
        <v>1359.1760842006138</v>
      </c>
      <c r="J90" s="5"/>
      <c r="K90" s="5"/>
      <c r="L90" s="78"/>
      <c r="M90" s="73"/>
      <c r="N90" s="73"/>
      <c r="O90" s="73"/>
      <c r="P90" s="73"/>
      <c r="Q90" s="73"/>
      <c r="R90" s="73"/>
    </row>
    <row r="91" spans="1:18" x14ac:dyDescent="0.35">
      <c r="A91" s="5"/>
      <c r="B91" s="5"/>
      <c r="C91" s="5"/>
      <c r="D91" s="5"/>
      <c r="E91" s="5"/>
      <c r="F91" s="5"/>
      <c r="G91" s="5"/>
      <c r="H91" s="10" t="s">
        <v>177</v>
      </c>
      <c r="I91" s="9">
        <f>I81/$H$75</f>
        <v>122.64155083351595</v>
      </c>
      <c r="J91" s="22"/>
      <c r="K91" s="5"/>
      <c r="L91" s="78"/>
      <c r="M91" s="73"/>
      <c r="N91" s="73"/>
      <c r="O91" s="73"/>
      <c r="P91" s="73"/>
      <c r="Q91" s="73"/>
      <c r="R91" s="73"/>
    </row>
    <row r="92" spans="1:18" x14ac:dyDescent="0.35">
      <c r="A92" s="5"/>
      <c r="B92" s="5"/>
      <c r="C92" s="5"/>
      <c r="D92" s="5"/>
      <c r="E92" s="5"/>
      <c r="F92" s="5"/>
      <c r="G92" s="5"/>
      <c r="H92" s="10" t="s">
        <v>178</v>
      </c>
      <c r="I92" s="9">
        <f>I82/$H$75</f>
        <v>391.18292177038535</v>
      </c>
      <c r="J92" s="5"/>
      <c r="K92" s="5"/>
      <c r="L92" s="78"/>
      <c r="M92" s="73"/>
      <c r="N92" s="73"/>
      <c r="O92" s="73"/>
      <c r="P92" s="73"/>
      <c r="Q92" s="73"/>
      <c r="R92" s="73"/>
    </row>
    <row r="93" spans="1:18" x14ac:dyDescent="0.35">
      <c r="A93" s="5"/>
      <c r="B93" s="5"/>
      <c r="C93" s="5"/>
      <c r="D93" s="5"/>
      <c r="E93" s="5"/>
      <c r="F93" s="5"/>
      <c r="G93" s="8"/>
      <c r="H93" s="7" t="s">
        <v>179</v>
      </c>
      <c r="I93" s="6">
        <f>SUM(I90:I92)</f>
        <v>1873.0005568045151</v>
      </c>
      <c r="J93" s="5"/>
      <c r="K93" s="5"/>
      <c r="L93" s="78"/>
      <c r="M93" s="73"/>
      <c r="N93" s="73"/>
      <c r="O93" s="73"/>
      <c r="P93" s="73"/>
      <c r="Q93" s="73"/>
      <c r="R93" s="73"/>
    </row>
    <row r="94" spans="1:18" x14ac:dyDescent="0.35">
      <c r="A94" s="5"/>
      <c r="B94" s="5"/>
      <c r="C94" s="5"/>
      <c r="D94" s="5"/>
      <c r="E94" s="5"/>
      <c r="F94" s="5"/>
      <c r="G94" s="5"/>
      <c r="H94" s="5"/>
      <c r="I94" s="5"/>
      <c r="J94" s="5"/>
      <c r="K94" s="5"/>
      <c r="L94" s="5"/>
      <c r="M94" s="5"/>
      <c r="N94" s="5"/>
      <c r="O94" s="78"/>
      <c r="P94" s="78"/>
      <c r="Q94" s="78"/>
      <c r="R94" s="78"/>
    </row>
    <row r="95" spans="1:18" x14ac:dyDescent="0.35">
      <c r="A95" s="5"/>
      <c r="B95" s="5"/>
      <c r="C95" s="5"/>
      <c r="D95" s="5"/>
      <c r="E95" s="5"/>
      <c r="F95" s="5"/>
      <c r="G95" s="5"/>
      <c r="H95" s="5"/>
      <c r="I95" s="5"/>
      <c r="J95" s="5"/>
      <c r="K95" s="5"/>
      <c r="L95" s="5"/>
      <c r="M95" s="5"/>
      <c r="N95" s="5"/>
      <c r="O95" s="5"/>
      <c r="P95" s="5"/>
      <c r="Q95" s="78"/>
      <c r="R95" s="78"/>
    </row>
    <row r="96" spans="1:18" x14ac:dyDescent="0.35">
      <c r="A96" s="5" t="s">
        <v>180</v>
      </c>
      <c r="B96" s="5"/>
      <c r="C96" s="5"/>
      <c r="D96" s="5"/>
      <c r="E96" s="5"/>
      <c r="F96" s="5"/>
      <c r="G96" s="5"/>
      <c r="H96" s="5"/>
      <c r="I96" s="5"/>
      <c r="J96" s="5"/>
      <c r="K96" s="5"/>
      <c r="L96" s="5"/>
      <c r="M96" s="5"/>
      <c r="N96" s="5"/>
      <c r="O96" s="5"/>
      <c r="P96" s="5"/>
      <c r="Q96" s="78"/>
      <c r="R96" s="78"/>
    </row>
    <row r="97" spans="1:16" x14ac:dyDescent="0.35">
      <c r="A97" s="5"/>
      <c r="B97" s="5" t="s">
        <v>181</v>
      </c>
      <c r="C97" s="5" t="s">
        <v>50</v>
      </c>
      <c r="D97" s="5"/>
      <c r="E97" s="5"/>
      <c r="F97" s="5"/>
      <c r="G97" s="5"/>
      <c r="H97" s="5"/>
      <c r="I97" s="5"/>
      <c r="J97" s="5"/>
      <c r="K97" s="5"/>
      <c r="L97" s="5"/>
      <c r="M97" s="5"/>
      <c r="N97" s="5"/>
      <c r="O97" s="5"/>
      <c r="P97" s="5"/>
    </row>
    <row r="98" spans="1:16" x14ac:dyDescent="0.35">
      <c r="A98" s="5">
        <v>1</v>
      </c>
      <c r="B98" s="5" t="s">
        <v>182</v>
      </c>
      <c r="C98" s="5">
        <v>1.05</v>
      </c>
      <c r="D98" s="5"/>
      <c r="E98" s="5"/>
      <c r="F98" s="5"/>
      <c r="G98" s="5"/>
      <c r="H98" s="5"/>
      <c r="I98" s="5"/>
      <c r="J98" s="5"/>
      <c r="K98" s="5"/>
      <c r="L98" s="5"/>
      <c r="M98" s="5"/>
      <c r="N98" s="5"/>
      <c r="O98" s="5"/>
      <c r="P98" s="5"/>
    </row>
    <row r="99" spans="1:16" x14ac:dyDescent="0.35">
      <c r="A99" s="5">
        <v>2</v>
      </c>
      <c r="B99" s="5" t="s">
        <v>183</v>
      </c>
      <c r="C99" s="5">
        <v>1.07</v>
      </c>
      <c r="D99" s="5"/>
      <c r="E99" s="5"/>
      <c r="F99" s="5"/>
      <c r="G99" s="5"/>
      <c r="H99" s="5"/>
      <c r="I99" s="5"/>
      <c r="J99" s="5"/>
      <c r="K99" s="5"/>
      <c r="L99" s="5"/>
      <c r="M99" s="5"/>
      <c r="N99" s="5"/>
      <c r="O99" s="5"/>
      <c r="P99" s="5"/>
    </row>
    <row r="100" spans="1:16" x14ac:dyDescent="0.35">
      <c r="A100" s="5">
        <v>3</v>
      </c>
      <c r="B100" s="5" t="s">
        <v>184</v>
      </c>
      <c r="C100" s="5">
        <v>1</v>
      </c>
      <c r="D100" s="5"/>
      <c r="E100" s="5"/>
      <c r="F100" s="5"/>
      <c r="G100" s="5"/>
      <c r="H100" s="5"/>
      <c r="I100" s="5"/>
      <c r="J100" s="5"/>
      <c r="K100" s="5"/>
      <c r="L100" s="5"/>
      <c r="M100" s="5"/>
      <c r="N100" s="5"/>
      <c r="O100" s="5"/>
      <c r="P100" s="5"/>
    </row>
    <row r="101" spans="1:16" x14ac:dyDescent="0.35">
      <c r="A101" s="5"/>
      <c r="B101" s="5"/>
      <c r="C101" s="5"/>
      <c r="D101" s="5"/>
      <c r="E101" s="5"/>
      <c r="F101" s="5"/>
      <c r="G101" s="5"/>
      <c r="H101" s="5"/>
      <c r="I101" s="5"/>
      <c r="J101" s="5"/>
      <c r="K101" s="5"/>
      <c r="L101" s="5"/>
      <c r="M101" s="5"/>
      <c r="N101" s="5"/>
      <c r="O101" s="5"/>
      <c r="P101" s="5"/>
    </row>
    <row r="102" spans="1:16" x14ac:dyDescent="0.35">
      <c r="A102" s="78"/>
      <c r="B102" s="78"/>
      <c r="C102" s="78"/>
      <c r="D102" s="5"/>
      <c r="E102" s="5"/>
      <c r="F102" s="5"/>
      <c r="G102" s="5"/>
      <c r="H102" s="5"/>
      <c r="I102" s="5"/>
      <c r="J102" s="5"/>
      <c r="K102" s="5"/>
      <c r="L102" s="5"/>
      <c r="M102" s="5"/>
      <c r="N102" s="5"/>
      <c r="O102" s="5"/>
      <c r="P102" s="5"/>
    </row>
    <row r="103" spans="1:16" x14ac:dyDescent="0.35">
      <c r="A103" s="78"/>
      <c r="B103" s="78"/>
      <c r="C103" s="3"/>
      <c r="D103" s="5"/>
      <c r="E103" s="5"/>
      <c r="F103" s="5"/>
      <c r="G103" s="5"/>
      <c r="H103" s="5"/>
      <c r="I103" s="5"/>
      <c r="J103" s="5"/>
      <c r="K103" s="5"/>
      <c r="L103" s="5"/>
      <c r="M103" s="5"/>
      <c r="N103" s="5"/>
      <c r="O103" s="5"/>
      <c r="P103" s="5"/>
    </row>
    <row r="104" spans="1:16" x14ac:dyDescent="0.35">
      <c r="A104" s="78"/>
      <c r="B104" s="78"/>
      <c r="C104" s="3"/>
      <c r="D104" s="5"/>
      <c r="E104" s="5"/>
      <c r="F104" s="5"/>
      <c r="G104" s="5"/>
      <c r="H104" s="5"/>
      <c r="I104" s="5"/>
      <c r="J104" s="5"/>
      <c r="K104" s="5"/>
      <c r="L104" s="5"/>
      <c r="M104" s="5"/>
      <c r="N104" s="5"/>
      <c r="O104" s="5"/>
      <c r="P104" s="5"/>
    </row>
    <row r="105" spans="1:16" x14ac:dyDescent="0.35">
      <c r="A105" s="78"/>
      <c r="B105" s="78"/>
      <c r="C105" s="3"/>
      <c r="D105" s="5"/>
      <c r="E105" s="5"/>
      <c r="F105" s="5"/>
      <c r="G105" s="5"/>
      <c r="H105" s="5"/>
      <c r="I105" s="5"/>
      <c r="J105" s="5"/>
      <c r="K105" s="5"/>
      <c r="L105" s="5"/>
      <c r="M105" s="5"/>
      <c r="N105" s="5"/>
      <c r="O105" s="5"/>
      <c r="P105" s="5"/>
    </row>
    <row r="106" spans="1:16" x14ac:dyDescent="0.35">
      <c r="A106" s="5"/>
      <c r="B106" s="5"/>
      <c r="C106" s="5"/>
      <c r="D106" s="5"/>
      <c r="E106" s="5"/>
      <c r="F106" s="5"/>
      <c r="G106" s="5"/>
      <c r="H106" s="5"/>
      <c r="I106" s="5"/>
      <c r="J106" s="5"/>
      <c r="K106" s="5"/>
      <c r="L106" s="5"/>
      <c r="M106" s="5"/>
      <c r="N106" s="5"/>
      <c r="O106" s="5"/>
      <c r="P106" s="5"/>
    </row>
    <row r="107" spans="1:16" x14ac:dyDescent="0.35">
      <c r="A107" s="5"/>
      <c r="B107" s="5" t="s">
        <v>185</v>
      </c>
      <c r="C107" s="5"/>
      <c r="D107" s="5"/>
      <c r="E107" s="5"/>
      <c r="F107" s="5"/>
      <c r="G107" s="5"/>
      <c r="H107" s="5"/>
      <c r="I107" s="5"/>
      <c r="J107" s="5"/>
      <c r="K107" s="5"/>
      <c r="L107" s="5"/>
      <c r="M107" s="5"/>
      <c r="N107" s="5"/>
      <c r="O107" s="5"/>
      <c r="P107" s="5"/>
    </row>
    <row r="108" spans="1:16" x14ac:dyDescent="0.35">
      <c r="A108" s="5"/>
      <c r="B108" s="76" t="b">
        <v>1</v>
      </c>
      <c r="C108" s="5"/>
      <c r="D108" s="5"/>
      <c r="E108" s="5"/>
      <c r="F108" s="5"/>
      <c r="G108" s="5"/>
      <c r="H108" s="5"/>
      <c r="I108" s="5"/>
      <c r="J108" s="5"/>
      <c r="K108" s="5"/>
      <c r="L108" s="5"/>
      <c r="M108" s="5"/>
      <c r="N108" s="5"/>
      <c r="O108" s="5"/>
      <c r="P108" s="5"/>
    </row>
    <row r="109" spans="1:16" x14ac:dyDescent="0.35">
      <c r="A109" s="5"/>
      <c r="B109" s="5"/>
      <c r="C109" s="5"/>
      <c r="D109" s="5"/>
      <c r="E109" s="5"/>
      <c r="F109" s="5"/>
      <c r="G109" s="5"/>
      <c r="H109" s="5"/>
      <c r="I109" s="5"/>
      <c r="J109" s="5"/>
      <c r="K109" s="5"/>
      <c r="L109" s="5"/>
      <c r="M109" s="5"/>
      <c r="N109" s="5"/>
      <c r="O109" s="5"/>
      <c r="P109" s="5"/>
    </row>
    <row r="110" spans="1:16" x14ac:dyDescent="0.35">
      <c r="A110" s="5"/>
      <c r="B110" s="5"/>
      <c r="C110" s="5"/>
      <c r="D110" s="5"/>
      <c r="E110" s="5"/>
      <c r="F110" s="5"/>
      <c r="G110" s="5"/>
      <c r="H110" s="5"/>
      <c r="I110" s="5"/>
      <c r="J110" s="5"/>
      <c r="K110" s="5"/>
      <c r="L110" s="5"/>
      <c r="M110" s="5"/>
      <c r="N110" s="5"/>
      <c r="O110" s="5"/>
      <c r="P110" s="5"/>
    </row>
    <row r="111" spans="1:16" x14ac:dyDescent="0.35">
      <c r="A111" s="5"/>
      <c r="B111" s="5"/>
      <c r="C111" s="5"/>
      <c r="D111" s="5"/>
      <c r="E111" s="5"/>
      <c r="F111" s="5"/>
      <c r="G111" s="5"/>
      <c r="H111" s="5"/>
      <c r="I111" s="5"/>
      <c r="J111" s="5"/>
      <c r="K111" s="5"/>
      <c r="L111" s="5"/>
      <c r="M111" s="5"/>
      <c r="N111" s="5"/>
      <c r="O111" s="5"/>
      <c r="P111" s="5"/>
    </row>
  </sheetData>
  <mergeCells count="1">
    <mergeCell ref="D17:F17"/>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xdr:col>
                    <xdr:colOff>590550</xdr:colOff>
                    <xdr:row>16</xdr:row>
                    <xdr:rowOff>171450</xdr:rowOff>
                  </from>
                  <to>
                    <xdr:col>5</xdr:col>
                    <xdr:colOff>165100</xdr:colOff>
                    <xdr:row>17</xdr:row>
                    <xdr:rowOff>152400</xdr:rowOff>
                  </to>
                </anchor>
              </controlPr>
            </control>
          </mc:Choice>
        </mc:AlternateContent>
        <mc:AlternateContent xmlns:mc="http://schemas.openxmlformats.org/markup-compatibility/2006">
          <mc:Choice Requires="x14">
            <control shapeId="18434" r:id="rId5" name="Drop Down 2">
              <controlPr defaultSize="0" autoLine="0" autoPict="0">
                <anchor moveWithCells="1">
                  <from>
                    <xdr:col>7</xdr:col>
                    <xdr:colOff>889000</xdr:colOff>
                    <xdr:row>7</xdr:row>
                    <xdr:rowOff>184150</xdr:rowOff>
                  </from>
                  <to>
                    <xdr:col>9</xdr:col>
                    <xdr:colOff>50800</xdr:colOff>
                    <xdr:row>9</xdr:row>
                    <xdr:rowOff>50800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8</xdr:col>
                    <xdr:colOff>0</xdr:colOff>
                    <xdr:row>1</xdr:row>
                    <xdr:rowOff>171450</xdr:rowOff>
                  </from>
                  <to>
                    <xdr:col>8</xdr:col>
                    <xdr:colOff>412750</xdr:colOff>
                    <xdr:row>3</xdr:row>
                    <xdr:rowOff>31750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8</xdr:col>
                    <xdr:colOff>0</xdr:colOff>
                    <xdr:row>1</xdr:row>
                    <xdr:rowOff>171450</xdr:rowOff>
                  </from>
                  <to>
                    <xdr:col>8</xdr:col>
                    <xdr:colOff>412750</xdr:colOff>
                    <xdr:row>3</xdr:row>
                    <xdr:rowOff>31750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C974F-F453-4D78-B6FE-1887F296E61D}">
  <dimension ref="A1:Q113"/>
  <sheetViews>
    <sheetView tabSelected="1" topLeftCell="A15" workbookViewId="0">
      <selection activeCell="J83" sqref="J83"/>
    </sheetView>
  </sheetViews>
  <sheetFormatPr defaultRowHeight="14.5" x14ac:dyDescent="0.35"/>
  <cols>
    <col min="6" max="6" width="6.26953125" customWidth="1"/>
    <col min="7" max="7" width="12.7265625" customWidth="1"/>
    <col min="8" max="8" width="13.26953125" bestFit="1" customWidth="1"/>
    <col min="9" max="9" width="12.7265625" customWidth="1"/>
    <col min="10" max="10" width="15.26953125" customWidth="1"/>
    <col min="12" max="12" width="56.1796875" customWidth="1"/>
    <col min="13" max="13" width="13.7265625" bestFit="1" customWidth="1"/>
    <col min="14" max="14" width="18.81640625" bestFit="1" customWidth="1"/>
  </cols>
  <sheetData>
    <row r="1" spans="1:16" x14ac:dyDescent="0.35">
      <c r="A1" s="5" t="s">
        <v>26</v>
      </c>
      <c r="B1" s="5"/>
      <c r="C1" s="5"/>
      <c r="D1" s="5"/>
      <c r="E1" s="5"/>
      <c r="F1" s="5"/>
      <c r="G1" s="5"/>
      <c r="H1" s="5"/>
      <c r="I1" s="5"/>
      <c r="J1" s="5"/>
      <c r="K1" s="5"/>
      <c r="L1" s="5"/>
      <c r="M1" s="5"/>
      <c r="N1" s="5"/>
      <c r="O1" s="5"/>
      <c r="P1" s="5"/>
    </row>
    <row r="2" spans="1:16" x14ac:dyDescent="0.35">
      <c r="A2" s="5"/>
      <c r="B2" s="5"/>
      <c r="C2" s="5"/>
      <c r="D2" s="53" t="s">
        <v>27</v>
      </c>
      <c r="E2" s="56"/>
      <c r="F2" s="55"/>
      <c r="G2" s="54" t="s">
        <v>28</v>
      </c>
      <c r="H2" s="54" t="s">
        <v>29</v>
      </c>
      <c r="I2" s="54" t="s">
        <v>30</v>
      </c>
      <c r="J2" s="53" t="s">
        <v>31</v>
      </c>
      <c r="K2" s="37"/>
      <c r="L2" s="36"/>
      <c r="M2" s="5"/>
      <c r="N2" s="5"/>
      <c r="O2" s="5"/>
      <c r="P2" s="5"/>
    </row>
    <row r="3" spans="1:16" x14ac:dyDescent="0.35">
      <c r="A3" s="5"/>
      <c r="B3" s="5"/>
      <c r="C3" s="5"/>
      <c r="D3" s="38" t="s">
        <v>32</v>
      </c>
      <c r="E3" s="37"/>
      <c r="F3" s="36"/>
      <c r="G3" s="58"/>
      <c r="H3" s="58"/>
      <c r="I3" s="59" t="b">
        <v>0</v>
      </c>
      <c r="J3" s="38"/>
      <c r="K3" s="37"/>
      <c r="L3" s="36"/>
      <c r="M3" s="33"/>
      <c r="N3" s="30"/>
      <c r="O3" s="5"/>
      <c r="P3" s="5"/>
    </row>
    <row r="4" spans="1:16" ht="19.5" customHeight="1" x14ac:dyDescent="0.35">
      <c r="A4" s="5"/>
      <c r="B4" s="5"/>
      <c r="C4" s="5"/>
      <c r="D4" s="38" t="s">
        <v>186</v>
      </c>
      <c r="E4" s="37"/>
      <c r="F4" s="36"/>
      <c r="G4" s="60"/>
      <c r="H4" s="60"/>
      <c r="I4" s="77">
        <v>2</v>
      </c>
      <c r="J4" s="38"/>
      <c r="K4" s="37"/>
      <c r="L4" s="36"/>
      <c r="M4" s="62"/>
      <c r="N4" s="63"/>
      <c r="O4" s="5"/>
      <c r="P4" s="5"/>
    </row>
    <row r="5" spans="1:16" x14ac:dyDescent="0.35">
      <c r="A5" s="5"/>
      <c r="B5" s="5"/>
      <c r="C5" s="5"/>
      <c r="D5" s="38" t="s">
        <v>33</v>
      </c>
      <c r="E5" s="37"/>
      <c r="F5" s="36"/>
      <c r="G5" s="58" t="s">
        <v>34</v>
      </c>
      <c r="H5" s="58" t="s">
        <v>35</v>
      </c>
      <c r="I5" s="132">
        <v>500</v>
      </c>
      <c r="J5" s="38" t="s">
        <v>187</v>
      </c>
      <c r="K5" s="37"/>
      <c r="L5" s="36"/>
      <c r="M5" s="62"/>
      <c r="N5" s="63"/>
      <c r="O5" s="5"/>
      <c r="P5" s="5"/>
    </row>
    <row r="6" spans="1:16" x14ac:dyDescent="0.35">
      <c r="A6" s="5"/>
      <c r="B6" s="5"/>
      <c r="C6" s="5"/>
      <c r="D6" s="38" t="s">
        <v>37</v>
      </c>
      <c r="E6" s="37"/>
      <c r="F6" s="36"/>
      <c r="G6" s="58" t="s">
        <v>38</v>
      </c>
      <c r="H6" s="58"/>
      <c r="I6" s="134">
        <v>1</v>
      </c>
      <c r="J6" s="38" t="s">
        <v>39</v>
      </c>
      <c r="K6" s="37"/>
      <c r="L6" s="36"/>
      <c r="M6" s="30"/>
      <c r="N6" s="66"/>
      <c r="O6" s="5"/>
      <c r="P6" s="5"/>
    </row>
    <row r="7" spans="1:16" x14ac:dyDescent="0.35">
      <c r="A7" s="5"/>
      <c r="B7" s="5"/>
      <c r="C7" s="5"/>
      <c r="D7" s="38" t="s">
        <v>40</v>
      </c>
      <c r="E7" s="37"/>
      <c r="F7" s="36"/>
      <c r="G7" s="58" t="s">
        <v>41</v>
      </c>
      <c r="H7" s="58" t="s">
        <v>42</v>
      </c>
      <c r="I7" s="132">
        <v>9500</v>
      </c>
      <c r="J7" s="38" t="s">
        <v>43</v>
      </c>
      <c r="K7" s="37"/>
      <c r="L7" s="36"/>
      <c r="M7" s="5"/>
      <c r="N7" s="5"/>
      <c r="O7" s="5"/>
      <c r="P7" s="5"/>
    </row>
    <row r="8" spans="1:16" x14ac:dyDescent="0.35">
      <c r="A8" s="5"/>
      <c r="B8" s="5"/>
      <c r="C8" s="5"/>
      <c r="D8" s="67" t="s">
        <v>44</v>
      </c>
      <c r="E8" s="37"/>
      <c r="F8" s="36"/>
      <c r="G8" s="58" t="s">
        <v>45</v>
      </c>
      <c r="H8" s="58" t="s">
        <v>46</v>
      </c>
      <c r="I8" s="132">
        <v>3</v>
      </c>
      <c r="J8" s="38" t="s">
        <v>43</v>
      </c>
      <c r="K8" s="37"/>
      <c r="L8" s="36"/>
      <c r="M8" s="5"/>
      <c r="N8" s="5"/>
      <c r="O8" s="5"/>
      <c r="P8" s="5"/>
    </row>
    <row r="9" spans="1:16" ht="18.75" customHeight="1" x14ac:dyDescent="0.35">
      <c r="A9" s="5"/>
      <c r="B9" s="5"/>
      <c r="C9" s="5"/>
      <c r="D9" s="38" t="s">
        <v>48</v>
      </c>
      <c r="E9" s="37"/>
      <c r="F9" s="36"/>
      <c r="G9" s="58" t="s">
        <v>49</v>
      </c>
      <c r="H9" s="58"/>
      <c r="I9" s="133">
        <v>3</v>
      </c>
      <c r="J9" s="38" t="s">
        <v>43</v>
      </c>
      <c r="K9" s="37"/>
      <c r="L9" s="36"/>
      <c r="M9" s="5"/>
      <c r="N9" s="66"/>
      <c r="O9" s="5"/>
      <c r="P9" s="5"/>
    </row>
    <row r="10" spans="1:16" x14ac:dyDescent="0.35">
      <c r="A10" s="5"/>
      <c r="B10" s="5"/>
      <c r="C10" s="5"/>
      <c r="D10" s="38" t="s">
        <v>50</v>
      </c>
      <c r="E10" s="37"/>
      <c r="F10" s="36"/>
      <c r="G10" s="58" t="s">
        <v>51</v>
      </c>
      <c r="H10" s="58"/>
      <c r="I10" s="58">
        <f>VLOOKUP(I9,A100:C102,3)</f>
        <v>1</v>
      </c>
      <c r="J10" s="38" t="s">
        <v>52</v>
      </c>
      <c r="K10" s="37"/>
      <c r="L10" s="36"/>
      <c r="M10" s="5"/>
      <c r="N10" s="5"/>
      <c r="O10" s="5"/>
      <c r="P10" s="5"/>
    </row>
    <row r="11" spans="1:16" x14ac:dyDescent="0.35">
      <c r="A11" s="5"/>
      <c r="B11" s="5"/>
      <c r="C11" s="5"/>
      <c r="D11" s="38" t="s">
        <v>53</v>
      </c>
      <c r="E11" s="37"/>
      <c r="F11" s="36"/>
      <c r="G11" s="58" t="s">
        <v>54</v>
      </c>
      <c r="H11" s="58"/>
      <c r="I11" s="58">
        <f>I7/10000</f>
        <v>0.95</v>
      </c>
      <c r="J11" s="38" t="s">
        <v>55</v>
      </c>
      <c r="K11" s="37"/>
      <c r="L11" s="36"/>
      <c r="M11" s="5"/>
      <c r="N11" s="5"/>
      <c r="O11" s="5"/>
      <c r="P11" s="5"/>
    </row>
    <row r="12" spans="1:16" x14ac:dyDescent="0.35">
      <c r="A12" s="5"/>
      <c r="B12" s="5"/>
      <c r="C12" s="5"/>
      <c r="D12" s="38" t="s">
        <v>56</v>
      </c>
      <c r="E12" s="37"/>
      <c r="F12" s="36"/>
      <c r="G12" s="58" t="s">
        <v>57</v>
      </c>
      <c r="H12" s="58" t="s">
        <v>58</v>
      </c>
      <c r="I12" s="70">
        <f>I5*I7*1000</f>
        <v>4750000000</v>
      </c>
      <c r="J12" s="38" t="s">
        <v>59</v>
      </c>
      <c r="K12" s="37"/>
      <c r="L12" s="36"/>
      <c r="M12" s="5"/>
      <c r="N12" s="5"/>
      <c r="O12" s="5"/>
      <c r="P12" s="5"/>
    </row>
    <row r="13" spans="1:16" x14ac:dyDescent="0.35">
      <c r="A13" s="5"/>
      <c r="B13" s="5"/>
      <c r="C13" s="5"/>
      <c r="D13" s="38" t="s">
        <v>60</v>
      </c>
      <c r="E13" s="37"/>
      <c r="F13" s="36"/>
      <c r="G13" s="58" t="s">
        <v>61</v>
      </c>
      <c r="H13" s="58" t="s">
        <v>62</v>
      </c>
      <c r="I13" s="132">
        <v>95</v>
      </c>
      <c r="J13" s="38" t="s">
        <v>43</v>
      </c>
      <c r="K13" s="37"/>
      <c r="L13" s="36"/>
      <c r="M13" s="5"/>
      <c r="N13" s="5"/>
      <c r="O13" s="5"/>
      <c r="P13" s="5"/>
    </row>
    <row r="14" spans="1:16" x14ac:dyDescent="0.35">
      <c r="A14" s="5"/>
      <c r="B14" s="5"/>
      <c r="C14" s="5"/>
      <c r="D14" s="67" t="s">
        <v>63</v>
      </c>
      <c r="E14" s="37"/>
      <c r="F14" s="36"/>
      <c r="G14" s="58" t="s">
        <v>64</v>
      </c>
      <c r="H14" s="58" t="s">
        <v>62</v>
      </c>
      <c r="I14" s="132">
        <v>95</v>
      </c>
      <c r="J14" s="38" t="s">
        <v>65</v>
      </c>
      <c r="K14" s="37"/>
      <c r="L14" s="36"/>
      <c r="M14" s="5"/>
      <c r="N14" s="5"/>
      <c r="O14" s="5"/>
      <c r="P14" s="5"/>
    </row>
    <row r="15" spans="1:16" x14ac:dyDescent="0.35">
      <c r="A15" s="5"/>
      <c r="B15" s="5"/>
      <c r="C15" s="5"/>
      <c r="D15" s="38" t="s">
        <v>188</v>
      </c>
      <c r="E15" s="37"/>
      <c r="F15" s="36"/>
      <c r="G15" s="58" t="s">
        <v>67</v>
      </c>
      <c r="H15" s="58" t="s">
        <v>68</v>
      </c>
      <c r="I15" s="71">
        <f>17.52*I8*I5*I11/2000</f>
        <v>12.483000000000001</v>
      </c>
      <c r="J15" s="38" t="s">
        <v>189</v>
      </c>
      <c r="K15" s="37"/>
      <c r="L15" s="36"/>
      <c r="M15" s="5"/>
      <c r="N15" s="5"/>
      <c r="O15" s="5"/>
      <c r="P15" s="5"/>
    </row>
    <row r="16" spans="1:16" x14ac:dyDescent="0.35">
      <c r="A16" s="5"/>
      <c r="B16" s="5"/>
      <c r="C16" s="5"/>
      <c r="D16" s="38" t="s">
        <v>70</v>
      </c>
      <c r="E16" s="37"/>
      <c r="F16" s="36"/>
      <c r="G16" s="58" t="s">
        <v>71</v>
      </c>
      <c r="H16" s="58" t="s">
        <v>68</v>
      </c>
      <c r="I16" s="71">
        <f>1.811*I15</f>
        <v>22.606712999999999</v>
      </c>
      <c r="J16" s="38" t="s">
        <v>190</v>
      </c>
      <c r="K16" s="37"/>
      <c r="L16" s="36"/>
      <c r="M16" s="5"/>
      <c r="N16" s="5"/>
      <c r="O16" s="5"/>
      <c r="P16" s="5"/>
    </row>
    <row r="17" spans="1:16" ht="28.5" customHeight="1" x14ac:dyDescent="0.35">
      <c r="A17" s="5"/>
      <c r="B17" s="5"/>
      <c r="C17" s="5"/>
      <c r="D17" s="149" t="s">
        <v>73</v>
      </c>
      <c r="E17" s="147"/>
      <c r="F17" s="148"/>
      <c r="G17" s="58" t="s">
        <v>74</v>
      </c>
      <c r="H17" s="58" t="s">
        <v>62</v>
      </c>
      <c r="I17" s="72">
        <f>(1.12*EXP(0.155*I8))*I10*I11</f>
        <v>1.6939030969758757</v>
      </c>
      <c r="J17" s="38" t="s">
        <v>191</v>
      </c>
      <c r="K17" s="37"/>
      <c r="L17" s="36"/>
      <c r="M17" s="5"/>
      <c r="N17" s="5"/>
      <c r="O17" s="5"/>
      <c r="P17" s="5"/>
    </row>
    <row r="18" spans="1:16" x14ac:dyDescent="0.35">
      <c r="A18" s="5"/>
      <c r="B18" s="5"/>
      <c r="C18" s="5"/>
      <c r="D18" s="38" t="s">
        <v>76</v>
      </c>
      <c r="E18" s="37"/>
      <c r="F18" s="36"/>
      <c r="G18" s="58" t="s">
        <v>77</v>
      </c>
      <c r="H18" s="58" t="s">
        <v>78</v>
      </c>
      <c r="I18" s="71">
        <f>(1.674*I8+74.68)*I5*I10*I11/1000</f>
        <v>37.858450000000005</v>
      </c>
      <c r="J18" s="38" t="s">
        <v>192</v>
      </c>
      <c r="K18" s="37"/>
      <c r="L18" s="36"/>
      <c r="M18" s="5"/>
      <c r="N18" s="5"/>
      <c r="O18" s="5"/>
      <c r="P18" s="5"/>
    </row>
    <row r="19" spans="1:16" x14ac:dyDescent="0.35">
      <c r="A19" s="5"/>
      <c r="B19" s="5"/>
      <c r="C19" s="5"/>
      <c r="D19" s="38" t="s">
        <v>193</v>
      </c>
      <c r="E19" s="37"/>
      <c r="F19" s="36"/>
      <c r="G19" s="58" t="s">
        <v>81</v>
      </c>
      <c r="H19" s="58" t="s">
        <v>82</v>
      </c>
      <c r="I19" s="132">
        <v>30</v>
      </c>
      <c r="J19" s="38" t="s">
        <v>43</v>
      </c>
      <c r="K19" s="37"/>
      <c r="L19" s="36"/>
      <c r="M19" s="5"/>
      <c r="N19" s="5"/>
      <c r="O19" s="5"/>
      <c r="P19" s="5"/>
    </row>
    <row r="20" spans="1:16" x14ac:dyDescent="0.35">
      <c r="A20" s="5"/>
      <c r="B20" s="5"/>
      <c r="C20" s="5"/>
      <c r="D20" s="38" t="s">
        <v>83</v>
      </c>
      <c r="E20" s="37"/>
      <c r="F20" s="36"/>
      <c r="G20" s="58" t="s">
        <v>84</v>
      </c>
      <c r="H20" s="58" t="s">
        <v>82</v>
      </c>
      <c r="I20" s="132">
        <v>30</v>
      </c>
      <c r="J20" s="38" t="s">
        <v>43</v>
      </c>
      <c r="K20" s="37"/>
      <c r="L20" s="36"/>
      <c r="M20" s="5"/>
      <c r="N20" s="5"/>
      <c r="O20" s="5"/>
      <c r="P20" s="5"/>
    </row>
    <row r="21" spans="1:16" x14ac:dyDescent="0.35">
      <c r="A21" s="5"/>
      <c r="B21" s="5"/>
      <c r="C21" s="5"/>
      <c r="D21" s="38" t="s">
        <v>85</v>
      </c>
      <c r="E21" s="37"/>
      <c r="F21" s="36"/>
      <c r="G21" s="58" t="s">
        <v>86</v>
      </c>
      <c r="H21" s="58" t="s">
        <v>87</v>
      </c>
      <c r="I21" s="132">
        <v>0.06</v>
      </c>
      <c r="J21" s="38" t="s">
        <v>43</v>
      </c>
      <c r="K21" s="37"/>
      <c r="L21" s="36"/>
      <c r="M21" s="5"/>
      <c r="N21" s="5"/>
      <c r="O21" s="5"/>
      <c r="P21" s="5"/>
    </row>
    <row r="22" spans="1:16" x14ac:dyDescent="0.35">
      <c r="A22" s="5"/>
      <c r="B22" s="5"/>
      <c r="C22" s="5"/>
      <c r="D22" s="38" t="s">
        <v>88</v>
      </c>
      <c r="E22" s="37"/>
      <c r="F22" s="36"/>
      <c r="G22" s="58" t="s">
        <v>89</v>
      </c>
      <c r="H22" s="58" t="s">
        <v>90</v>
      </c>
      <c r="I22" s="132">
        <v>1</v>
      </c>
      <c r="J22" s="38" t="s">
        <v>43</v>
      </c>
      <c r="K22" s="37"/>
      <c r="L22" s="36"/>
      <c r="M22" s="5"/>
      <c r="N22" s="5"/>
      <c r="O22" s="5"/>
      <c r="P22" s="5"/>
    </row>
    <row r="23" spans="1:16" x14ac:dyDescent="0.35">
      <c r="A23" s="5"/>
      <c r="B23" s="5"/>
      <c r="C23" s="5"/>
      <c r="D23" s="38" t="s">
        <v>91</v>
      </c>
      <c r="E23" s="37"/>
      <c r="F23" s="36"/>
      <c r="G23" s="58" t="s">
        <v>92</v>
      </c>
      <c r="H23" s="58" t="s">
        <v>93</v>
      </c>
      <c r="I23" s="132">
        <v>60</v>
      </c>
      <c r="J23" s="38" t="s">
        <v>94</v>
      </c>
      <c r="K23" s="37"/>
      <c r="L23" s="36"/>
      <c r="M23" s="5"/>
      <c r="N23" s="5"/>
      <c r="O23" s="5"/>
      <c r="P23" s="5"/>
    </row>
    <row r="24" spans="1:16" x14ac:dyDescent="0.35">
      <c r="A24" s="5"/>
      <c r="B24" s="5"/>
      <c r="C24" s="5"/>
      <c r="D24" s="5"/>
      <c r="E24" s="5"/>
      <c r="F24" s="5"/>
      <c r="G24" s="5"/>
      <c r="H24" s="5"/>
      <c r="I24" s="5"/>
      <c r="J24" s="5"/>
      <c r="K24" s="5"/>
      <c r="L24" s="5"/>
      <c r="M24" s="5"/>
      <c r="N24" s="5"/>
      <c r="O24" s="5"/>
      <c r="P24" s="5"/>
    </row>
    <row r="25" spans="1:16" x14ac:dyDescent="0.35">
      <c r="A25" s="5"/>
      <c r="B25" s="5"/>
      <c r="C25" s="5"/>
      <c r="D25" s="5"/>
      <c r="E25" s="5"/>
      <c r="F25" s="5"/>
      <c r="G25" s="5"/>
      <c r="H25" s="5"/>
      <c r="I25" s="5"/>
      <c r="J25" s="5"/>
      <c r="K25" s="5"/>
      <c r="L25" s="5"/>
      <c r="M25" s="5"/>
      <c r="N25" s="5"/>
      <c r="O25" s="5"/>
      <c r="P25" s="5"/>
    </row>
    <row r="26" spans="1:16" x14ac:dyDescent="0.35">
      <c r="A26" s="5"/>
      <c r="B26" s="5"/>
      <c r="C26" s="5"/>
      <c r="D26" s="5"/>
      <c r="E26" s="5"/>
      <c r="F26" s="5"/>
      <c r="G26" s="5"/>
      <c r="H26" s="5"/>
      <c r="I26" s="5"/>
      <c r="J26" s="5"/>
      <c r="K26" s="5"/>
      <c r="L26" s="5"/>
      <c r="M26" s="5"/>
      <c r="N26" s="5"/>
      <c r="O26" s="5"/>
      <c r="P26" s="5"/>
    </row>
    <row r="27" spans="1:16" ht="23" x14ac:dyDescent="0.5">
      <c r="A27" s="5"/>
      <c r="B27" s="5"/>
      <c r="C27" s="5"/>
      <c r="D27" s="5"/>
      <c r="E27" s="5"/>
      <c r="F27" s="5"/>
      <c r="G27" s="5"/>
      <c r="H27" s="35" t="s">
        <v>280</v>
      </c>
      <c r="I27" s="5"/>
      <c r="J27" s="5"/>
      <c r="K27" s="5"/>
      <c r="L27" s="5"/>
      <c r="M27" s="5"/>
      <c r="N27" s="5"/>
      <c r="O27" s="5"/>
      <c r="P27" s="5"/>
    </row>
    <row r="28" spans="1:16" x14ac:dyDescent="0.35">
      <c r="A28" s="26" t="s">
        <v>95</v>
      </c>
      <c r="B28" s="26"/>
      <c r="C28" s="26"/>
      <c r="D28" s="26"/>
      <c r="E28" s="26"/>
      <c r="F28" s="26"/>
      <c r="G28" s="26"/>
      <c r="H28" s="26"/>
      <c r="I28" s="26"/>
      <c r="J28" s="26" t="s">
        <v>96</v>
      </c>
      <c r="K28" s="26"/>
      <c r="L28" s="26" t="s">
        <v>97</v>
      </c>
      <c r="M28" s="5"/>
      <c r="N28" s="5"/>
      <c r="O28" s="5"/>
      <c r="P28" s="5"/>
    </row>
    <row r="29" spans="1:16" x14ac:dyDescent="0.35">
      <c r="A29" s="5"/>
      <c r="B29" s="5" t="s">
        <v>98</v>
      </c>
      <c r="C29" s="5"/>
      <c r="D29" s="5"/>
      <c r="E29" s="5"/>
      <c r="F29" s="5"/>
      <c r="G29" s="5"/>
      <c r="H29" s="5"/>
      <c r="I29" s="5"/>
      <c r="J29" s="5"/>
      <c r="K29" s="5"/>
      <c r="L29" s="5"/>
      <c r="M29" s="5"/>
      <c r="N29" s="5"/>
      <c r="O29" s="5"/>
      <c r="P29" s="5"/>
    </row>
    <row r="30" spans="1:16" x14ac:dyDescent="0.35">
      <c r="A30" s="5"/>
      <c r="B30" s="5" t="s">
        <v>99</v>
      </c>
      <c r="C30" s="5" t="s">
        <v>194</v>
      </c>
      <c r="D30" s="5"/>
      <c r="E30" s="5"/>
      <c r="F30" s="5"/>
      <c r="G30" s="5"/>
      <c r="H30" s="5"/>
      <c r="I30" s="5"/>
      <c r="J30" s="30">
        <f>ROUND(863000*(I6)*((I10*I11)^0.6)*((I8/2)^0.02)*(I5^0.716),-3)</f>
        <v>72215000</v>
      </c>
      <c r="K30" s="5"/>
      <c r="L30" s="5" t="s">
        <v>195</v>
      </c>
      <c r="M30" s="5"/>
      <c r="N30" s="5"/>
      <c r="O30" s="5"/>
      <c r="P30" s="5"/>
    </row>
    <row r="31" spans="1:16" x14ac:dyDescent="0.35">
      <c r="A31" s="5"/>
      <c r="B31" s="5" t="s">
        <v>102</v>
      </c>
      <c r="C31" s="5" t="s">
        <v>196</v>
      </c>
      <c r="D31" s="5"/>
      <c r="E31" s="5"/>
      <c r="F31" s="5"/>
      <c r="G31" s="5"/>
      <c r="H31" s="5"/>
      <c r="I31" s="5"/>
      <c r="J31" s="30">
        <f>ROUND(298000*(I6)*((I8*I11)^0.3)*(I5^0.716),-3)</f>
        <v>34925000</v>
      </c>
      <c r="K31" s="5"/>
      <c r="L31" s="5" t="s">
        <v>197</v>
      </c>
      <c r="M31" s="5"/>
      <c r="N31" s="5"/>
      <c r="O31" s="5"/>
      <c r="P31" s="5"/>
    </row>
    <row r="32" spans="1:16" x14ac:dyDescent="0.35">
      <c r="A32" s="5"/>
      <c r="B32" s="5" t="s">
        <v>198</v>
      </c>
      <c r="C32" s="5" t="s">
        <v>199</v>
      </c>
      <c r="D32" s="5"/>
      <c r="E32" s="5"/>
      <c r="F32" s="5"/>
      <c r="G32" s="5"/>
      <c r="H32" s="5"/>
      <c r="I32" s="5"/>
      <c r="J32" s="30">
        <f>ROUND(157000*(I6)*((I8*I11)^0.45)*(I5^0.716),-3)</f>
        <v>21530000</v>
      </c>
      <c r="K32" s="5"/>
      <c r="L32" s="5" t="s">
        <v>200</v>
      </c>
      <c r="M32" s="5"/>
      <c r="N32" s="5"/>
      <c r="O32" s="5"/>
      <c r="P32" s="5"/>
    </row>
    <row r="33" spans="1:16" x14ac:dyDescent="0.35">
      <c r="A33" s="5"/>
      <c r="B33" s="5" t="s">
        <v>105</v>
      </c>
      <c r="C33" s="5" t="s">
        <v>201</v>
      </c>
      <c r="D33" s="5"/>
      <c r="E33" s="5"/>
      <c r="F33" s="5"/>
      <c r="G33" s="5"/>
      <c r="H33" s="5"/>
      <c r="I33" s="5"/>
      <c r="J33" s="30">
        <f>ROUND(1581000*(I6)*((I10*I11)^0.4)*(I5^0.716),-3)</f>
        <v>132582000</v>
      </c>
      <c r="K33" s="5"/>
      <c r="L33" s="5" t="s">
        <v>202</v>
      </c>
      <c r="M33" s="5"/>
      <c r="N33" s="5"/>
      <c r="O33" s="5"/>
      <c r="P33" s="5"/>
    </row>
    <row r="34" spans="1:16" x14ac:dyDescent="0.35">
      <c r="A34" s="5"/>
      <c r="B34" s="5" t="s">
        <v>203</v>
      </c>
      <c r="C34" s="5" t="s">
        <v>204</v>
      </c>
      <c r="D34" s="5"/>
      <c r="E34" s="5"/>
      <c r="F34" s="5"/>
      <c r="G34" s="5"/>
      <c r="H34" s="5"/>
      <c r="I34" s="5"/>
      <c r="J34" s="30">
        <f>(VLOOKUP(I4,A105:C107,3)/0.17)*15661000*(I6)*((I5/500)^0.6)</f>
        <v>15661000</v>
      </c>
      <c r="K34" s="5"/>
      <c r="L34" s="5" t="s">
        <v>205</v>
      </c>
      <c r="M34" s="5"/>
      <c r="N34" s="5"/>
      <c r="O34" s="5"/>
      <c r="P34" s="5"/>
    </row>
    <row r="35" spans="1:16" x14ac:dyDescent="0.35">
      <c r="A35" s="5"/>
      <c r="B35" s="5" t="s">
        <v>108</v>
      </c>
      <c r="C35" s="5" t="s">
        <v>206</v>
      </c>
      <c r="D35" s="5"/>
      <c r="E35" s="5"/>
      <c r="F35" s="5"/>
      <c r="G35" s="5"/>
      <c r="H35" s="5"/>
      <c r="I35" s="5"/>
      <c r="J35" s="33">
        <f>SUM(J30:J34)</f>
        <v>276913000</v>
      </c>
      <c r="K35" s="5"/>
      <c r="L35" s="5" t="s">
        <v>110</v>
      </c>
      <c r="M35" s="5"/>
      <c r="N35" s="5"/>
      <c r="O35" s="5"/>
      <c r="P35" s="5"/>
    </row>
    <row r="36" spans="1:16" x14ac:dyDescent="0.35">
      <c r="A36" s="5"/>
      <c r="B36" s="5" t="s">
        <v>111</v>
      </c>
      <c r="C36" s="5"/>
      <c r="D36" s="5"/>
      <c r="E36" s="5"/>
      <c r="F36" s="5"/>
      <c r="G36" s="5"/>
      <c r="H36" s="5"/>
      <c r="I36" s="5"/>
      <c r="J36" s="31">
        <f>J35/(I5*1000)</f>
        <v>553.82600000000002</v>
      </c>
      <c r="K36" s="5"/>
      <c r="L36" s="5" t="s">
        <v>112</v>
      </c>
      <c r="M36" s="5"/>
      <c r="N36" s="5"/>
      <c r="O36" s="5"/>
      <c r="P36" s="5"/>
    </row>
    <row r="37" spans="1:16" x14ac:dyDescent="0.35">
      <c r="A37" s="5"/>
      <c r="B37" s="5"/>
      <c r="C37" s="5"/>
      <c r="D37" s="5"/>
      <c r="E37" s="5"/>
      <c r="F37" s="5"/>
      <c r="G37" s="5"/>
      <c r="H37" s="5"/>
      <c r="I37" s="5"/>
      <c r="J37" s="5"/>
      <c r="K37" s="5"/>
      <c r="L37" s="5"/>
      <c r="M37" s="5"/>
      <c r="N37" s="5"/>
      <c r="O37" s="5"/>
      <c r="P37" s="5"/>
    </row>
    <row r="38" spans="1:16" x14ac:dyDescent="0.35">
      <c r="A38" s="26" t="s">
        <v>113</v>
      </c>
      <c r="B38" s="5"/>
      <c r="C38" s="5"/>
      <c r="D38" s="5"/>
      <c r="E38" s="5"/>
      <c r="F38" s="5"/>
      <c r="G38" s="5"/>
      <c r="H38" s="5"/>
      <c r="I38" s="5"/>
      <c r="J38" s="5"/>
      <c r="K38" s="5"/>
      <c r="L38" s="5"/>
      <c r="M38" s="5"/>
      <c r="N38" s="5"/>
      <c r="O38" s="5"/>
      <c r="P38" s="5"/>
    </row>
    <row r="39" spans="1:16" x14ac:dyDescent="0.35">
      <c r="A39" s="5"/>
      <c r="B39" s="5" t="s">
        <v>114</v>
      </c>
      <c r="C39" s="5"/>
      <c r="D39" s="5"/>
      <c r="E39" s="5"/>
      <c r="F39" s="5"/>
      <c r="G39" s="5"/>
      <c r="H39" s="5"/>
      <c r="I39" s="5"/>
      <c r="J39" s="30">
        <f>ROUND($J$35*0.1,-3)</f>
        <v>27691000</v>
      </c>
      <c r="K39" s="5"/>
      <c r="L39" s="5" t="s">
        <v>115</v>
      </c>
      <c r="M39" s="5"/>
      <c r="N39" s="5"/>
      <c r="O39" s="5"/>
      <c r="P39" s="5"/>
    </row>
    <row r="40" spans="1:16" x14ac:dyDescent="0.35">
      <c r="A40" s="5"/>
      <c r="B40" s="5" t="s">
        <v>116</v>
      </c>
      <c r="C40" s="5"/>
      <c r="D40" s="5"/>
      <c r="E40" s="5"/>
      <c r="F40" s="5"/>
      <c r="G40" s="5"/>
      <c r="H40" s="5"/>
      <c r="I40" s="5"/>
      <c r="J40" s="30">
        <f>ROUND($J$35*0.1,-3)</f>
        <v>27691000</v>
      </c>
      <c r="K40" s="5"/>
      <c r="L40" s="5" t="s">
        <v>117</v>
      </c>
      <c r="M40" s="5"/>
      <c r="N40" s="5"/>
      <c r="O40" s="5"/>
      <c r="P40" s="5"/>
    </row>
    <row r="41" spans="1:16" x14ac:dyDescent="0.35">
      <c r="A41" s="5"/>
      <c r="B41" s="5" t="s">
        <v>118</v>
      </c>
      <c r="C41" s="5"/>
      <c r="D41" s="5"/>
      <c r="E41" s="5"/>
      <c r="F41" s="5"/>
      <c r="G41" s="5"/>
      <c r="H41" s="5"/>
      <c r="I41" s="5"/>
      <c r="J41" s="30">
        <f>ROUND($J$35*0.1,-3)</f>
        <v>27691000</v>
      </c>
      <c r="K41" s="5"/>
      <c r="L41" s="5" t="s">
        <v>119</v>
      </c>
      <c r="M41" s="5"/>
      <c r="N41" s="5"/>
      <c r="O41" s="5"/>
      <c r="P41" s="5"/>
    </row>
    <row r="42" spans="1:16" x14ac:dyDescent="0.35">
      <c r="A42" s="5"/>
      <c r="B42" s="5"/>
      <c r="C42" s="5"/>
      <c r="D42" s="5"/>
      <c r="E42" s="5"/>
      <c r="F42" s="5"/>
      <c r="G42" s="5"/>
      <c r="H42" s="5"/>
      <c r="I42" s="5"/>
      <c r="J42" s="5"/>
      <c r="K42" s="5"/>
      <c r="L42" s="5"/>
      <c r="M42" s="5"/>
      <c r="N42" s="5"/>
      <c r="O42" s="5"/>
      <c r="P42" s="5"/>
    </row>
    <row r="43" spans="1:16" x14ac:dyDescent="0.35">
      <c r="A43" s="5"/>
      <c r="B43" s="26" t="s">
        <v>120</v>
      </c>
      <c r="C43" s="26"/>
      <c r="D43" s="26"/>
      <c r="E43" s="26"/>
      <c r="F43" s="26"/>
      <c r="G43" s="26"/>
      <c r="H43" s="26"/>
      <c r="I43" s="26"/>
      <c r="J43" s="29">
        <f>SUM(J35+J39+J40+J41)</f>
        <v>359986000</v>
      </c>
      <c r="K43" s="5"/>
      <c r="L43" s="5" t="s">
        <v>121</v>
      </c>
      <c r="M43" s="5"/>
      <c r="N43" s="5"/>
      <c r="O43" s="5"/>
      <c r="P43" s="5"/>
    </row>
    <row r="44" spans="1:16" x14ac:dyDescent="0.35">
      <c r="A44" s="5"/>
      <c r="B44" s="26" t="s">
        <v>122</v>
      </c>
      <c r="C44" s="26"/>
      <c r="D44" s="26"/>
      <c r="E44" s="26"/>
      <c r="F44" s="26"/>
      <c r="G44" s="26"/>
      <c r="H44" s="26"/>
      <c r="I44" s="26"/>
      <c r="J44" s="28">
        <f>J43/(I5*1000)</f>
        <v>719.97199999999998</v>
      </c>
      <c r="K44" s="5"/>
      <c r="L44" s="5" t="s">
        <v>123</v>
      </c>
      <c r="M44" s="5"/>
      <c r="N44" s="5"/>
      <c r="O44" s="5"/>
      <c r="P44" s="5"/>
    </row>
    <row r="45" spans="1:16" x14ac:dyDescent="0.35">
      <c r="A45" s="5"/>
      <c r="B45" s="5"/>
      <c r="C45" s="5"/>
      <c r="D45" s="5"/>
      <c r="E45" s="5"/>
      <c r="F45" s="5"/>
      <c r="G45" s="5"/>
      <c r="H45" s="5"/>
      <c r="I45" s="5"/>
      <c r="J45" s="5"/>
      <c r="K45" s="5"/>
      <c r="L45" s="5"/>
      <c r="M45" s="5"/>
      <c r="N45" s="5"/>
      <c r="O45" s="5"/>
      <c r="P45" s="5"/>
    </row>
    <row r="46" spans="1:16" x14ac:dyDescent="0.35">
      <c r="A46" s="5"/>
      <c r="B46" s="5" t="s">
        <v>207</v>
      </c>
      <c r="C46" s="5"/>
      <c r="D46" s="5"/>
      <c r="E46" s="5"/>
      <c r="F46" s="5"/>
      <c r="G46" s="5"/>
      <c r="H46" s="5"/>
      <c r="I46" s="5"/>
      <c r="J46" s="30">
        <f>ROUND($J$43*0.05,-3)</f>
        <v>17999000</v>
      </c>
      <c r="K46" s="5"/>
      <c r="L46" s="5" t="s">
        <v>125</v>
      </c>
      <c r="M46" s="5"/>
      <c r="N46" s="5"/>
      <c r="O46" s="5"/>
      <c r="P46" s="5"/>
    </row>
    <row r="47" spans="1:16" x14ac:dyDescent="0.35">
      <c r="A47" s="5"/>
      <c r="B47" s="26" t="s">
        <v>126</v>
      </c>
      <c r="C47" s="26"/>
      <c r="D47" s="26"/>
      <c r="E47" s="26"/>
      <c r="F47" s="26"/>
      <c r="G47" s="26"/>
      <c r="H47" s="26"/>
      <c r="I47" s="26"/>
      <c r="J47" s="29">
        <f>J46+J43</f>
        <v>377985000</v>
      </c>
      <c r="K47" s="5"/>
      <c r="L47" s="5" t="s">
        <v>127</v>
      </c>
      <c r="M47" s="5"/>
      <c r="N47" s="5"/>
      <c r="O47" s="5"/>
      <c r="P47" s="5"/>
    </row>
    <row r="48" spans="1:16" x14ac:dyDescent="0.35">
      <c r="A48" s="5"/>
      <c r="B48" s="26" t="s">
        <v>128</v>
      </c>
      <c r="C48" s="26"/>
      <c r="D48" s="26"/>
      <c r="E48" s="26"/>
      <c r="F48" s="26"/>
      <c r="G48" s="26"/>
      <c r="H48" s="26"/>
      <c r="I48" s="26"/>
      <c r="J48" s="28">
        <f>J47/(I5*1000)</f>
        <v>755.97</v>
      </c>
      <c r="K48" s="5"/>
      <c r="L48" s="5" t="s">
        <v>129</v>
      </c>
      <c r="M48" s="5"/>
      <c r="N48" s="5"/>
      <c r="O48" s="5"/>
      <c r="P48" s="5"/>
    </row>
    <row r="49" spans="1:16" x14ac:dyDescent="0.35">
      <c r="A49" s="5"/>
      <c r="B49" s="5"/>
      <c r="C49" s="5"/>
      <c r="D49" s="5"/>
      <c r="E49" s="5"/>
      <c r="F49" s="5"/>
      <c r="G49" s="5"/>
      <c r="H49" s="5"/>
      <c r="I49" s="5"/>
      <c r="J49" s="5"/>
      <c r="K49" s="5"/>
      <c r="L49" s="5"/>
      <c r="M49" s="5"/>
      <c r="N49" s="5"/>
      <c r="O49" s="5"/>
      <c r="P49" s="5"/>
    </row>
    <row r="50" spans="1:16" x14ac:dyDescent="0.35">
      <c r="A50" s="5"/>
      <c r="B50" s="5" t="s">
        <v>130</v>
      </c>
      <c r="C50" s="5"/>
      <c r="D50" s="5"/>
      <c r="E50" s="5"/>
      <c r="F50" s="5"/>
      <c r="G50" s="5"/>
      <c r="H50" s="5"/>
      <c r="I50" s="5"/>
      <c r="J50" s="30">
        <f>ROUND($J$47*0.1,-3)</f>
        <v>37799000</v>
      </c>
      <c r="K50" s="5"/>
      <c r="L50" s="5" t="s">
        <v>131</v>
      </c>
      <c r="M50" s="5"/>
      <c r="N50" s="5"/>
      <c r="O50" s="5"/>
      <c r="P50" s="5"/>
    </row>
    <row r="51" spans="1:16" x14ac:dyDescent="0.35">
      <c r="A51" s="5"/>
      <c r="B51" s="5" t="s">
        <v>208</v>
      </c>
      <c r="C51" s="5"/>
      <c r="D51" s="5"/>
      <c r="E51" s="5"/>
      <c r="F51" s="5"/>
      <c r="G51" s="5"/>
      <c r="H51" s="5"/>
      <c r="I51" s="5"/>
      <c r="J51" s="30">
        <f>ROUND((J43+J50)*IF(I3,0.15,0),-3)</f>
        <v>0</v>
      </c>
      <c r="K51" s="5"/>
      <c r="L51" s="5" t="s">
        <v>133</v>
      </c>
      <c r="M51" s="5"/>
      <c r="N51" s="5"/>
      <c r="O51" s="5"/>
      <c r="P51" s="5"/>
    </row>
    <row r="52" spans="1:16" x14ac:dyDescent="0.35">
      <c r="A52" s="5"/>
      <c r="B52" s="5"/>
      <c r="C52" s="5"/>
      <c r="D52" s="5"/>
      <c r="E52" s="5"/>
      <c r="F52" s="5"/>
      <c r="G52" s="5"/>
      <c r="H52" s="5"/>
      <c r="I52" s="5"/>
      <c r="J52" s="5"/>
      <c r="K52" s="5"/>
      <c r="L52" s="5"/>
      <c r="M52" s="5"/>
      <c r="N52" s="5"/>
      <c r="O52" s="5"/>
      <c r="P52" s="5"/>
    </row>
    <row r="53" spans="1:16" x14ac:dyDescent="0.35">
      <c r="A53" s="5"/>
      <c r="B53" s="26" t="s">
        <v>134</v>
      </c>
      <c r="C53" s="26"/>
      <c r="D53" s="26"/>
      <c r="E53" s="26"/>
      <c r="F53" s="26"/>
      <c r="G53" s="26"/>
      <c r="H53" s="26"/>
      <c r="I53" s="26"/>
      <c r="J53" s="29">
        <f>J43+J46+J50+J51</f>
        <v>415784000</v>
      </c>
      <c r="K53" s="5"/>
      <c r="L53" s="5" t="s">
        <v>135</v>
      </c>
      <c r="M53" s="5"/>
      <c r="N53" s="5"/>
      <c r="O53" s="5"/>
      <c r="P53" s="5"/>
    </row>
    <row r="54" spans="1:16" x14ac:dyDescent="0.35">
      <c r="A54" s="5"/>
      <c r="B54" s="26" t="s">
        <v>136</v>
      </c>
      <c r="C54" s="26"/>
      <c r="D54" s="26"/>
      <c r="E54" s="26"/>
      <c r="F54" s="26"/>
      <c r="G54" s="26"/>
      <c r="H54" s="26"/>
      <c r="I54" s="26"/>
      <c r="J54" s="28">
        <f>J53/(I5*1000)</f>
        <v>831.56799999999998</v>
      </c>
      <c r="K54" s="5"/>
      <c r="L54" s="5" t="s">
        <v>137</v>
      </c>
      <c r="M54" s="5"/>
      <c r="N54" s="5"/>
      <c r="O54" s="5"/>
      <c r="P54" s="5"/>
    </row>
    <row r="55" spans="1:16" x14ac:dyDescent="0.35">
      <c r="A55" s="5"/>
      <c r="B55" s="5"/>
      <c r="C55" s="5"/>
      <c r="D55" s="5"/>
      <c r="E55" s="5"/>
      <c r="F55" s="5"/>
      <c r="G55" s="5"/>
      <c r="H55" s="5"/>
      <c r="I55" s="5"/>
      <c r="J55" s="5"/>
      <c r="K55" s="5"/>
      <c r="L55" s="5"/>
      <c r="M55" s="5"/>
      <c r="N55" s="5"/>
      <c r="O55" s="5"/>
      <c r="P55" s="5"/>
    </row>
    <row r="56" spans="1:16" x14ac:dyDescent="0.35">
      <c r="A56" s="5" t="s">
        <v>138</v>
      </c>
      <c r="B56" s="5"/>
      <c r="C56" s="5"/>
      <c r="D56" s="5"/>
      <c r="E56" s="5"/>
      <c r="F56" s="5"/>
      <c r="G56" s="5"/>
      <c r="H56" s="5"/>
      <c r="I56" s="5"/>
      <c r="J56" s="5"/>
      <c r="K56" s="5"/>
      <c r="L56" s="5"/>
      <c r="M56" s="5"/>
      <c r="N56" s="5"/>
      <c r="O56" s="5"/>
      <c r="P56" s="5"/>
    </row>
    <row r="57" spans="1:16" x14ac:dyDescent="0.35">
      <c r="A57" s="5"/>
      <c r="B57" s="5" t="s">
        <v>209</v>
      </c>
      <c r="C57" s="5"/>
      <c r="D57" s="5"/>
      <c r="E57" s="5"/>
      <c r="F57" s="5"/>
      <c r="G57" s="5"/>
      <c r="H57" s="5"/>
      <c r="I57" s="5"/>
      <c r="J57" s="27">
        <f>ROUND(IF(I5&gt;500,16,12)*2080*I23/(I5*1000),3)</f>
        <v>2.9950000000000001</v>
      </c>
      <c r="K57" s="5"/>
      <c r="L57" s="5" t="s">
        <v>140</v>
      </c>
      <c r="M57" s="5"/>
      <c r="N57" s="5"/>
      <c r="O57" s="5"/>
      <c r="P57" s="5"/>
    </row>
    <row r="58" spans="1:16" x14ac:dyDescent="0.35">
      <c r="A58" s="5"/>
      <c r="B58" s="5" t="s">
        <v>141</v>
      </c>
      <c r="C58" s="5"/>
      <c r="D58" s="5"/>
      <c r="E58" s="5"/>
      <c r="F58" s="5"/>
      <c r="G58" s="5"/>
      <c r="H58" s="5"/>
      <c r="I58" s="5"/>
      <c r="J58" s="27">
        <f>ROUND((J35*0.015)/(I6*I5*1000),3)</f>
        <v>8.3070000000000004</v>
      </c>
      <c r="K58" s="5"/>
      <c r="L58" s="5" t="s">
        <v>142</v>
      </c>
      <c r="M58" s="5"/>
      <c r="N58" s="5"/>
      <c r="O58" s="5"/>
      <c r="P58" s="5"/>
    </row>
    <row r="59" spans="1:16" x14ac:dyDescent="0.35">
      <c r="A59" s="5"/>
      <c r="B59" s="5" t="s">
        <v>143</v>
      </c>
      <c r="C59" s="5"/>
      <c r="D59" s="5"/>
      <c r="E59" s="5"/>
      <c r="F59" s="5"/>
      <c r="G59" s="5"/>
      <c r="H59" s="5"/>
      <c r="I59" s="5"/>
      <c r="J59" s="27">
        <f>ROUND(0.03*(J57+0.4*J58),4)</f>
        <v>0.1895</v>
      </c>
      <c r="K59" s="5"/>
      <c r="L59" s="5" t="s">
        <v>144</v>
      </c>
      <c r="M59" s="5"/>
      <c r="N59" s="5"/>
      <c r="O59" s="5"/>
      <c r="P59" s="5"/>
    </row>
    <row r="60" spans="1:16" x14ac:dyDescent="0.35">
      <c r="A60" s="5"/>
      <c r="B60" s="5" t="s">
        <v>210</v>
      </c>
      <c r="C60" s="5"/>
      <c r="D60" s="5"/>
      <c r="E60" s="5"/>
      <c r="F60" s="5"/>
      <c r="G60" s="5"/>
      <c r="H60" s="5"/>
      <c r="I60" s="5"/>
      <c r="J60" s="5">
        <v>0</v>
      </c>
      <c r="K60" s="5"/>
      <c r="L60" s="5" t="s">
        <v>211</v>
      </c>
      <c r="M60" s="5"/>
      <c r="N60" s="5"/>
      <c r="O60" s="5"/>
      <c r="P60" s="5"/>
    </row>
    <row r="61" spans="1:16" x14ac:dyDescent="0.35">
      <c r="A61" s="5"/>
      <c r="B61" s="5"/>
      <c r="C61" s="5"/>
      <c r="D61" s="5"/>
      <c r="E61" s="5"/>
      <c r="F61" s="5"/>
      <c r="G61" s="5"/>
      <c r="H61" s="5"/>
      <c r="I61" s="5"/>
      <c r="J61" s="5"/>
      <c r="K61" s="5"/>
      <c r="L61" s="5"/>
      <c r="M61" s="5"/>
      <c r="N61" s="5"/>
      <c r="O61" s="5"/>
      <c r="P61" s="5"/>
    </row>
    <row r="62" spans="1:16" x14ac:dyDescent="0.35">
      <c r="A62" s="5"/>
      <c r="B62" s="26" t="s">
        <v>212</v>
      </c>
      <c r="C62" s="26"/>
      <c r="D62" s="26"/>
      <c r="E62" s="26"/>
      <c r="F62" s="26"/>
      <c r="G62" s="26"/>
      <c r="H62" s="26"/>
      <c r="I62" s="26"/>
      <c r="J62" s="25">
        <f>SUM(J57+J58+J59+J60)</f>
        <v>11.4915</v>
      </c>
      <c r="K62" s="5"/>
      <c r="L62" s="5" t="s">
        <v>146</v>
      </c>
      <c r="M62" s="5"/>
      <c r="N62" s="5"/>
      <c r="O62" s="5"/>
      <c r="P62" s="5"/>
    </row>
    <row r="63" spans="1:16" x14ac:dyDescent="0.35">
      <c r="A63" s="5"/>
      <c r="B63" s="5"/>
      <c r="C63" s="5"/>
      <c r="D63" s="5"/>
      <c r="E63" s="5"/>
      <c r="F63" s="5"/>
      <c r="G63" s="5"/>
      <c r="H63" s="5"/>
      <c r="I63" s="5"/>
      <c r="J63" s="5"/>
      <c r="K63" s="5"/>
      <c r="L63" s="5"/>
      <c r="M63" s="5"/>
      <c r="N63" s="5"/>
      <c r="O63" s="5"/>
      <c r="P63" s="5"/>
    </row>
    <row r="64" spans="1:16" x14ac:dyDescent="0.35">
      <c r="A64" s="5" t="s">
        <v>147</v>
      </c>
      <c r="B64" s="5"/>
      <c r="C64" s="5"/>
      <c r="D64" s="5"/>
      <c r="E64" s="5"/>
      <c r="F64" s="5"/>
      <c r="G64" s="5"/>
      <c r="H64" s="5"/>
      <c r="I64" s="5"/>
      <c r="J64" s="5"/>
      <c r="K64" s="5"/>
      <c r="L64" s="5"/>
      <c r="M64" s="5"/>
      <c r="N64" s="5"/>
      <c r="O64" s="5"/>
      <c r="P64" s="5"/>
    </row>
    <row r="65" spans="1:16" x14ac:dyDescent="0.35">
      <c r="A65" s="5"/>
      <c r="B65" s="5" t="s">
        <v>148</v>
      </c>
      <c r="C65" s="5"/>
      <c r="D65" s="5"/>
      <c r="E65" s="5"/>
      <c r="F65" s="5"/>
      <c r="G65" s="5"/>
      <c r="H65" s="5"/>
      <c r="I65" s="5"/>
      <c r="J65" s="27">
        <f>ROUND(I15*I19/I5*I14/98,3)</f>
        <v>0.72599999999999998</v>
      </c>
      <c r="K65" s="5"/>
      <c r="L65" s="5" t="s">
        <v>149</v>
      </c>
      <c r="M65" s="5"/>
      <c r="N65" s="5"/>
      <c r="O65" s="5"/>
      <c r="P65" s="5"/>
    </row>
    <row r="66" spans="1:16" x14ac:dyDescent="0.35">
      <c r="A66" s="5"/>
      <c r="B66" s="5" t="s">
        <v>150</v>
      </c>
      <c r="C66" s="5"/>
      <c r="D66" s="5"/>
      <c r="E66" s="5"/>
      <c r="F66" s="5"/>
      <c r="G66" s="5"/>
      <c r="H66" s="5"/>
      <c r="I66" s="5"/>
      <c r="J66" s="27">
        <f xml:space="preserve"> ROUND(I16*I20/I5*I14/98,3)</f>
        <v>1.3149999999999999</v>
      </c>
      <c r="K66" s="5"/>
      <c r="L66" s="5" t="s">
        <v>151</v>
      </c>
      <c r="M66" s="5"/>
      <c r="N66" s="5"/>
      <c r="O66" s="5"/>
      <c r="P66" s="5"/>
    </row>
    <row r="67" spans="1:16" x14ac:dyDescent="0.35">
      <c r="A67" s="5"/>
      <c r="B67" s="5" t="s">
        <v>152</v>
      </c>
      <c r="C67" s="5"/>
      <c r="D67" s="5"/>
      <c r="E67" s="5"/>
      <c r="F67" s="5"/>
      <c r="G67" s="5"/>
      <c r="H67" s="5"/>
      <c r="I67" s="5"/>
      <c r="J67" s="27">
        <f>IF(B110,I17*I21*10,0)</f>
        <v>1.0163418581855252</v>
      </c>
      <c r="K67" s="5"/>
      <c r="L67" s="5" t="s">
        <v>153</v>
      </c>
      <c r="M67" s="5"/>
      <c r="N67" s="5"/>
      <c r="O67" s="5"/>
      <c r="P67" s="5"/>
    </row>
    <row r="68" spans="1:16" x14ac:dyDescent="0.35">
      <c r="A68" s="5"/>
      <c r="B68" s="5" t="s">
        <v>154</v>
      </c>
      <c r="C68" s="5"/>
      <c r="D68" s="5"/>
      <c r="E68" s="5"/>
      <c r="F68" s="5"/>
      <c r="G68" s="5"/>
      <c r="H68" s="5"/>
      <c r="I68" s="5"/>
      <c r="J68" s="27">
        <f>ROUND(I18*I22/I5,3)</f>
        <v>7.5999999999999998E-2</v>
      </c>
      <c r="K68" s="5"/>
      <c r="L68" s="5" t="s">
        <v>155</v>
      </c>
      <c r="M68" s="5"/>
      <c r="N68" s="5"/>
      <c r="O68" s="5"/>
      <c r="P68" s="5"/>
    </row>
    <row r="69" spans="1:16" x14ac:dyDescent="0.35">
      <c r="A69" s="5"/>
      <c r="B69" s="5" t="s">
        <v>213</v>
      </c>
      <c r="C69" s="5"/>
      <c r="D69" s="5"/>
      <c r="E69" s="5"/>
      <c r="F69" s="5"/>
      <c r="G69" s="5"/>
      <c r="H69" s="5"/>
      <c r="I69" s="5"/>
      <c r="J69" s="27">
        <f>VLOOKUP(I4,A105:C107,3)</f>
        <v>0.17</v>
      </c>
      <c r="K69" s="5"/>
      <c r="L69" s="5" t="s">
        <v>214</v>
      </c>
      <c r="M69" s="5"/>
      <c r="N69" s="5"/>
      <c r="O69" s="5"/>
      <c r="P69" s="5"/>
    </row>
    <row r="70" spans="1:16" x14ac:dyDescent="0.35">
      <c r="A70" s="5"/>
      <c r="B70" s="5"/>
      <c r="C70" s="5"/>
      <c r="D70" s="5"/>
      <c r="E70" s="5"/>
      <c r="F70" s="5"/>
      <c r="G70" s="5"/>
      <c r="H70" s="5"/>
      <c r="I70" s="5"/>
      <c r="J70" s="5"/>
      <c r="K70" s="5"/>
      <c r="L70" s="5"/>
      <c r="M70" s="5"/>
      <c r="N70" s="5"/>
      <c r="O70" s="5"/>
      <c r="P70" s="5"/>
    </row>
    <row r="71" spans="1:16" x14ac:dyDescent="0.35">
      <c r="A71" s="5"/>
      <c r="B71" s="26" t="s">
        <v>215</v>
      </c>
      <c r="C71" s="26"/>
      <c r="D71" s="26"/>
      <c r="E71" s="26"/>
      <c r="F71" s="26"/>
      <c r="G71" s="26"/>
      <c r="H71" s="26"/>
      <c r="I71" s="26"/>
      <c r="J71" s="25">
        <f>SUM(J65+J66+J67+J68+J69)</f>
        <v>3.3033418581855254</v>
      </c>
      <c r="K71" s="5"/>
      <c r="L71" s="5" t="s">
        <v>157</v>
      </c>
      <c r="M71" s="5"/>
      <c r="N71" s="5"/>
      <c r="O71" s="5"/>
      <c r="P71" s="5"/>
    </row>
    <row r="72" spans="1:16" x14ac:dyDescent="0.35">
      <c r="A72" s="5"/>
      <c r="B72" s="5"/>
      <c r="C72" s="5"/>
      <c r="D72" s="5"/>
      <c r="E72" s="5"/>
      <c r="F72" s="5"/>
      <c r="G72" s="5"/>
      <c r="H72" s="5"/>
      <c r="I72" s="5"/>
      <c r="J72" s="5"/>
      <c r="K72" s="5"/>
      <c r="L72" s="5"/>
      <c r="M72" s="5"/>
      <c r="N72" s="5"/>
      <c r="O72" s="5"/>
      <c r="P72" s="5"/>
    </row>
    <row r="73" spans="1:16" x14ac:dyDescent="0.35">
      <c r="A73" s="5"/>
      <c r="B73" s="5"/>
      <c r="C73" s="5"/>
      <c r="D73" s="5"/>
      <c r="E73" s="5"/>
      <c r="F73" s="5"/>
      <c r="G73" s="10" t="s">
        <v>158</v>
      </c>
      <c r="H73" s="24">
        <f>I13/100</f>
        <v>0.95</v>
      </c>
      <c r="I73" s="5"/>
      <c r="J73" s="5"/>
      <c r="K73" s="5"/>
      <c r="L73" s="5"/>
      <c r="M73" s="5"/>
      <c r="N73" s="5"/>
      <c r="O73" s="5"/>
      <c r="P73" s="5"/>
    </row>
    <row r="74" spans="1:16" x14ac:dyDescent="0.35">
      <c r="A74" s="5"/>
      <c r="B74" s="5"/>
      <c r="C74" s="5"/>
      <c r="D74" s="5"/>
      <c r="E74" s="5"/>
      <c r="F74" s="5"/>
      <c r="G74" s="10" t="s">
        <v>159</v>
      </c>
      <c r="H74" s="9">
        <f>H73*I5*8760</f>
        <v>4161000</v>
      </c>
      <c r="I74" s="5"/>
      <c r="J74" s="5"/>
      <c r="K74" s="5"/>
      <c r="L74" s="5"/>
      <c r="M74" s="5"/>
      <c r="N74" s="5"/>
      <c r="O74" s="5"/>
      <c r="P74" s="5"/>
    </row>
    <row r="75" spans="1:16" x14ac:dyDescent="0.35">
      <c r="A75" s="5"/>
      <c r="B75" s="5"/>
      <c r="C75" s="5"/>
      <c r="D75" s="5"/>
      <c r="E75" s="5"/>
      <c r="F75" s="5"/>
      <c r="G75" s="10" t="s">
        <v>160</v>
      </c>
      <c r="H75" s="22">
        <f>H74*1000*I7/1000000</f>
        <v>39529500</v>
      </c>
      <c r="I75" s="5"/>
      <c r="J75" s="5"/>
      <c r="K75" s="5"/>
      <c r="L75" s="5"/>
      <c r="M75" s="5"/>
      <c r="N75" s="5"/>
      <c r="O75" s="5"/>
      <c r="P75" s="5"/>
    </row>
    <row r="76" spans="1:16" x14ac:dyDescent="0.35">
      <c r="A76" s="5"/>
      <c r="B76" s="5"/>
      <c r="C76" s="5"/>
      <c r="D76" s="5"/>
      <c r="E76" s="5"/>
      <c r="F76" s="5"/>
      <c r="G76" s="10" t="s">
        <v>161</v>
      </c>
      <c r="H76" s="22">
        <f>I8*H75/2000</f>
        <v>59294.25</v>
      </c>
      <c r="I76" s="5" t="s">
        <v>162</v>
      </c>
      <c r="J76" s="5"/>
      <c r="K76" s="5"/>
      <c r="L76" s="5"/>
      <c r="M76" s="5"/>
      <c r="N76" s="5"/>
      <c r="O76" s="5"/>
      <c r="P76" s="5"/>
    </row>
    <row r="77" spans="1:16" x14ac:dyDescent="0.35">
      <c r="A77" s="5"/>
      <c r="B77" s="5"/>
      <c r="C77" s="5"/>
      <c r="D77" s="5"/>
      <c r="E77" s="5"/>
      <c r="F77" s="5"/>
      <c r="G77" s="10" t="s">
        <v>163</v>
      </c>
      <c r="H77" s="22">
        <f>I14*H76/100</f>
        <v>56329.537499999999</v>
      </c>
      <c r="I77" s="5" t="str">
        <f>"at removal efficiency = "&amp;I14&amp;"%"</f>
        <v>at removal efficiency = 95%</v>
      </c>
      <c r="J77" s="5"/>
      <c r="K77" s="5"/>
      <c r="L77" s="5"/>
      <c r="M77" s="5"/>
      <c r="N77" s="5"/>
      <c r="O77" s="5"/>
      <c r="P77" s="5"/>
    </row>
    <row r="78" spans="1:16" x14ac:dyDescent="0.35">
      <c r="A78" s="5"/>
      <c r="B78" s="5"/>
      <c r="C78" s="5"/>
      <c r="D78" s="5"/>
      <c r="E78" s="5"/>
      <c r="F78" s="5"/>
      <c r="G78" s="10" t="s">
        <v>164</v>
      </c>
      <c r="H78" s="22">
        <f>H76-H77</f>
        <v>2964.7125000000015</v>
      </c>
      <c r="I78" s="5"/>
      <c r="J78" s="5"/>
      <c r="K78" s="5"/>
      <c r="L78" s="5"/>
      <c r="M78" s="5"/>
      <c r="N78" s="5"/>
      <c r="O78" s="5"/>
      <c r="P78" s="5"/>
    </row>
    <row r="79" spans="1:16" x14ac:dyDescent="0.35">
      <c r="A79" s="5"/>
      <c r="B79" s="5"/>
      <c r="C79" s="5"/>
      <c r="D79" s="5"/>
      <c r="E79" s="5"/>
      <c r="F79" s="5"/>
      <c r="G79" s="10" t="s">
        <v>165</v>
      </c>
      <c r="H79" s="21">
        <f>H78*2000/H75</f>
        <v>0.15000000000000008</v>
      </c>
      <c r="I79" s="5" t="str">
        <f>IF(H79&gt;=0.06, "Value is AT or ABOVE a 0.06 floor rate", "Value is BELOW a 0.06 floor rate")</f>
        <v>Value is AT or ABOVE a 0.06 floor rate</v>
      </c>
      <c r="J79" s="5"/>
      <c r="K79" s="5"/>
      <c r="L79" s="5"/>
      <c r="M79" s="5"/>
      <c r="N79" s="5"/>
      <c r="O79" s="5"/>
      <c r="P79" s="5"/>
    </row>
    <row r="80" spans="1:16" x14ac:dyDescent="0.35">
      <c r="A80" s="5"/>
      <c r="B80" s="5"/>
      <c r="C80" s="5"/>
      <c r="D80" s="5"/>
      <c r="E80" s="5"/>
      <c r="F80" s="5"/>
      <c r="G80" s="5"/>
      <c r="H80" s="5"/>
      <c r="I80" s="5"/>
      <c r="J80" s="5"/>
      <c r="K80" s="5"/>
      <c r="L80" s="5"/>
      <c r="M80" s="5"/>
      <c r="N80" s="5"/>
      <c r="O80" s="5"/>
      <c r="P80" s="5"/>
    </row>
    <row r="81" spans="1:17" x14ac:dyDescent="0.35">
      <c r="A81" s="5"/>
      <c r="B81" s="5"/>
      <c r="C81" s="5"/>
      <c r="D81" s="5"/>
      <c r="E81" s="5"/>
      <c r="F81" s="5"/>
      <c r="G81" s="10" t="s">
        <v>166</v>
      </c>
      <c r="H81" s="17">
        <f>0.143</f>
        <v>0.14299999999999999</v>
      </c>
      <c r="I81" s="5" t="s">
        <v>167</v>
      </c>
      <c r="J81" s="5"/>
      <c r="K81" s="5"/>
      <c r="L81" s="5"/>
      <c r="M81" s="5"/>
      <c r="N81" s="5"/>
      <c r="O81" s="5"/>
      <c r="P81" s="5"/>
      <c r="Q81" s="78"/>
    </row>
    <row r="82" spans="1:17" x14ac:dyDescent="0.35">
      <c r="A82" s="5"/>
      <c r="B82" s="5"/>
      <c r="C82" s="5"/>
      <c r="D82" s="5"/>
      <c r="E82" s="5"/>
      <c r="F82" s="5"/>
      <c r="G82" s="5"/>
      <c r="H82" s="10" t="s">
        <v>168</v>
      </c>
      <c r="I82" s="9">
        <f>ROUND(H81*J53,-3)</f>
        <v>59457000</v>
      </c>
      <c r="J82" s="5"/>
      <c r="K82" s="5"/>
      <c r="L82" s="5"/>
      <c r="M82" s="5"/>
      <c r="N82" s="5"/>
      <c r="O82" s="5"/>
      <c r="P82" s="5"/>
      <c r="Q82" s="78"/>
    </row>
    <row r="83" spans="1:17" x14ac:dyDescent="0.35">
      <c r="A83" s="5"/>
      <c r="B83" s="5"/>
      <c r="C83" s="5"/>
      <c r="D83" s="5"/>
      <c r="E83" s="5"/>
      <c r="F83" s="5"/>
      <c r="G83" s="5"/>
      <c r="H83" s="10" t="s">
        <v>169</v>
      </c>
      <c r="I83" s="9">
        <f>ROUND(J62*I5*1000,-3)</f>
        <v>5746000</v>
      </c>
      <c r="J83" s="5"/>
      <c r="K83" s="5"/>
      <c r="L83" s="5"/>
      <c r="M83" s="5"/>
      <c r="N83" s="5"/>
      <c r="O83" s="5"/>
      <c r="P83" s="5"/>
      <c r="Q83" s="78"/>
    </row>
    <row r="84" spans="1:17" x14ac:dyDescent="0.35">
      <c r="A84" s="5"/>
      <c r="B84" s="5"/>
      <c r="C84" s="5"/>
      <c r="D84" s="5"/>
      <c r="E84" s="5"/>
      <c r="F84" s="5"/>
      <c r="G84" s="5"/>
      <c r="H84" s="10" t="s">
        <v>170</v>
      </c>
      <c r="I84" s="9">
        <f>ROUND(J71*H74,-3)</f>
        <v>13745000</v>
      </c>
      <c r="J84" s="5"/>
      <c r="K84" s="5"/>
      <c r="L84" s="5"/>
      <c r="M84" s="5"/>
      <c r="N84" s="5"/>
      <c r="O84" s="5"/>
      <c r="P84" s="5"/>
      <c r="Q84" s="78"/>
    </row>
    <row r="85" spans="1:17" x14ac:dyDescent="0.35">
      <c r="A85" s="5"/>
      <c r="B85" s="5"/>
      <c r="C85" s="5"/>
      <c r="D85" s="5"/>
      <c r="E85" s="5"/>
      <c r="F85" s="5"/>
      <c r="G85" s="8"/>
      <c r="H85" s="7" t="s">
        <v>216</v>
      </c>
      <c r="I85" s="6">
        <f>SUM(I82:I84)</f>
        <v>78948000</v>
      </c>
      <c r="J85" s="5"/>
      <c r="K85" s="5"/>
      <c r="L85" s="5"/>
      <c r="M85" s="5"/>
      <c r="N85" s="5"/>
      <c r="O85" s="5"/>
      <c r="P85" s="5"/>
      <c r="Q85" s="78"/>
    </row>
    <row r="86" spans="1:17" ht="15" thickBot="1" x14ac:dyDescent="0.4">
      <c r="A86" s="5"/>
      <c r="B86" s="5"/>
      <c r="C86" s="5"/>
      <c r="D86" s="5"/>
      <c r="E86" s="5"/>
      <c r="F86" s="5"/>
      <c r="G86" s="5"/>
      <c r="H86" s="5"/>
      <c r="I86" s="5"/>
      <c r="J86" s="5"/>
      <c r="K86" s="5"/>
      <c r="L86" s="5"/>
      <c r="M86" s="5"/>
      <c r="N86" s="5"/>
      <c r="O86" s="5"/>
      <c r="P86" s="5"/>
      <c r="Q86" s="5"/>
    </row>
    <row r="87" spans="1:17" ht="15" thickTop="1" x14ac:dyDescent="0.35">
      <c r="A87" s="5"/>
      <c r="B87" s="5"/>
      <c r="C87" s="5"/>
      <c r="D87" s="5"/>
      <c r="E87" s="5"/>
      <c r="F87" s="5"/>
      <c r="G87" s="13"/>
      <c r="H87" s="12" t="s">
        <v>172</v>
      </c>
      <c r="I87" s="16">
        <f>I82/$H$74</f>
        <v>14.289113193943763</v>
      </c>
      <c r="J87" s="5"/>
      <c r="K87" s="5"/>
      <c r="L87" s="5"/>
      <c r="M87" s="5"/>
      <c r="N87" s="5"/>
      <c r="O87" s="5"/>
      <c r="P87" s="5"/>
      <c r="Q87" s="5"/>
    </row>
    <row r="88" spans="1:17" x14ac:dyDescent="0.35">
      <c r="A88" s="5"/>
      <c r="B88" s="5"/>
      <c r="C88" s="5"/>
      <c r="D88" s="5"/>
      <c r="E88" s="5"/>
      <c r="F88" s="5"/>
      <c r="G88" s="5"/>
      <c r="H88" s="10" t="s">
        <v>173</v>
      </c>
      <c r="I88" s="15">
        <f>I83/$H$74</f>
        <v>1.3809180485460226</v>
      </c>
      <c r="J88" s="5"/>
      <c r="K88" s="5"/>
      <c r="L88" s="5"/>
      <c r="M88" s="5"/>
      <c r="N88" s="5"/>
      <c r="O88" s="5"/>
      <c r="P88" s="5"/>
      <c r="Q88" s="5"/>
    </row>
    <row r="89" spans="1:17" x14ac:dyDescent="0.35">
      <c r="A89" s="5"/>
      <c r="B89" s="5"/>
      <c r="C89" s="5"/>
      <c r="D89" s="5"/>
      <c r="E89" s="5"/>
      <c r="F89" s="5"/>
      <c r="G89" s="5"/>
      <c r="H89" s="10" t="s">
        <v>174</v>
      </c>
      <c r="I89" s="15">
        <f>I84/$H$74</f>
        <v>3.3032924777697668</v>
      </c>
      <c r="J89" s="5"/>
      <c r="K89" s="5"/>
      <c r="L89" s="5"/>
      <c r="M89" s="5"/>
      <c r="N89" s="5"/>
      <c r="O89" s="5"/>
      <c r="P89" s="5"/>
      <c r="Q89" s="5"/>
    </row>
    <row r="90" spans="1:17" x14ac:dyDescent="0.35">
      <c r="A90" s="5"/>
      <c r="B90" s="5"/>
      <c r="C90" s="5"/>
      <c r="D90" s="5"/>
      <c r="E90" s="5"/>
      <c r="F90" s="5"/>
      <c r="G90" s="8"/>
      <c r="H90" s="7" t="s">
        <v>217</v>
      </c>
      <c r="I90" s="14">
        <f>SUM(I87:I89)</f>
        <v>18.97332372025955</v>
      </c>
      <c r="J90" s="5"/>
      <c r="K90" s="5"/>
      <c r="L90" s="5"/>
      <c r="M90" s="5"/>
      <c r="N90" s="5"/>
      <c r="O90" s="5"/>
      <c r="P90" s="5"/>
      <c r="Q90" s="78"/>
    </row>
    <row r="91" spans="1:17" ht="15" thickBot="1" x14ac:dyDescent="0.4">
      <c r="A91" s="5"/>
      <c r="B91" s="5"/>
      <c r="C91" s="5"/>
      <c r="D91" s="5"/>
      <c r="E91" s="5"/>
      <c r="F91" s="5"/>
      <c r="G91" s="5"/>
      <c r="H91" s="5"/>
      <c r="I91" s="5"/>
      <c r="J91" s="5"/>
      <c r="K91" s="5"/>
      <c r="L91" s="5"/>
      <c r="M91" s="5"/>
      <c r="N91" s="5"/>
      <c r="O91" s="5"/>
      <c r="P91" s="5"/>
      <c r="Q91" s="78"/>
    </row>
    <row r="92" spans="1:17" ht="15" thickTop="1" x14ac:dyDescent="0.35">
      <c r="A92" s="5"/>
      <c r="B92" s="5"/>
      <c r="C92" s="5"/>
      <c r="D92" s="5"/>
      <c r="E92" s="5"/>
      <c r="F92" s="5"/>
      <c r="G92" s="13"/>
      <c r="H92" s="12" t="s">
        <v>176</v>
      </c>
      <c r="I92" s="11">
        <f>I82/$H$77</f>
        <v>1055.5208268841193</v>
      </c>
      <c r="J92" s="5"/>
      <c r="K92" s="5"/>
      <c r="L92" s="5"/>
      <c r="M92" s="5"/>
      <c r="N92" s="5"/>
      <c r="O92" s="5"/>
      <c r="P92" s="5"/>
      <c r="Q92" s="78"/>
    </row>
    <row r="93" spans="1:17" x14ac:dyDescent="0.35">
      <c r="A93" s="5"/>
      <c r="B93" s="5"/>
      <c r="C93" s="5"/>
      <c r="D93" s="5"/>
      <c r="E93" s="5"/>
      <c r="F93" s="5"/>
      <c r="G93" s="5"/>
      <c r="H93" s="10" t="s">
        <v>177</v>
      </c>
      <c r="I93" s="9">
        <f>I83/$H$77</f>
        <v>102.00687339213464</v>
      </c>
      <c r="J93" s="22"/>
      <c r="K93" s="5"/>
      <c r="L93" s="5"/>
      <c r="M93" s="5"/>
      <c r="N93" s="5"/>
      <c r="O93" s="5"/>
      <c r="P93" s="5"/>
      <c r="Q93" s="78"/>
    </row>
    <row r="94" spans="1:17" x14ac:dyDescent="0.35">
      <c r="A94" s="5"/>
      <c r="B94" s="5"/>
      <c r="C94" s="5"/>
      <c r="D94" s="5"/>
      <c r="E94" s="5"/>
      <c r="F94" s="5"/>
      <c r="G94" s="5"/>
      <c r="H94" s="10" t="s">
        <v>178</v>
      </c>
      <c r="I94" s="9">
        <f>I84/$H$77</f>
        <v>244.01052467366699</v>
      </c>
      <c r="J94" s="5"/>
      <c r="K94" s="5"/>
      <c r="L94" s="5"/>
      <c r="M94" s="5"/>
      <c r="N94" s="5"/>
      <c r="O94" s="5"/>
      <c r="P94" s="5"/>
      <c r="Q94" s="78"/>
    </row>
    <row r="95" spans="1:17" x14ac:dyDescent="0.35">
      <c r="A95" s="5"/>
      <c r="B95" s="5"/>
      <c r="C95" s="5"/>
      <c r="D95" s="5"/>
      <c r="E95" s="5"/>
      <c r="F95" s="5"/>
      <c r="G95" s="8"/>
      <c r="H95" s="7" t="s">
        <v>218</v>
      </c>
      <c r="I95" s="6">
        <f>SUM(I92:I94)</f>
        <v>1401.538224949921</v>
      </c>
      <c r="J95" s="5"/>
      <c r="K95" s="5"/>
      <c r="L95" s="5"/>
      <c r="M95" s="5"/>
      <c r="N95" s="5"/>
      <c r="O95" s="5"/>
      <c r="P95" s="5"/>
      <c r="Q95" s="78"/>
    </row>
    <row r="96" spans="1:17" x14ac:dyDescent="0.35">
      <c r="A96" s="5"/>
      <c r="B96" s="5"/>
      <c r="C96" s="5"/>
      <c r="D96" s="5"/>
      <c r="E96" s="5"/>
      <c r="F96" s="5"/>
      <c r="G96" s="5"/>
      <c r="H96" s="5"/>
      <c r="I96" s="5"/>
      <c r="J96" s="5"/>
      <c r="K96" s="5"/>
      <c r="L96" s="5"/>
      <c r="M96" s="5"/>
      <c r="N96" s="5"/>
      <c r="O96" s="5"/>
      <c r="P96" s="5"/>
      <c r="Q96" s="78"/>
    </row>
    <row r="97" spans="1:16" x14ac:dyDescent="0.35">
      <c r="A97" s="5"/>
      <c r="B97" s="5"/>
      <c r="C97" s="5"/>
      <c r="D97" s="5"/>
      <c r="E97" s="5"/>
      <c r="F97" s="5"/>
      <c r="G97" s="5"/>
      <c r="H97" s="5"/>
      <c r="I97" s="5"/>
      <c r="J97" s="5"/>
      <c r="K97" s="5"/>
      <c r="L97" s="5"/>
      <c r="M97" s="5"/>
      <c r="N97" s="5"/>
      <c r="O97" s="5"/>
      <c r="P97" s="5"/>
    </row>
    <row r="98" spans="1:16" x14ac:dyDescent="0.35">
      <c r="A98" s="5" t="s">
        <v>180</v>
      </c>
      <c r="B98" s="5"/>
      <c r="C98" s="5"/>
      <c r="D98" s="5"/>
      <c r="E98" s="5"/>
      <c r="F98" s="5"/>
      <c r="G98" s="5"/>
      <c r="H98" s="5"/>
      <c r="I98" s="5"/>
      <c r="J98" s="5"/>
      <c r="K98" s="5"/>
      <c r="L98" s="5"/>
      <c r="M98" s="5"/>
      <c r="N98" s="5"/>
      <c r="O98" s="5"/>
      <c r="P98" s="5"/>
    </row>
    <row r="99" spans="1:16" x14ac:dyDescent="0.35">
      <c r="A99" s="5"/>
      <c r="B99" s="5" t="s">
        <v>181</v>
      </c>
      <c r="C99" s="5" t="s">
        <v>50</v>
      </c>
      <c r="D99" s="5"/>
      <c r="E99" s="5"/>
      <c r="F99" s="5"/>
      <c r="G99" s="5"/>
      <c r="H99" s="5"/>
      <c r="I99" s="5"/>
      <c r="J99" s="5"/>
      <c r="K99" s="5"/>
      <c r="L99" s="5"/>
      <c r="M99" s="5"/>
      <c r="N99" s="5"/>
      <c r="O99" s="5"/>
      <c r="P99" s="5"/>
    </row>
    <row r="100" spans="1:16" x14ac:dyDescent="0.35">
      <c r="A100" s="5">
        <v>1</v>
      </c>
      <c r="B100" s="5" t="s">
        <v>182</v>
      </c>
      <c r="C100" s="5">
        <v>1.05</v>
      </c>
      <c r="D100" s="5"/>
      <c r="E100" s="5"/>
      <c r="F100" s="5"/>
      <c r="G100" s="5"/>
      <c r="H100" s="5"/>
      <c r="I100" s="5"/>
      <c r="J100" s="5"/>
      <c r="K100" s="5"/>
      <c r="L100" s="5"/>
      <c r="M100" s="5"/>
      <c r="N100" s="5"/>
      <c r="O100" s="5"/>
      <c r="P100" s="5"/>
    </row>
    <row r="101" spans="1:16" x14ac:dyDescent="0.35">
      <c r="A101" s="5">
        <v>2</v>
      </c>
      <c r="B101" s="5" t="s">
        <v>183</v>
      </c>
      <c r="C101" s="5">
        <v>1.07</v>
      </c>
      <c r="D101" s="5"/>
      <c r="E101" s="5"/>
      <c r="F101" s="5"/>
      <c r="G101" s="5"/>
      <c r="H101" s="5"/>
      <c r="I101" s="5"/>
      <c r="J101" s="5"/>
      <c r="K101" s="5"/>
      <c r="L101" s="5"/>
      <c r="M101" s="5"/>
      <c r="N101" s="5"/>
      <c r="O101" s="5"/>
      <c r="P101" s="5"/>
    </row>
    <row r="102" spans="1:16" x14ac:dyDescent="0.35">
      <c r="A102" s="5">
        <v>3</v>
      </c>
      <c r="B102" s="5" t="s">
        <v>184</v>
      </c>
      <c r="C102" s="5">
        <v>1</v>
      </c>
      <c r="D102" s="5"/>
      <c r="E102" s="5"/>
      <c r="F102" s="5"/>
      <c r="G102" s="5"/>
      <c r="H102" s="5"/>
      <c r="I102" s="5"/>
      <c r="J102" s="5"/>
      <c r="K102" s="5"/>
      <c r="L102" s="5"/>
      <c r="M102" s="5"/>
      <c r="N102" s="5"/>
      <c r="O102" s="5"/>
      <c r="P102" s="5"/>
    </row>
    <row r="103" spans="1:16" x14ac:dyDescent="0.35">
      <c r="A103" s="5"/>
      <c r="B103" s="5"/>
      <c r="C103" s="5"/>
      <c r="D103" s="5"/>
      <c r="E103" s="5"/>
      <c r="F103" s="5"/>
      <c r="G103" s="5"/>
      <c r="H103" s="5"/>
      <c r="I103" s="5"/>
      <c r="J103" s="5"/>
      <c r="K103" s="5"/>
      <c r="L103" s="5"/>
      <c r="M103" s="5"/>
      <c r="N103" s="5"/>
      <c r="O103" s="5"/>
      <c r="P103" s="5"/>
    </row>
    <row r="104" spans="1:16" x14ac:dyDescent="0.35">
      <c r="A104" s="78"/>
      <c r="B104" s="78" t="s">
        <v>219</v>
      </c>
      <c r="C104" s="78"/>
      <c r="D104" s="5"/>
      <c r="E104" s="5"/>
      <c r="F104" s="5"/>
      <c r="G104" s="5"/>
      <c r="H104" s="5"/>
      <c r="I104" s="5"/>
      <c r="J104" s="5"/>
      <c r="K104" s="5"/>
      <c r="L104" s="5"/>
      <c r="M104" s="5"/>
      <c r="N104" s="5"/>
      <c r="O104" s="5"/>
      <c r="P104" s="5"/>
    </row>
    <row r="105" spans="1:16" x14ac:dyDescent="0.35">
      <c r="A105" s="78">
        <v>1</v>
      </c>
      <c r="B105" s="78" t="s">
        <v>220</v>
      </c>
      <c r="C105" s="3">
        <v>0</v>
      </c>
      <c r="D105" s="5"/>
      <c r="E105" s="5"/>
      <c r="F105" s="5"/>
      <c r="G105" s="5"/>
      <c r="H105" s="5"/>
      <c r="I105" s="5"/>
      <c r="J105" s="5"/>
      <c r="K105" s="5"/>
      <c r="L105" s="5"/>
      <c r="M105" s="5"/>
      <c r="N105" s="5"/>
      <c r="O105" s="5"/>
      <c r="P105" s="5"/>
    </row>
    <row r="106" spans="1:16" x14ac:dyDescent="0.35">
      <c r="A106" s="78">
        <v>2</v>
      </c>
      <c r="B106" s="78" t="s">
        <v>221</v>
      </c>
      <c r="C106" s="3">
        <v>0.17</v>
      </c>
      <c r="D106" s="5"/>
      <c r="E106" s="5"/>
      <c r="F106" s="5"/>
      <c r="G106" s="5"/>
      <c r="H106" s="5"/>
      <c r="I106" s="5"/>
      <c r="J106" s="5"/>
      <c r="K106" s="5"/>
      <c r="L106" s="5"/>
      <c r="M106" s="5"/>
      <c r="N106" s="5"/>
      <c r="O106" s="5"/>
      <c r="P106" s="5"/>
    </row>
    <row r="107" spans="1:16" x14ac:dyDescent="0.35">
      <c r="A107" s="78">
        <v>3</v>
      </c>
      <c r="B107" s="78" t="s">
        <v>222</v>
      </c>
      <c r="C107" s="3">
        <v>0</v>
      </c>
      <c r="D107" s="5"/>
      <c r="E107" s="5"/>
      <c r="F107" s="5"/>
      <c r="G107" s="5"/>
      <c r="H107" s="5"/>
      <c r="I107" s="5"/>
      <c r="J107" s="5"/>
      <c r="K107" s="5"/>
      <c r="L107" s="5"/>
      <c r="M107" s="5"/>
      <c r="N107" s="5"/>
      <c r="O107" s="5"/>
      <c r="P107" s="5"/>
    </row>
    <row r="108" spans="1:16" x14ac:dyDescent="0.35">
      <c r="A108" s="5"/>
      <c r="B108" s="5"/>
      <c r="C108" s="5"/>
      <c r="D108" s="5"/>
      <c r="E108" s="5"/>
      <c r="F108" s="5"/>
      <c r="G108" s="5"/>
      <c r="H108" s="5"/>
      <c r="I108" s="5"/>
      <c r="J108" s="5"/>
      <c r="K108" s="5"/>
      <c r="L108" s="5"/>
      <c r="M108" s="5"/>
      <c r="N108" s="5"/>
      <c r="O108" s="5"/>
      <c r="P108" s="5"/>
    </row>
    <row r="109" spans="1:16" x14ac:dyDescent="0.35">
      <c r="A109" s="5"/>
      <c r="B109" s="5" t="s">
        <v>185</v>
      </c>
      <c r="C109" s="5"/>
      <c r="D109" s="5"/>
      <c r="E109" s="5"/>
      <c r="F109" s="5"/>
      <c r="G109" s="5"/>
      <c r="H109" s="5"/>
      <c r="I109" s="5"/>
      <c r="J109" s="5"/>
      <c r="K109" s="5"/>
      <c r="L109" s="5"/>
      <c r="M109" s="5"/>
      <c r="N109" s="5"/>
      <c r="O109" s="5"/>
      <c r="P109" s="5"/>
    </row>
    <row r="110" spans="1:16" x14ac:dyDescent="0.35">
      <c r="A110" s="5"/>
      <c r="B110" s="76" t="b">
        <v>1</v>
      </c>
      <c r="C110" s="5"/>
      <c r="D110" s="5"/>
      <c r="E110" s="5"/>
      <c r="F110" s="5"/>
      <c r="G110" s="5"/>
      <c r="H110" s="5"/>
      <c r="I110" s="5"/>
      <c r="J110" s="5"/>
      <c r="K110" s="5"/>
      <c r="L110" s="5"/>
      <c r="M110" s="5"/>
      <c r="N110" s="5"/>
      <c r="O110" s="5"/>
      <c r="P110" s="5"/>
    </row>
    <row r="111" spans="1:16" x14ac:dyDescent="0.35">
      <c r="A111" s="5"/>
      <c r="B111" s="5"/>
      <c r="C111" s="5"/>
      <c r="D111" s="5"/>
      <c r="E111" s="5"/>
      <c r="F111" s="5"/>
      <c r="G111" s="5"/>
      <c r="H111" s="5"/>
      <c r="I111" s="5"/>
      <c r="J111" s="5"/>
      <c r="K111" s="5"/>
      <c r="L111" s="5"/>
      <c r="M111" s="5"/>
      <c r="N111" s="5"/>
      <c r="O111" s="5"/>
      <c r="P111" s="5"/>
    </row>
    <row r="112" spans="1:16" x14ac:dyDescent="0.35">
      <c r="A112" s="5"/>
      <c r="B112" s="5"/>
      <c r="C112" s="5"/>
      <c r="D112" s="5"/>
      <c r="E112" s="5"/>
      <c r="F112" s="5"/>
      <c r="G112" s="5"/>
      <c r="H112" s="5"/>
      <c r="I112" s="5"/>
      <c r="J112" s="5"/>
      <c r="K112" s="5"/>
      <c r="L112" s="5"/>
      <c r="M112" s="5"/>
      <c r="N112" s="5"/>
      <c r="O112" s="5"/>
      <c r="P112" s="5"/>
    </row>
    <row r="113" spans="1:16" x14ac:dyDescent="0.35">
      <c r="A113" s="5"/>
      <c r="B113" s="5"/>
      <c r="C113" s="5"/>
      <c r="D113" s="5"/>
      <c r="E113" s="5"/>
      <c r="F113" s="5"/>
      <c r="G113" s="5"/>
      <c r="H113" s="5"/>
      <c r="I113" s="5"/>
      <c r="J113" s="5"/>
      <c r="K113" s="5"/>
      <c r="L113" s="5"/>
      <c r="M113" s="5"/>
      <c r="N113" s="5"/>
      <c r="O113" s="5"/>
      <c r="P113" s="5"/>
    </row>
  </sheetData>
  <mergeCells count="1">
    <mergeCell ref="D17:F17"/>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4</xdr:col>
                    <xdr:colOff>590550</xdr:colOff>
                    <xdr:row>16</xdr:row>
                    <xdr:rowOff>171450</xdr:rowOff>
                  </from>
                  <to>
                    <xdr:col>5</xdr:col>
                    <xdr:colOff>165100</xdr:colOff>
                    <xdr:row>17</xdr:row>
                    <xdr:rowOff>152400</xdr:rowOff>
                  </to>
                </anchor>
              </controlPr>
            </control>
          </mc:Choice>
        </mc:AlternateContent>
        <mc:AlternateContent xmlns:mc="http://schemas.openxmlformats.org/markup-compatibility/2006">
          <mc:Choice Requires="x14">
            <control shapeId="17410" r:id="rId5" name="Drop Down 2">
              <controlPr defaultSize="0" autoLine="0" autoPict="0">
                <anchor moveWithCells="1">
                  <from>
                    <xdr:col>7</xdr:col>
                    <xdr:colOff>889000</xdr:colOff>
                    <xdr:row>7</xdr:row>
                    <xdr:rowOff>184150</xdr:rowOff>
                  </from>
                  <to>
                    <xdr:col>9</xdr:col>
                    <xdr:colOff>50800</xdr:colOff>
                    <xdr:row>9</xdr:row>
                    <xdr:rowOff>50800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8</xdr:col>
                    <xdr:colOff>0</xdr:colOff>
                    <xdr:row>1</xdr:row>
                    <xdr:rowOff>171450</xdr:rowOff>
                  </from>
                  <to>
                    <xdr:col>8</xdr:col>
                    <xdr:colOff>412750</xdr:colOff>
                    <xdr:row>3</xdr:row>
                    <xdr:rowOff>31750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8</xdr:col>
                    <xdr:colOff>0</xdr:colOff>
                    <xdr:row>1</xdr:row>
                    <xdr:rowOff>171450</xdr:rowOff>
                  </from>
                  <to>
                    <xdr:col>8</xdr:col>
                    <xdr:colOff>412750</xdr:colOff>
                    <xdr:row>3</xdr:row>
                    <xdr:rowOff>31750</xdr:rowOff>
                  </to>
                </anchor>
              </controlPr>
            </control>
          </mc:Choice>
        </mc:AlternateContent>
        <mc:AlternateContent xmlns:mc="http://schemas.openxmlformats.org/markup-compatibility/2006">
          <mc:Choice Requires="x14">
            <control shapeId="17414" r:id="rId8" name="Check Box 6">
              <controlPr defaultSize="0" autoFill="0" autoLine="0" autoPict="0">
                <anchor moveWithCells="1">
                  <from>
                    <xdr:col>4</xdr:col>
                    <xdr:colOff>590550</xdr:colOff>
                    <xdr:row>16</xdr:row>
                    <xdr:rowOff>171450</xdr:rowOff>
                  </from>
                  <to>
                    <xdr:col>5</xdr:col>
                    <xdr:colOff>165100</xdr:colOff>
                    <xdr:row>16</xdr:row>
                    <xdr:rowOff>342900</xdr:rowOff>
                  </to>
                </anchor>
              </controlPr>
            </control>
          </mc:Choice>
        </mc:AlternateContent>
        <mc:AlternateContent xmlns:mc="http://schemas.openxmlformats.org/markup-compatibility/2006">
          <mc:Choice Requires="x14">
            <control shapeId="17415" r:id="rId9" name="Drop Down 7">
              <controlPr defaultSize="0" autoLine="0" autoPict="0">
                <anchor moveWithCells="1">
                  <from>
                    <xdr:col>8</xdr:col>
                    <xdr:colOff>19050</xdr:colOff>
                    <xdr:row>8</xdr:row>
                    <xdr:rowOff>19050</xdr:rowOff>
                  </from>
                  <to>
                    <xdr:col>9</xdr:col>
                    <xdr:colOff>69850</xdr:colOff>
                    <xdr:row>9</xdr:row>
                    <xdr:rowOff>0</xdr:rowOff>
                  </to>
                </anchor>
              </controlPr>
            </control>
          </mc:Choice>
        </mc:AlternateContent>
        <mc:AlternateContent xmlns:mc="http://schemas.openxmlformats.org/markup-compatibility/2006">
          <mc:Choice Requires="x14">
            <control shapeId="17416" r:id="rId10" name="Check Box 8">
              <controlPr defaultSize="0" autoFill="0" autoLine="0" autoPict="0">
                <anchor moveWithCells="1">
                  <from>
                    <xdr:col>8</xdr:col>
                    <xdr:colOff>0</xdr:colOff>
                    <xdr:row>1</xdr:row>
                    <xdr:rowOff>171450</xdr:rowOff>
                  </from>
                  <to>
                    <xdr:col>8</xdr:col>
                    <xdr:colOff>412750</xdr:colOff>
                    <xdr:row>3</xdr:row>
                    <xdr:rowOff>31750</xdr:rowOff>
                  </to>
                </anchor>
              </controlPr>
            </control>
          </mc:Choice>
        </mc:AlternateContent>
        <mc:AlternateContent xmlns:mc="http://schemas.openxmlformats.org/markup-compatibility/2006">
          <mc:Choice Requires="x14">
            <control shapeId="17417" r:id="rId11" name="Check Box 9">
              <controlPr defaultSize="0" autoFill="0" autoLine="0" autoPict="0">
                <anchor moveWithCells="1">
                  <from>
                    <xdr:col>8</xdr:col>
                    <xdr:colOff>0</xdr:colOff>
                    <xdr:row>1</xdr:row>
                    <xdr:rowOff>171450</xdr:rowOff>
                  </from>
                  <to>
                    <xdr:col>8</xdr:col>
                    <xdr:colOff>412750</xdr:colOff>
                    <xdr:row>3</xdr:row>
                    <xdr:rowOff>31750</xdr:rowOff>
                  </to>
                </anchor>
              </controlPr>
            </control>
          </mc:Choice>
        </mc:AlternateContent>
        <mc:AlternateContent xmlns:mc="http://schemas.openxmlformats.org/markup-compatibility/2006">
          <mc:Choice Requires="x14">
            <control shapeId="17418" r:id="rId12" name="Drop Down 10">
              <controlPr defaultSize="0" autoLine="0" autoPict="0">
                <anchor moveWithCells="1">
                  <from>
                    <xdr:col>7</xdr:col>
                    <xdr:colOff>19050</xdr:colOff>
                    <xdr:row>3</xdr:row>
                    <xdr:rowOff>19050</xdr:rowOff>
                  </from>
                  <to>
                    <xdr:col>9</xdr:col>
                    <xdr:colOff>127000</xdr:colOff>
                    <xdr:row>3</xdr:row>
                    <xdr:rowOff>241300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5BF39-6A7B-4A0E-8BA2-154D4FA546D1}">
  <dimension ref="A1:P142"/>
  <sheetViews>
    <sheetView topLeftCell="A53" zoomScale="120" zoomScaleNormal="120" workbookViewId="0">
      <selection activeCell="C123" sqref="C123:F126"/>
    </sheetView>
  </sheetViews>
  <sheetFormatPr defaultRowHeight="14.5" x14ac:dyDescent="0.35"/>
  <cols>
    <col min="3" max="3" width="15" customWidth="1"/>
    <col min="4" max="4" width="16.54296875" customWidth="1"/>
    <col min="5" max="5" width="15.453125" customWidth="1"/>
    <col min="6" max="6" width="14" customWidth="1"/>
    <col min="7" max="7" width="12.7265625" customWidth="1"/>
    <col min="8" max="8" width="13.26953125" bestFit="1" customWidth="1"/>
    <col min="9" max="9" width="17.1796875" customWidth="1"/>
    <col min="10" max="10" width="15.26953125" customWidth="1"/>
    <col min="12" max="12" width="56.1796875" customWidth="1"/>
  </cols>
  <sheetData>
    <row r="1" spans="1:16" ht="15" thickBot="1" x14ac:dyDescent="0.4">
      <c r="A1" s="5" t="s">
        <v>26</v>
      </c>
      <c r="B1" s="5"/>
      <c r="C1" s="5"/>
      <c r="D1" s="5"/>
      <c r="E1" s="5"/>
      <c r="F1" s="5"/>
      <c r="G1" s="5"/>
      <c r="H1" s="5"/>
      <c r="I1" s="5"/>
      <c r="J1" s="5"/>
      <c r="K1" s="5"/>
      <c r="L1" s="5"/>
      <c r="M1" s="5"/>
      <c r="N1" s="5"/>
      <c r="O1" s="5"/>
      <c r="P1" s="5"/>
    </row>
    <row r="2" spans="1:16" x14ac:dyDescent="0.35">
      <c r="A2" s="5"/>
      <c r="B2" s="5"/>
      <c r="C2" s="5"/>
      <c r="D2" s="90" t="s">
        <v>27</v>
      </c>
      <c r="E2" s="91"/>
      <c r="F2" s="92"/>
      <c r="G2" s="93" t="s">
        <v>28</v>
      </c>
      <c r="H2" s="93" t="s">
        <v>29</v>
      </c>
      <c r="I2" s="93" t="s">
        <v>30</v>
      </c>
      <c r="J2" s="94" t="s">
        <v>31</v>
      </c>
      <c r="K2" s="95"/>
      <c r="L2" s="96"/>
      <c r="M2" s="5"/>
      <c r="N2" s="5"/>
      <c r="O2" s="5"/>
      <c r="P2" s="5"/>
    </row>
    <row r="3" spans="1:16" x14ac:dyDescent="0.35">
      <c r="A3" s="5"/>
      <c r="B3" s="5"/>
      <c r="C3" s="5"/>
      <c r="D3" s="97" t="s">
        <v>32</v>
      </c>
      <c r="E3" s="41"/>
      <c r="F3" s="40"/>
      <c r="G3" s="39"/>
      <c r="H3" s="39"/>
      <c r="I3" s="52" t="b">
        <v>0</v>
      </c>
      <c r="J3" s="38"/>
      <c r="K3" s="37"/>
      <c r="L3" s="98"/>
      <c r="M3" s="5"/>
      <c r="N3" s="5"/>
      <c r="O3" s="5"/>
      <c r="P3" s="5"/>
    </row>
    <row r="4" spans="1:16" ht="19.5" customHeight="1" x14ac:dyDescent="0.35">
      <c r="A4" s="5"/>
      <c r="B4" s="5"/>
      <c r="C4" s="5"/>
      <c r="D4" s="97" t="s">
        <v>60</v>
      </c>
      <c r="E4" s="41"/>
      <c r="F4" s="40"/>
      <c r="G4" s="51"/>
      <c r="H4" s="51"/>
      <c r="I4" s="136">
        <v>85</v>
      </c>
      <c r="J4" s="38"/>
      <c r="K4" s="37"/>
      <c r="L4" s="98"/>
      <c r="M4" s="5"/>
      <c r="N4" s="5"/>
      <c r="O4" s="5"/>
      <c r="P4" s="5"/>
    </row>
    <row r="5" spans="1:16" x14ac:dyDescent="0.35">
      <c r="A5" s="5"/>
      <c r="B5" s="5"/>
      <c r="C5" s="5"/>
      <c r="D5" s="97" t="s">
        <v>33</v>
      </c>
      <c r="E5" s="41"/>
      <c r="F5" s="40"/>
      <c r="G5" s="39" t="s">
        <v>34</v>
      </c>
      <c r="H5" s="39" t="s">
        <v>35</v>
      </c>
      <c r="I5" s="137">
        <v>500</v>
      </c>
      <c r="J5" s="38" t="s">
        <v>187</v>
      </c>
      <c r="K5" s="37"/>
      <c r="L5" s="98"/>
      <c r="M5" s="5"/>
      <c r="N5" s="5"/>
      <c r="O5" s="5"/>
      <c r="P5" s="5"/>
    </row>
    <row r="6" spans="1:16" x14ac:dyDescent="0.35">
      <c r="A6" s="5"/>
      <c r="B6" s="5"/>
      <c r="C6" s="5"/>
      <c r="D6" s="97" t="s">
        <v>37</v>
      </c>
      <c r="E6" s="41"/>
      <c r="F6" s="40"/>
      <c r="G6" s="39" t="s">
        <v>38</v>
      </c>
      <c r="H6" s="39"/>
      <c r="I6" s="138">
        <v>1</v>
      </c>
      <c r="J6" s="38" t="s">
        <v>39</v>
      </c>
      <c r="K6" s="37"/>
      <c r="L6" s="98"/>
      <c r="M6" s="5"/>
      <c r="N6" s="5"/>
      <c r="O6" s="5"/>
      <c r="P6" s="5"/>
    </row>
    <row r="7" spans="1:16" x14ac:dyDescent="0.35">
      <c r="A7" s="5"/>
      <c r="B7" s="5"/>
      <c r="C7" s="5"/>
      <c r="D7" s="97" t="s">
        <v>40</v>
      </c>
      <c r="E7" s="41"/>
      <c r="F7" s="40"/>
      <c r="G7" s="39" t="s">
        <v>41</v>
      </c>
      <c r="H7" s="39" t="s">
        <v>42</v>
      </c>
      <c r="I7" s="137">
        <v>9500</v>
      </c>
      <c r="J7" s="38" t="s">
        <v>43</v>
      </c>
      <c r="K7" s="37"/>
      <c r="L7" s="98"/>
      <c r="M7" s="5"/>
      <c r="N7" s="5"/>
      <c r="O7" s="5"/>
      <c r="P7" s="5"/>
    </row>
    <row r="8" spans="1:16" x14ac:dyDescent="0.35">
      <c r="A8" s="5"/>
      <c r="B8" s="5"/>
      <c r="C8" s="5"/>
      <c r="D8" s="97" t="s">
        <v>44</v>
      </c>
      <c r="E8" s="41"/>
      <c r="F8" s="40"/>
      <c r="G8" s="39" t="s">
        <v>45</v>
      </c>
      <c r="H8" s="39" t="s">
        <v>46</v>
      </c>
      <c r="I8" s="137">
        <v>1</v>
      </c>
      <c r="J8" s="38" t="s">
        <v>43</v>
      </c>
      <c r="K8" s="37"/>
      <c r="L8" s="98"/>
      <c r="M8" s="5"/>
      <c r="N8" s="5"/>
      <c r="O8" s="5"/>
      <c r="P8" s="5"/>
    </row>
    <row r="9" spans="1:16" ht="18.75" customHeight="1" x14ac:dyDescent="0.35">
      <c r="A9" s="5"/>
      <c r="B9" s="5"/>
      <c r="C9" s="5"/>
      <c r="D9" s="97" t="s">
        <v>48</v>
      </c>
      <c r="E9" s="41"/>
      <c r="F9" s="41"/>
      <c r="G9" s="39" t="s">
        <v>49</v>
      </c>
      <c r="H9" s="39"/>
      <c r="I9" s="139">
        <v>3</v>
      </c>
      <c r="J9" s="140" t="s">
        <v>43</v>
      </c>
      <c r="K9" s="37"/>
      <c r="L9" s="98"/>
      <c r="M9" s="5"/>
      <c r="N9" s="5"/>
      <c r="O9" s="5"/>
      <c r="P9" s="5"/>
    </row>
    <row r="10" spans="1:16" ht="18.75" customHeight="1" x14ac:dyDescent="0.35">
      <c r="A10" s="5"/>
      <c r="B10" s="5"/>
      <c r="C10" s="5"/>
      <c r="D10" s="97" t="s">
        <v>223</v>
      </c>
      <c r="E10" s="41"/>
      <c r="F10" s="41"/>
      <c r="G10" s="39" t="s">
        <v>51</v>
      </c>
      <c r="H10" s="39"/>
      <c r="I10" s="139">
        <v>2</v>
      </c>
      <c r="J10" s="140" t="s">
        <v>43</v>
      </c>
      <c r="K10" s="37"/>
      <c r="L10" s="98"/>
      <c r="M10" s="5"/>
      <c r="N10" s="5"/>
      <c r="O10" s="5"/>
      <c r="P10" s="5"/>
    </row>
    <row r="11" spans="1:16" ht="18.75" customHeight="1" x14ac:dyDescent="0.35">
      <c r="A11" s="5"/>
      <c r="B11" s="5"/>
      <c r="C11" s="5"/>
      <c r="D11" s="97" t="s">
        <v>224</v>
      </c>
      <c r="E11" s="41"/>
      <c r="F11" s="41"/>
      <c r="G11" s="39" t="s">
        <v>54</v>
      </c>
      <c r="H11" s="39"/>
      <c r="I11" s="139">
        <v>1</v>
      </c>
      <c r="J11" s="140" t="s">
        <v>43</v>
      </c>
      <c r="K11" s="37"/>
      <c r="L11" s="98"/>
      <c r="M11" s="5"/>
      <c r="N11" s="5"/>
      <c r="O11" s="5"/>
      <c r="P11" s="5"/>
    </row>
    <row r="12" spans="1:16" ht="123.65" customHeight="1" x14ac:dyDescent="0.35">
      <c r="A12" s="5"/>
      <c r="B12" s="5"/>
      <c r="C12" s="5"/>
      <c r="D12" s="97" t="s">
        <v>225</v>
      </c>
      <c r="E12" s="41"/>
      <c r="F12" s="40"/>
      <c r="G12" s="39" t="s">
        <v>57</v>
      </c>
      <c r="H12" s="39" t="s">
        <v>62</v>
      </c>
      <c r="I12" s="141">
        <v>85</v>
      </c>
      <c r="J12" s="156" t="s">
        <v>226</v>
      </c>
      <c r="K12" s="151"/>
      <c r="L12" s="157"/>
      <c r="M12" s="49" t="str">
        <f>IF(I12&gt;=G95, "Value is AT or ABOVE an ", "Value is BELOW an ")&amp;G95&amp;" percent maximum removal target"</f>
        <v>Value is BELOW an 90 percent maximum removal target</v>
      </c>
      <c r="N12" s="5"/>
      <c r="O12" s="5"/>
      <c r="P12" s="5"/>
    </row>
    <row r="13" spans="1:16" x14ac:dyDescent="0.35">
      <c r="A13" s="5"/>
      <c r="B13" s="5"/>
      <c r="C13" s="5"/>
      <c r="D13" s="97" t="s">
        <v>56</v>
      </c>
      <c r="E13" s="41"/>
      <c r="F13" s="40"/>
      <c r="G13" s="39" t="s">
        <v>64</v>
      </c>
      <c r="H13" s="39" t="s">
        <v>58</v>
      </c>
      <c r="I13" s="48">
        <f>I5*I7*1000</f>
        <v>4750000000</v>
      </c>
      <c r="J13" s="38" t="s">
        <v>59</v>
      </c>
      <c r="K13" s="37"/>
      <c r="L13" s="98"/>
      <c r="M13" s="5"/>
      <c r="N13" s="5"/>
      <c r="O13" s="5"/>
      <c r="P13" s="5"/>
    </row>
    <row r="14" spans="1:16" ht="116.5" customHeight="1" x14ac:dyDescent="0.35">
      <c r="A14" s="5"/>
      <c r="B14" s="5"/>
      <c r="C14" s="5"/>
      <c r="D14" s="97" t="s">
        <v>227</v>
      </c>
      <c r="E14" s="41"/>
      <c r="F14" s="40"/>
      <c r="G14" s="39" t="s">
        <v>67</v>
      </c>
      <c r="H14" s="39" t="s">
        <v>58</v>
      </c>
      <c r="I14" s="45">
        <f>VLOOKUP(I10,A102:F103,MATCH(I11,A135:A138,FALSE)+2)</f>
        <v>1.9220114490462219</v>
      </c>
      <c r="J14" s="156" t="s">
        <v>228</v>
      </c>
      <c r="K14" s="151"/>
      <c r="L14" s="157"/>
      <c r="M14" s="5"/>
      <c r="N14" s="5"/>
      <c r="O14" s="5"/>
      <c r="P14" s="5"/>
    </row>
    <row r="15" spans="1:16" ht="44.15" customHeight="1" x14ac:dyDescent="0.35">
      <c r="A15" s="5"/>
      <c r="B15" s="5"/>
      <c r="C15" s="5"/>
      <c r="D15" s="97" t="s">
        <v>229</v>
      </c>
      <c r="E15" s="41"/>
      <c r="F15" s="40"/>
      <c r="G15" s="39" t="s">
        <v>74</v>
      </c>
      <c r="H15" s="39" t="s">
        <v>68</v>
      </c>
      <c r="I15" s="45">
        <f ca="1">OFFSET(B106,1,MATCH(I11,A135:A138,FALSE))</f>
        <v>10.965507769384732</v>
      </c>
      <c r="J15" s="149" t="s">
        <v>230</v>
      </c>
      <c r="K15" s="147"/>
      <c r="L15" s="158"/>
      <c r="M15" s="5"/>
      <c r="N15" s="5"/>
      <c r="O15" s="5"/>
      <c r="P15" s="5"/>
    </row>
    <row r="16" spans="1:16" ht="100.5" customHeight="1" x14ac:dyDescent="0.35">
      <c r="A16" s="5"/>
      <c r="B16" s="5"/>
      <c r="C16" s="5"/>
      <c r="D16" s="97" t="s">
        <v>231</v>
      </c>
      <c r="E16" s="41"/>
      <c r="F16" s="40"/>
      <c r="G16" s="39" t="s">
        <v>232</v>
      </c>
      <c r="H16" s="39" t="s">
        <v>62</v>
      </c>
      <c r="I16" s="47">
        <f>MIN(100*(1-(0.002/F126)),VLOOKUP(I10,A111:F112,MATCH(I11,A135:A138,FALSE)+2))</f>
        <v>95.930762222897059</v>
      </c>
      <c r="J16" s="156" t="s">
        <v>233</v>
      </c>
      <c r="K16" s="151"/>
      <c r="L16" s="157"/>
      <c r="M16" s="5"/>
      <c r="N16" s="5"/>
      <c r="O16" s="5"/>
      <c r="P16" s="5"/>
    </row>
    <row r="17" spans="1:16" ht="71.150000000000006" customHeight="1" x14ac:dyDescent="0.35">
      <c r="A17" s="5"/>
      <c r="B17" s="5"/>
      <c r="C17" s="5"/>
      <c r="D17" s="97" t="s">
        <v>234</v>
      </c>
      <c r="E17" s="41"/>
      <c r="F17" s="40"/>
      <c r="G17" s="39" t="s">
        <v>77</v>
      </c>
      <c r="H17" s="39" t="s">
        <v>68</v>
      </c>
      <c r="I17" s="45">
        <f ca="1">OFFSET(B115,1,MATCH(I11,A135:A138,FALSE))</f>
        <v>9.2505080537445021</v>
      </c>
      <c r="J17" s="156" t="s">
        <v>235</v>
      </c>
      <c r="K17" s="151"/>
      <c r="L17" s="157"/>
      <c r="M17" s="5"/>
      <c r="N17" s="5"/>
      <c r="O17" s="5"/>
      <c r="P17" s="5"/>
    </row>
    <row r="18" spans="1:16" ht="59.25" customHeight="1" x14ac:dyDescent="0.35">
      <c r="A18" s="5"/>
      <c r="B18" s="5"/>
      <c r="C18" s="5"/>
      <c r="D18" s="159" t="s">
        <v>236</v>
      </c>
      <c r="E18" s="160"/>
      <c r="F18" s="161"/>
      <c r="G18" s="39" t="s">
        <v>81</v>
      </c>
      <c r="H18" s="39" t="s">
        <v>68</v>
      </c>
      <c r="I18" s="45">
        <f>IF(B132,I5*I7*C126*(1-D126)/(E126*2),0)</f>
        <v>20.727272727272727</v>
      </c>
      <c r="J18" s="156" t="s">
        <v>237</v>
      </c>
      <c r="K18" s="151"/>
      <c r="L18" s="157"/>
      <c r="M18" s="5"/>
      <c r="N18" s="5"/>
      <c r="O18" s="5"/>
      <c r="P18" s="5"/>
    </row>
    <row r="19" spans="1:16" ht="28.5" customHeight="1" x14ac:dyDescent="0.35">
      <c r="A19" s="5"/>
      <c r="B19" s="5"/>
      <c r="C19" s="5"/>
      <c r="D19" s="150" t="s">
        <v>73</v>
      </c>
      <c r="E19" s="151"/>
      <c r="F19" s="152"/>
      <c r="G19" s="39" t="s">
        <v>84</v>
      </c>
      <c r="H19" s="39" t="s">
        <v>62</v>
      </c>
      <c r="I19" s="45">
        <f ca="1">IF(OR((MATCH(I11,A135:A138,FALSE))=1,(MATCH(I11,A135:A138,FALSE))=3), I15*20/(I5),I15*18/(I5))</f>
        <v>0.43862031077538927</v>
      </c>
      <c r="J19" s="142" t="s">
        <v>238</v>
      </c>
      <c r="K19" s="37"/>
      <c r="L19" s="98"/>
      <c r="M19" s="5"/>
      <c r="N19" s="5"/>
      <c r="O19" s="5"/>
      <c r="P19" s="5"/>
    </row>
    <row r="20" spans="1:16" ht="13.5" customHeight="1" x14ac:dyDescent="0.35">
      <c r="A20" s="5"/>
      <c r="B20" s="5"/>
      <c r="C20" s="5"/>
      <c r="D20" s="122"/>
      <c r="E20" s="88"/>
      <c r="F20" s="89"/>
      <c r="G20" s="39"/>
      <c r="H20" s="39"/>
      <c r="I20" s="45"/>
      <c r="J20" s="38"/>
      <c r="K20" s="37"/>
      <c r="L20" s="98"/>
      <c r="M20" s="5"/>
      <c r="N20" s="5"/>
      <c r="O20" s="5"/>
      <c r="P20" s="5"/>
    </row>
    <row r="21" spans="1:16" x14ac:dyDescent="0.35">
      <c r="A21" s="5"/>
      <c r="B21" s="5"/>
      <c r="C21" s="5"/>
      <c r="D21" s="97" t="s">
        <v>239</v>
      </c>
      <c r="E21" s="41"/>
      <c r="F21" s="40"/>
      <c r="G21" s="39" t="s">
        <v>86</v>
      </c>
      <c r="H21" s="39" t="s">
        <v>82</v>
      </c>
      <c r="I21" s="137">
        <f ca="1">OFFSET($B$140,2,MATCH(I11,A135:A138,FALSE))</f>
        <v>270</v>
      </c>
      <c r="J21" s="44" t="s">
        <v>240</v>
      </c>
      <c r="K21" s="37"/>
      <c r="L21" s="98"/>
      <c r="M21" s="5"/>
      <c r="N21" s="5"/>
      <c r="O21" s="5"/>
      <c r="P21" s="5"/>
    </row>
    <row r="22" spans="1:16" x14ac:dyDescent="0.35">
      <c r="A22" s="5"/>
      <c r="B22" s="5"/>
      <c r="C22" s="5"/>
      <c r="D22" s="97" t="s">
        <v>83</v>
      </c>
      <c r="E22" s="41"/>
      <c r="F22" s="40"/>
      <c r="G22" s="39" t="s">
        <v>89</v>
      </c>
      <c r="H22" s="39" t="s">
        <v>82</v>
      </c>
      <c r="I22" s="137">
        <v>50</v>
      </c>
      <c r="J22" s="153" t="s">
        <v>241</v>
      </c>
      <c r="K22" s="154"/>
      <c r="L22" s="155"/>
      <c r="M22" s="5"/>
      <c r="N22" s="5"/>
      <c r="O22" s="5"/>
      <c r="P22" s="5"/>
    </row>
    <row r="23" spans="1:16" x14ac:dyDescent="0.35">
      <c r="A23" s="5"/>
      <c r="B23" s="5"/>
      <c r="C23" s="5"/>
      <c r="D23" s="97" t="s">
        <v>85</v>
      </c>
      <c r="E23" s="41"/>
      <c r="F23" s="40"/>
      <c r="G23" s="39" t="s">
        <v>92</v>
      </c>
      <c r="H23" s="39" t="s">
        <v>87</v>
      </c>
      <c r="I23" s="137">
        <v>0.06</v>
      </c>
      <c r="J23" s="38" t="s">
        <v>43</v>
      </c>
      <c r="K23" s="37"/>
      <c r="L23" s="98"/>
      <c r="M23" s="5"/>
      <c r="N23" s="5"/>
      <c r="O23" s="5"/>
      <c r="P23" s="5"/>
    </row>
    <row r="24" spans="1:16" x14ac:dyDescent="0.35">
      <c r="A24" s="5"/>
      <c r="B24" s="5"/>
      <c r="C24" s="5"/>
      <c r="D24" s="97"/>
      <c r="E24" s="41"/>
      <c r="F24" s="40"/>
      <c r="G24" s="39"/>
      <c r="H24" s="39"/>
      <c r="I24" s="137"/>
      <c r="J24" s="38"/>
      <c r="K24" s="37"/>
      <c r="L24" s="98"/>
      <c r="M24" s="5"/>
      <c r="N24" s="5"/>
      <c r="O24" s="5"/>
      <c r="P24" s="5"/>
    </row>
    <row r="25" spans="1:16" ht="15" thickBot="1" x14ac:dyDescent="0.4">
      <c r="A25" s="5"/>
      <c r="B25" s="5"/>
      <c r="C25" s="5"/>
      <c r="D25" s="99" t="s">
        <v>91</v>
      </c>
      <c r="E25" s="100"/>
      <c r="F25" s="101"/>
      <c r="G25" s="102" t="s">
        <v>242</v>
      </c>
      <c r="H25" s="102" t="s">
        <v>93</v>
      </c>
      <c r="I25" s="143">
        <v>60</v>
      </c>
      <c r="J25" s="103" t="s">
        <v>94</v>
      </c>
      <c r="K25" s="104"/>
      <c r="L25" s="105"/>
      <c r="M25" s="5"/>
      <c r="N25" s="5"/>
      <c r="O25" s="5"/>
      <c r="P25" s="5"/>
    </row>
    <row r="26" spans="1:16" x14ac:dyDescent="0.35">
      <c r="A26" s="5"/>
      <c r="B26" s="5"/>
      <c r="C26" s="5"/>
      <c r="D26" s="5"/>
      <c r="E26" s="5"/>
      <c r="F26" s="5"/>
      <c r="G26" s="5"/>
      <c r="H26" s="5"/>
      <c r="I26" s="5"/>
      <c r="J26" s="5"/>
      <c r="K26" s="5"/>
      <c r="L26" s="5"/>
      <c r="M26" s="5"/>
      <c r="N26" s="5"/>
      <c r="O26" s="5"/>
      <c r="P26" s="5"/>
    </row>
    <row r="27" spans="1:16" x14ac:dyDescent="0.35">
      <c r="A27" s="5"/>
      <c r="B27" s="5"/>
      <c r="C27" s="5"/>
      <c r="D27" s="5"/>
      <c r="E27" s="5"/>
      <c r="F27" s="5"/>
      <c r="G27" s="5"/>
      <c r="H27" s="5"/>
      <c r="I27" s="5"/>
      <c r="J27" s="5"/>
      <c r="K27" s="5"/>
      <c r="L27" s="5"/>
      <c r="M27" s="5"/>
      <c r="N27" s="5"/>
      <c r="O27" s="5"/>
      <c r="P27" s="5"/>
    </row>
    <row r="28" spans="1:16" ht="23" x14ac:dyDescent="0.5">
      <c r="A28" s="5"/>
      <c r="B28" s="5"/>
      <c r="C28" s="5"/>
      <c r="D28" s="5"/>
      <c r="E28" s="5"/>
      <c r="F28" s="5"/>
      <c r="G28" s="5"/>
      <c r="H28" s="35" t="s">
        <v>243</v>
      </c>
      <c r="I28" s="5"/>
      <c r="J28" s="5"/>
      <c r="K28" s="5"/>
      <c r="L28" s="5"/>
      <c r="M28" s="5"/>
      <c r="N28" s="5"/>
      <c r="O28" s="5"/>
      <c r="P28" s="5"/>
    </row>
    <row r="29" spans="1:16" x14ac:dyDescent="0.35">
      <c r="A29" s="26" t="s">
        <v>95</v>
      </c>
      <c r="B29" s="26"/>
      <c r="C29" s="26"/>
      <c r="D29" s="26"/>
      <c r="E29" s="26"/>
      <c r="F29" s="26"/>
      <c r="G29" s="26"/>
      <c r="H29" s="26"/>
      <c r="I29" s="26"/>
      <c r="J29" s="26" t="s">
        <v>96</v>
      </c>
      <c r="K29" s="26"/>
      <c r="L29" s="26" t="s">
        <v>97</v>
      </c>
      <c r="M29" s="5"/>
      <c r="N29" s="5"/>
      <c r="O29" s="5"/>
      <c r="P29" s="5"/>
    </row>
    <row r="30" spans="1:16" x14ac:dyDescent="0.35">
      <c r="A30" s="5"/>
      <c r="B30" s="5" t="s">
        <v>98</v>
      </c>
      <c r="C30" s="5"/>
      <c r="D30" s="5"/>
      <c r="E30" s="5"/>
      <c r="F30" s="5"/>
      <c r="G30" s="5"/>
      <c r="H30" s="5"/>
      <c r="I30" s="5"/>
      <c r="J30" s="5"/>
      <c r="K30" s="5"/>
      <c r="L30" s="5"/>
      <c r="M30" s="5"/>
      <c r="N30" s="5"/>
      <c r="O30" s="5"/>
      <c r="P30" s="5"/>
    </row>
    <row r="31" spans="1:16" ht="42.75" customHeight="1" x14ac:dyDescent="0.35">
      <c r="A31" s="5"/>
      <c r="B31" s="5" t="s">
        <v>108</v>
      </c>
      <c r="C31" s="34" t="s">
        <v>244</v>
      </c>
      <c r="D31" s="78"/>
      <c r="E31" s="5"/>
      <c r="F31" s="5"/>
      <c r="G31" s="5"/>
      <c r="H31" s="5"/>
      <c r="I31" s="5"/>
      <c r="J31" s="33">
        <f ca="1">OFFSET(B119,1,MATCH(I11,A135:A138,FALSE))</f>
        <v>17233109.376701131</v>
      </c>
      <c r="K31" s="5"/>
      <c r="L31" s="32" t="s">
        <v>245</v>
      </c>
      <c r="M31" s="5"/>
      <c r="N31" s="5"/>
      <c r="O31" s="5"/>
      <c r="P31" s="5"/>
    </row>
    <row r="32" spans="1:16" x14ac:dyDescent="0.35">
      <c r="A32" s="5"/>
      <c r="B32" s="5" t="s">
        <v>111</v>
      </c>
      <c r="C32" s="5"/>
      <c r="D32" s="5"/>
      <c r="E32" s="5"/>
      <c r="F32" s="5"/>
      <c r="G32" s="5"/>
      <c r="H32" s="5"/>
      <c r="I32" s="5"/>
      <c r="J32" s="31">
        <f ca="1">J31/(I5*1000)</f>
        <v>34.466218753402266</v>
      </c>
      <c r="K32" s="5"/>
      <c r="L32" s="5" t="s">
        <v>112</v>
      </c>
      <c r="M32" s="5"/>
      <c r="N32" s="5"/>
      <c r="O32" s="5"/>
      <c r="P32" s="5"/>
    </row>
    <row r="33" spans="1:16" x14ac:dyDescent="0.35">
      <c r="A33" s="5"/>
      <c r="B33" s="5"/>
      <c r="C33" s="5"/>
      <c r="D33" s="5"/>
      <c r="E33" s="5"/>
      <c r="F33" s="5"/>
      <c r="G33" s="5"/>
      <c r="H33" s="5"/>
      <c r="I33" s="5"/>
      <c r="J33" s="5"/>
      <c r="K33" s="5"/>
      <c r="L33" s="5"/>
      <c r="M33" s="5"/>
      <c r="N33" s="5"/>
      <c r="O33" s="5"/>
      <c r="P33" s="5"/>
    </row>
    <row r="34" spans="1:16" x14ac:dyDescent="0.35">
      <c r="A34" s="26" t="s">
        <v>113</v>
      </c>
      <c r="B34" s="5"/>
      <c r="C34" s="5"/>
      <c r="D34" s="5"/>
      <c r="E34" s="5"/>
      <c r="F34" s="5"/>
      <c r="G34" s="5"/>
      <c r="H34" s="5"/>
      <c r="I34" s="5"/>
      <c r="J34" s="5"/>
      <c r="K34" s="5"/>
      <c r="L34" s="5"/>
      <c r="M34" s="5"/>
      <c r="N34" s="5"/>
      <c r="O34" s="5"/>
      <c r="P34" s="5"/>
    </row>
    <row r="35" spans="1:16" x14ac:dyDescent="0.35">
      <c r="A35" s="5"/>
      <c r="B35" s="5" t="s">
        <v>114</v>
      </c>
      <c r="C35" s="5"/>
      <c r="D35" s="5"/>
      <c r="E35" s="5"/>
      <c r="F35" s="5"/>
      <c r="G35" s="5"/>
      <c r="H35" s="5"/>
      <c r="I35" s="5"/>
      <c r="J35" s="30">
        <f ca="1">ROUND($J$31*0.1,-3)</f>
        <v>1723000</v>
      </c>
      <c r="K35" s="5"/>
      <c r="L35" s="5" t="s">
        <v>115</v>
      </c>
      <c r="M35" s="5"/>
      <c r="N35" s="5"/>
      <c r="O35" s="5"/>
      <c r="P35" s="5"/>
    </row>
    <row r="36" spans="1:16" x14ac:dyDescent="0.35">
      <c r="A36" s="5"/>
      <c r="B36" s="5" t="s">
        <v>246</v>
      </c>
      <c r="C36" s="5"/>
      <c r="D36" s="5"/>
      <c r="E36" s="5"/>
      <c r="F36" s="5"/>
      <c r="G36" s="5"/>
      <c r="H36" s="5"/>
      <c r="I36" s="5"/>
      <c r="J36" s="30">
        <f ca="1">ROUND($J$31*0.05,-3)</f>
        <v>862000</v>
      </c>
      <c r="K36" s="5"/>
      <c r="L36" s="5" t="s">
        <v>117</v>
      </c>
      <c r="M36" s="5"/>
      <c r="N36" s="5"/>
      <c r="O36" s="5"/>
      <c r="P36" s="5"/>
    </row>
    <row r="37" spans="1:16" x14ac:dyDescent="0.35">
      <c r="A37" s="5"/>
      <c r="B37" s="5" t="s">
        <v>247</v>
      </c>
      <c r="C37" s="5"/>
      <c r="D37" s="5"/>
      <c r="E37" s="5"/>
      <c r="F37" s="5"/>
      <c r="G37" s="5"/>
      <c r="H37" s="5"/>
      <c r="I37" s="5"/>
      <c r="J37" s="30">
        <f ca="1">ROUND($J$31*0.05,-3)</f>
        <v>862000</v>
      </c>
      <c r="K37" s="5"/>
      <c r="L37" s="5" t="s">
        <v>119</v>
      </c>
      <c r="M37" s="5"/>
      <c r="N37" s="5"/>
      <c r="O37" s="5"/>
      <c r="P37" s="5"/>
    </row>
    <row r="38" spans="1:16" x14ac:dyDescent="0.35">
      <c r="A38" s="5"/>
      <c r="B38" s="5"/>
      <c r="C38" s="5"/>
      <c r="D38" s="5"/>
      <c r="E38" s="5"/>
      <c r="F38" s="5"/>
      <c r="G38" s="5"/>
      <c r="H38" s="5"/>
      <c r="I38" s="5"/>
      <c r="J38" s="5"/>
      <c r="K38" s="5"/>
      <c r="L38" s="5"/>
      <c r="M38" s="5"/>
      <c r="N38" s="5"/>
      <c r="O38" s="5"/>
      <c r="P38" s="5"/>
    </row>
    <row r="39" spans="1:16" x14ac:dyDescent="0.35">
      <c r="A39" s="5"/>
      <c r="B39" s="26" t="s">
        <v>120</v>
      </c>
      <c r="C39" s="26"/>
      <c r="D39" s="26"/>
      <c r="E39" s="26"/>
      <c r="F39" s="26"/>
      <c r="G39" s="26"/>
      <c r="H39" s="26"/>
      <c r="I39" s="26"/>
      <c r="J39" s="29">
        <f ca="1">SUM(J31+J35+J36+J37)</f>
        <v>20680109.376701131</v>
      </c>
      <c r="K39" s="5"/>
      <c r="L39" s="5" t="s">
        <v>121</v>
      </c>
      <c r="M39" s="5"/>
      <c r="N39" s="5"/>
      <c r="O39" s="5"/>
      <c r="P39" s="5"/>
    </row>
    <row r="40" spans="1:16" x14ac:dyDescent="0.35">
      <c r="A40" s="5"/>
      <c r="B40" s="26" t="s">
        <v>248</v>
      </c>
      <c r="C40" s="26"/>
      <c r="D40" s="26"/>
      <c r="E40" s="26"/>
      <c r="F40" s="26"/>
      <c r="G40" s="26"/>
      <c r="H40" s="26"/>
      <c r="I40" s="26"/>
      <c r="J40" s="28">
        <f ca="1">J39/(I5*1000)</f>
        <v>41.360218753402265</v>
      </c>
      <c r="K40" s="5"/>
      <c r="L40" s="5" t="s">
        <v>123</v>
      </c>
      <c r="M40" s="5"/>
      <c r="N40" s="5"/>
      <c r="O40" s="5"/>
      <c r="P40" s="5"/>
    </row>
    <row r="41" spans="1:16" x14ac:dyDescent="0.35">
      <c r="A41" s="5"/>
      <c r="B41" s="5"/>
      <c r="C41" s="5"/>
      <c r="D41" s="5"/>
      <c r="E41" s="5"/>
      <c r="F41" s="5"/>
      <c r="G41" s="5"/>
      <c r="H41" s="5"/>
      <c r="I41" s="5"/>
      <c r="J41" s="5"/>
      <c r="K41" s="5"/>
      <c r="L41" s="5"/>
      <c r="M41" s="5"/>
      <c r="N41" s="5"/>
      <c r="O41" s="5"/>
      <c r="P41" s="5"/>
    </row>
    <row r="42" spans="1:16" x14ac:dyDescent="0.35">
      <c r="A42" s="5"/>
      <c r="B42" s="5" t="s">
        <v>124</v>
      </c>
      <c r="C42" s="5"/>
      <c r="D42" s="5"/>
      <c r="E42" s="5"/>
      <c r="F42" s="5"/>
      <c r="G42" s="5"/>
      <c r="H42" s="5"/>
      <c r="I42" s="5"/>
      <c r="J42" s="30">
        <f ca="1">ROUND((J39)*IF(I3,0.02,0.05),-3)</f>
        <v>1034000</v>
      </c>
      <c r="K42" s="5"/>
      <c r="L42" s="5" t="s">
        <v>125</v>
      </c>
      <c r="M42" s="5"/>
      <c r="N42" s="5"/>
      <c r="O42" s="5"/>
      <c r="P42" s="5"/>
    </row>
    <row r="43" spans="1:16" x14ac:dyDescent="0.35">
      <c r="A43" s="5"/>
      <c r="B43" s="26" t="s">
        <v>126</v>
      </c>
      <c r="C43" s="26"/>
      <c r="D43" s="26"/>
      <c r="E43" s="26"/>
      <c r="F43" s="26"/>
      <c r="G43" s="26"/>
      <c r="H43" s="26"/>
      <c r="I43" s="26"/>
      <c r="J43" s="29">
        <f ca="1">J42+J39</f>
        <v>21714109.376701131</v>
      </c>
      <c r="K43" s="5"/>
      <c r="L43" s="5" t="s">
        <v>127</v>
      </c>
      <c r="M43" s="5"/>
      <c r="N43" s="5"/>
      <c r="O43" s="5"/>
      <c r="P43" s="5"/>
    </row>
    <row r="44" spans="1:16" x14ac:dyDescent="0.35">
      <c r="A44" s="5"/>
      <c r="B44" s="26" t="s">
        <v>128</v>
      </c>
      <c r="C44" s="26"/>
      <c r="D44" s="26"/>
      <c r="E44" s="26"/>
      <c r="F44" s="26"/>
      <c r="G44" s="26"/>
      <c r="H44" s="26"/>
      <c r="I44" s="26"/>
      <c r="J44" s="28">
        <f ca="1">J43/(I5*1000)</f>
        <v>43.428218753402263</v>
      </c>
      <c r="K44" s="5"/>
      <c r="L44" s="5" t="s">
        <v>129</v>
      </c>
      <c r="M44" s="5"/>
      <c r="N44" s="5"/>
      <c r="O44" s="5"/>
      <c r="P44" s="5"/>
    </row>
    <row r="45" spans="1:16" x14ac:dyDescent="0.35">
      <c r="A45" s="5"/>
      <c r="B45" s="5"/>
      <c r="C45" s="5"/>
      <c r="D45" s="5"/>
      <c r="E45" s="5"/>
      <c r="F45" s="5"/>
      <c r="G45" s="5"/>
      <c r="H45" s="5"/>
      <c r="I45" s="5"/>
      <c r="J45" s="5"/>
      <c r="K45" s="5"/>
      <c r="L45" s="5"/>
      <c r="M45" s="5"/>
      <c r="N45" s="5"/>
      <c r="O45" s="5"/>
      <c r="P45" s="5"/>
    </row>
    <row r="46" spans="1:16" x14ac:dyDescent="0.35">
      <c r="A46" s="5"/>
      <c r="B46" s="5" t="s">
        <v>130</v>
      </c>
      <c r="C46" s="5"/>
      <c r="D46" s="5"/>
      <c r="E46" s="5"/>
      <c r="F46" s="5"/>
      <c r="G46" s="5"/>
      <c r="H46" s="5"/>
      <c r="I46" s="5"/>
      <c r="J46" s="30">
        <f ca="1">ROUND($J$43*0,-3)</f>
        <v>0</v>
      </c>
      <c r="K46" s="5"/>
      <c r="L46" s="5" t="s">
        <v>249</v>
      </c>
      <c r="M46" s="5"/>
      <c r="N46" s="5"/>
      <c r="O46" s="5"/>
      <c r="P46" s="5"/>
    </row>
    <row r="47" spans="1:16" x14ac:dyDescent="0.35">
      <c r="A47" s="5"/>
      <c r="B47" s="5" t="s">
        <v>132</v>
      </c>
      <c r="C47" s="5"/>
      <c r="D47" s="5"/>
      <c r="E47" s="5"/>
      <c r="F47" s="5"/>
      <c r="G47" s="5"/>
      <c r="H47" s="5"/>
      <c r="I47" s="5"/>
      <c r="J47" s="30">
        <f ca="1">ROUND((J39+J42)*IF(I3,0.15,0),-3)</f>
        <v>0</v>
      </c>
      <c r="K47" s="5"/>
      <c r="L47" s="5" t="s">
        <v>133</v>
      </c>
      <c r="M47" s="5"/>
      <c r="N47" s="5"/>
      <c r="O47" s="5"/>
      <c r="P47" s="5"/>
    </row>
    <row r="48" spans="1:16" x14ac:dyDescent="0.35">
      <c r="A48" s="5"/>
      <c r="B48" s="5"/>
      <c r="C48" s="5"/>
      <c r="D48" s="5"/>
      <c r="E48" s="5"/>
      <c r="F48" s="5"/>
      <c r="G48" s="5"/>
      <c r="H48" s="5"/>
      <c r="I48" s="5"/>
      <c r="J48" s="5"/>
      <c r="K48" s="5"/>
      <c r="L48" s="5"/>
      <c r="M48" s="5"/>
      <c r="N48" s="5"/>
      <c r="O48" s="5"/>
      <c r="P48" s="5"/>
    </row>
    <row r="49" spans="1:16" x14ac:dyDescent="0.35">
      <c r="A49" s="5"/>
      <c r="B49" s="26" t="s">
        <v>134</v>
      </c>
      <c r="C49" s="26"/>
      <c r="D49" s="26"/>
      <c r="E49" s="26"/>
      <c r="F49" s="26"/>
      <c r="G49" s="26"/>
      <c r="H49" s="26"/>
      <c r="I49" s="26"/>
      <c r="J49" s="29">
        <f ca="1">J39+J42+J46+J47</f>
        <v>21714109.376701131</v>
      </c>
      <c r="K49" s="5"/>
      <c r="L49" s="5" t="s">
        <v>135</v>
      </c>
      <c r="M49" s="5"/>
      <c r="N49" s="5"/>
      <c r="O49" s="5"/>
      <c r="P49" s="5"/>
    </row>
    <row r="50" spans="1:16" x14ac:dyDescent="0.35">
      <c r="A50" s="5"/>
      <c r="B50" s="26" t="s">
        <v>136</v>
      </c>
      <c r="C50" s="26"/>
      <c r="D50" s="26"/>
      <c r="E50" s="26"/>
      <c r="F50" s="26"/>
      <c r="G50" s="26"/>
      <c r="H50" s="26"/>
      <c r="I50" s="26"/>
      <c r="J50" s="28">
        <f ca="1">J49/(I5*1000)</f>
        <v>43.428218753402263</v>
      </c>
      <c r="K50" s="5"/>
      <c r="L50" s="5" t="s">
        <v>137</v>
      </c>
      <c r="M50" s="5"/>
      <c r="N50" s="5"/>
      <c r="O50" s="5"/>
      <c r="P50" s="5"/>
    </row>
    <row r="51" spans="1:16" x14ac:dyDescent="0.35">
      <c r="A51" s="5"/>
      <c r="B51" s="5"/>
      <c r="C51" s="5"/>
      <c r="D51" s="5"/>
      <c r="E51" s="5"/>
      <c r="F51" s="5"/>
      <c r="G51" s="5"/>
      <c r="H51" s="5"/>
      <c r="I51" s="5"/>
      <c r="J51" s="5"/>
      <c r="K51" s="5"/>
      <c r="L51" s="5"/>
      <c r="M51" s="5"/>
      <c r="N51" s="5"/>
      <c r="O51" s="5"/>
      <c r="P51" s="5"/>
    </row>
    <row r="52" spans="1:16" x14ac:dyDescent="0.35">
      <c r="A52" s="5" t="s">
        <v>138</v>
      </c>
      <c r="B52" s="5"/>
      <c r="C52" s="5"/>
      <c r="D52" s="5"/>
      <c r="E52" s="5"/>
      <c r="F52" s="5"/>
      <c r="G52" s="5"/>
      <c r="H52" s="5"/>
      <c r="I52" s="5"/>
      <c r="J52" s="5"/>
      <c r="K52" s="5"/>
      <c r="L52" s="5"/>
      <c r="M52" s="5"/>
      <c r="N52" s="5"/>
      <c r="O52" s="5"/>
      <c r="P52" s="5"/>
    </row>
    <row r="53" spans="1:16" x14ac:dyDescent="0.35">
      <c r="A53" s="5"/>
      <c r="B53" s="5" t="s">
        <v>250</v>
      </c>
      <c r="C53" s="5"/>
      <c r="D53" s="5"/>
      <c r="E53" s="5"/>
      <c r="F53" s="5"/>
      <c r="G53" s="5"/>
      <c r="H53" s="5"/>
      <c r="I53" s="5"/>
      <c r="J53" s="27">
        <f>ROUND(2*2080*I25/(I5*1000),3)</f>
        <v>0.499</v>
      </c>
      <c r="K53" s="5"/>
      <c r="L53" s="5" t="s">
        <v>140</v>
      </c>
      <c r="M53" s="5"/>
      <c r="N53" s="5"/>
      <c r="O53" s="5"/>
      <c r="P53" s="5"/>
    </row>
    <row r="54" spans="1:16" x14ac:dyDescent="0.35">
      <c r="A54" s="5"/>
      <c r="B54" s="5" t="s">
        <v>251</v>
      </c>
      <c r="C54" s="5"/>
      <c r="D54" s="5"/>
      <c r="E54" s="5"/>
      <c r="F54" s="5"/>
      <c r="G54" s="5"/>
      <c r="H54" s="5"/>
      <c r="I54" s="5"/>
      <c r="J54" s="27">
        <f ca="1">ROUND((J31*0.01)/(I6*I5*1000),3)</f>
        <v>0.34499999999999997</v>
      </c>
      <c r="K54" s="5"/>
      <c r="L54" s="5" t="s">
        <v>142</v>
      </c>
      <c r="M54" s="5"/>
      <c r="N54" s="5"/>
      <c r="O54" s="5"/>
      <c r="P54" s="5"/>
    </row>
    <row r="55" spans="1:16" x14ac:dyDescent="0.35">
      <c r="A55" s="5"/>
      <c r="B55" s="5" t="s">
        <v>143</v>
      </c>
      <c r="C55" s="5"/>
      <c r="D55" s="5"/>
      <c r="E55" s="5"/>
      <c r="F55" s="5"/>
      <c r="G55" s="5"/>
      <c r="H55" s="5"/>
      <c r="I55" s="5"/>
      <c r="J55" s="27">
        <f ca="1">ROUND(0.03*(J53+0.4*J54),4)</f>
        <v>1.9099999999999999E-2</v>
      </c>
      <c r="K55" s="5"/>
      <c r="L55" s="5" t="s">
        <v>144</v>
      </c>
      <c r="M55" s="5"/>
      <c r="N55" s="5"/>
      <c r="O55" s="5"/>
      <c r="P55" s="5"/>
    </row>
    <row r="56" spans="1:16" x14ac:dyDescent="0.35">
      <c r="A56" s="5"/>
      <c r="B56" s="5"/>
      <c r="C56" s="5"/>
      <c r="D56" s="5"/>
      <c r="E56" s="5"/>
      <c r="F56" s="5"/>
      <c r="G56" s="5"/>
      <c r="H56" s="5"/>
      <c r="I56" s="5"/>
      <c r="J56" s="5"/>
      <c r="K56" s="5"/>
      <c r="L56" s="5"/>
      <c r="M56" s="5"/>
      <c r="N56" s="5"/>
      <c r="O56" s="5"/>
      <c r="P56" s="5"/>
    </row>
    <row r="57" spans="1:16" x14ac:dyDescent="0.35">
      <c r="A57" s="5"/>
      <c r="B57" s="5"/>
      <c r="C57" s="5"/>
      <c r="D57" s="5"/>
      <c r="E57" s="5"/>
      <c r="F57" s="5"/>
      <c r="G57" s="5"/>
      <c r="H57" s="5"/>
      <c r="I57" s="5"/>
      <c r="J57" s="5"/>
      <c r="K57" s="5"/>
      <c r="L57" s="5"/>
      <c r="M57" s="5"/>
      <c r="N57" s="5"/>
      <c r="O57" s="5"/>
      <c r="P57" s="5"/>
    </row>
    <row r="58" spans="1:16" x14ac:dyDescent="0.35">
      <c r="A58" s="5"/>
      <c r="B58" s="26" t="s">
        <v>252</v>
      </c>
      <c r="C58" s="26"/>
      <c r="D58" s="26"/>
      <c r="E58" s="26"/>
      <c r="F58" s="26"/>
      <c r="G58" s="26"/>
      <c r="H58" s="26"/>
      <c r="I58" s="26"/>
      <c r="J58" s="25">
        <f ca="1">SUM(J53+J54+J55)</f>
        <v>0.86309999999999998</v>
      </c>
      <c r="K58" s="5"/>
      <c r="L58" s="5" t="s">
        <v>146</v>
      </c>
      <c r="M58" s="5"/>
      <c r="N58" s="5"/>
      <c r="O58" s="5"/>
      <c r="P58" s="5"/>
    </row>
    <row r="59" spans="1:16" x14ac:dyDescent="0.35">
      <c r="A59" s="5"/>
      <c r="B59" s="5"/>
      <c r="C59" s="5"/>
      <c r="D59" s="5"/>
      <c r="E59" s="5"/>
      <c r="F59" s="5"/>
      <c r="G59" s="5"/>
      <c r="H59" s="5"/>
      <c r="I59" s="5"/>
      <c r="J59" s="5"/>
      <c r="K59" s="5"/>
      <c r="L59" s="5"/>
      <c r="M59" s="5"/>
      <c r="N59" s="5"/>
      <c r="O59" s="5"/>
      <c r="P59" s="5"/>
    </row>
    <row r="60" spans="1:16" x14ac:dyDescent="0.35">
      <c r="A60" s="5" t="s">
        <v>147</v>
      </c>
      <c r="B60" s="5"/>
      <c r="C60" s="5"/>
      <c r="D60" s="5"/>
      <c r="E60" s="5"/>
      <c r="F60" s="5"/>
      <c r="G60" s="5"/>
      <c r="H60" s="5"/>
      <c r="I60" s="5"/>
      <c r="J60" s="5"/>
      <c r="K60" s="5"/>
      <c r="L60" s="5"/>
      <c r="M60" s="5"/>
      <c r="N60" s="5"/>
      <c r="O60" s="5"/>
      <c r="P60" s="5"/>
    </row>
    <row r="61" spans="1:16" x14ac:dyDescent="0.35">
      <c r="A61" s="5"/>
      <c r="B61" s="5" t="s">
        <v>253</v>
      </c>
      <c r="C61" s="5"/>
      <c r="D61" s="5"/>
      <c r="E61" s="5"/>
      <c r="F61" s="5"/>
      <c r="G61" s="5"/>
      <c r="H61" s="5"/>
      <c r="I61" s="5"/>
      <c r="J61" s="27">
        <f ca="1">ROUND(I15*I21/I5,3)</f>
        <v>5.9210000000000003</v>
      </c>
      <c r="K61" s="5"/>
      <c r="L61" s="5" t="s">
        <v>254</v>
      </c>
      <c r="M61" s="5"/>
      <c r="N61" s="5"/>
      <c r="O61" s="5"/>
      <c r="P61" s="5"/>
    </row>
    <row r="62" spans="1:16" x14ac:dyDescent="0.35">
      <c r="A62" s="5"/>
      <c r="B62" s="5" t="s">
        <v>255</v>
      </c>
      <c r="C62" s="5"/>
      <c r="D62" s="5"/>
      <c r="E62" s="5"/>
      <c r="F62" s="5"/>
      <c r="G62" s="5"/>
      <c r="H62" s="5"/>
      <c r="I62" s="5"/>
      <c r="J62" s="27">
        <f ca="1" xml:space="preserve"> ROUND((I17+I18)*I22/I5,3)</f>
        <v>2.9980000000000002</v>
      </c>
      <c r="K62" s="5"/>
      <c r="L62" s="5" t="s">
        <v>256</v>
      </c>
      <c r="M62" s="5"/>
      <c r="N62" s="5"/>
      <c r="O62" s="5"/>
      <c r="P62" s="5"/>
    </row>
    <row r="63" spans="1:16" x14ac:dyDescent="0.35">
      <c r="A63" s="5"/>
      <c r="B63" s="5" t="s">
        <v>257</v>
      </c>
      <c r="C63" s="5"/>
      <c r="D63" s="5"/>
      <c r="E63" s="5"/>
      <c r="F63" s="5"/>
      <c r="G63" s="5"/>
      <c r="H63" s="5"/>
      <c r="I63" s="5"/>
      <c r="J63" s="27">
        <f ca="1">IF(B129,I19*I23*10,0)</f>
        <v>0.26317218646523355</v>
      </c>
      <c r="K63" s="5"/>
      <c r="L63" s="5" t="s">
        <v>153</v>
      </c>
      <c r="M63" s="5"/>
      <c r="N63" s="5"/>
      <c r="O63" s="5"/>
      <c r="P63" s="5"/>
    </row>
    <row r="64" spans="1:16" x14ac:dyDescent="0.35">
      <c r="A64" s="5"/>
      <c r="B64" s="5"/>
      <c r="C64" s="5"/>
      <c r="D64" s="5"/>
      <c r="E64" s="5"/>
      <c r="F64" s="5"/>
      <c r="G64" s="5"/>
      <c r="H64" s="5"/>
      <c r="I64" s="5"/>
      <c r="J64" s="27"/>
      <c r="K64" s="5"/>
      <c r="L64" s="5"/>
      <c r="M64" s="5"/>
      <c r="N64" s="5"/>
      <c r="O64" s="5"/>
      <c r="P64" s="5"/>
    </row>
    <row r="65" spans="1:16" x14ac:dyDescent="0.35">
      <c r="A65" s="5"/>
      <c r="B65" s="5"/>
      <c r="C65" s="5"/>
      <c r="D65" s="5"/>
      <c r="E65" s="5"/>
      <c r="F65" s="5"/>
      <c r="G65" s="5"/>
      <c r="H65" s="5"/>
      <c r="I65" s="5"/>
      <c r="J65" s="27"/>
      <c r="K65" s="5"/>
      <c r="L65" s="5"/>
      <c r="M65" s="5"/>
      <c r="N65" s="5"/>
      <c r="O65" s="5"/>
      <c r="P65" s="5"/>
    </row>
    <row r="66" spans="1:16" x14ac:dyDescent="0.35">
      <c r="A66" s="5"/>
      <c r="B66" s="5"/>
      <c r="C66" s="5"/>
      <c r="D66" s="5"/>
      <c r="E66" s="5"/>
      <c r="F66" s="5"/>
      <c r="G66" s="5"/>
      <c r="H66" s="5"/>
      <c r="I66" s="5"/>
      <c r="J66" s="5"/>
      <c r="K66" s="5"/>
      <c r="L66" s="5"/>
      <c r="M66" s="5"/>
      <c r="N66" s="5"/>
      <c r="O66" s="5"/>
      <c r="P66" s="5"/>
    </row>
    <row r="67" spans="1:16" x14ac:dyDescent="0.35">
      <c r="A67" s="5"/>
      <c r="B67" s="26" t="s">
        <v>258</v>
      </c>
      <c r="C67" s="26"/>
      <c r="D67" s="26"/>
      <c r="E67" s="26"/>
      <c r="F67" s="26"/>
      <c r="G67" s="26"/>
      <c r="H67" s="26"/>
      <c r="I67" s="26"/>
      <c r="J67" s="25">
        <f ca="1">SUM(J61+J62+J63+J64)</f>
        <v>9.1821721864652339</v>
      </c>
      <c r="K67" s="5"/>
      <c r="L67" s="5" t="s">
        <v>157</v>
      </c>
      <c r="M67" s="5"/>
      <c r="N67" s="5"/>
      <c r="O67" s="5"/>
      <c r="P67" s="5"/>
    </row>
    <row r="68" spans="1:16" x14ac:dyDescent="0.35">
      <c r="A68" s="5"/>
      <c r="B68" s="5"/>
      <c r="C68" s="5"/>
      <c r="D68" s="5"/>
      <c r="E68" s="5"/>
      <c r="F68" s="5"/>
      <c r="G68" s="5"/>
      <c r="H68" s="5"/>
      <c r="I68" s="5"/>
      <c r="J68" s="5"/>
      <c r="K68" s="5"/>
      <c r="L68" s="5"/>
      <c r="M68" s="5"/>
      <c r="N68" s="5"/>
      <c r="O68" s="5"/>
      <c r="P68" s="5"/>
    </row>
    <row r="69" spans="1:16" x14ac:dyDescent="0.35">
      <c r="A69" s="5"/>
      <c r="B69" s="5"/>
      <c r="C69" s="5"/>
      <c r="D69" s="5"/>
      <c r="E69" s="5"/>
      <c r="F69" s="5"/>
      <c r="G69" s="10" t="s">
        <v>158</v>
      </c>
      <c r="H69" s="24">
        <f>I4/100</f>
        <v>0.85</v>
      </c>
      <c r="I69" s="5"/>
      <c r="J69" s="5"/>
      <c r="K69" s="5"/>
      <c r="L69" s="5"/>
      <c r="M69" s="5"/>
      <c r="N69" s="5"/>
      <c r="O69" s="5"/>
      <c r="P69" s="5"/>
    </row>
    <row r="70" spans="1:16" x14ac:dyDescent="0.35">
      <c r="A70" s="5"/>
      <c r="B70" s="5"/>
      <c r="C70" s="5"/>
      <c r="D70" s="5"/>
      <c r="E70" s="5"/>
      <c r="F70" s="5"/>
      <c r="G70" s="10" t="s">
        <v>159</v>
      </c>
      <c r="H70" s="9">
        <f>H69*I5*8760</f>
        <v>3723000</v>
      </c>
      <c r="I70" s="5"/>
      <c r="J70" s="5"/>
      <c r="K70" s="5"/>
      <c r="L70" s="5"/>
      <c r="M70" s="5"/>
      <c r="N70" s="5"/>
      <c r="O70" s="5"/>
      <c r="P70" s="5"/>
    </row>
    <row r="71" spans="1:16" x14ac:dyDescent="0.35">
      <c r="A71" s="5"/>
      <c r="B71" s="5"/>
      <c r="C71" s="5"/>
      <c r="D71" s="5"/>
      <c r="E71" s="5"/>
      <c r="F71" s="5"/>
      <c r="G71" s="10" t="s">
        <v>160</v>
      </c>
      <c r="H71" s="22">
        <f>H70*1000*I7/1000000</f>
        <v>35368500</v>
      </c>
      <c r="I71" s="5"/>
      <c r="J71" s="5"/>
      <c r="K71" s="5"/>
      <c r="L71" s="5"/>
      <c r="M71" s="5"/>
      <c r="N71" s="5"/>
      <c r="O71" s="5"/>
      <c r="P71" s="5"/>
    </row>
    <row r="72" spans="1:16" x14ac:dyDescent="0.35">
      <c r="A72" s="5"/>
      <c r="B72" s="5"/>
      <c r="C72" s="5"/>
      <c r="D72" s="5"/>
      <c r="E72" s="5"/>
      <c r="F72" s="5"/>
      <c r="G72" s="10" t="s">
        <v>161</v>
      </c>
      <c r="H72" s="22">
        <f>I8*H71/2000</f>
        <v>17684.25</v>
      </c>
      <c r="I72" s="5" t="s">
        <v>162</v>
      </c>
      <c r="J72" s="5"/>
      <c r="K72" s="5"/>
      <c r="L72" s="5"/>
      <c r="M72" s="5"/>
      <c r="N72" s="5"/>
      <c r="O72" s="5"/>
      <c r="P72" s="5"/>
    </row>
    <row r="73" spans="1:16" x14ac:dyDescent="0.35">
      <c r="A73" s="5"/>
      <c r="B73" s="5"/>
      <c r="C73" s="5"/>
      <c r="D73" s="5"/>
      <c r="E73" s="5"/>
      <c r="F73" s="5"/>
      <c r="G73" s="10" t="s">
        <v>163</v>
      </c>
      <c r="H73" s="23">
        <f>I12*H72/100</f>
        <v>15031.612499999999</v>
      </c>
      <c r="I73" s="5" t="str">
        <f>"at removal efficiency = "&amp;I12&amp;"%"</f>
        <v>at removal efficiency = 85%</v>
      </c>
      <c r="J73" s="5"/>
      <c r="K73" s="5"/>
      <c r="L73" s="5"/>
      <c r="M73" s="5"/>
      <c r="N73" s="5"/>
      <c r="O73" s="5"/>
      <c r="P73" s="5"/>
    </row>
    <row r="74" spans="1:16" x14ac:dyDescent="0.35">
      <c r="A74" s="5"/>
      <c r="B74" s="5"/>
      <c r="C74" s="5"/>
      <c r="D74" s="5"/>
      <c r="E74" s="5"/>
      <c r="F74" s="5"/>
      <c r="G74" s="10" t="s">
        <v>164</v>
      </c>
      <c r="H74" s="22">
        <f>H72-H73</f>
        <v>2652.6375000000007</v>
      </c>
      <c r="I74" s="5"/>
      <c r="J74" s="5"/>
      <c r="K74" s="5"/>
      <c r="L74" s="5"/>
      <c r="M74" s="5"/>
      <c r="N74" s="5"/>
      <c r="O74" s="5"/>
      <c r="P74" s="5"/>
    </row>
    <row r="75" spans="1:16" x14ac:dyDescent="0.35">
      <c r="A75" s="5"/>
      <c r="B75" s="5"/>
      <c r="C75" s="5"/>
      <c r="D75" s="5"/>
      <c r="E75" s="5"/>
      <c r="F75" s="5"/>
      <c r="G75" s="10" t="s">
        <v>165</v>
      </c>
      <c r="H75" s="21">
        <f>H74*2000/H71</f>
        <v>0.15000000000000005</v>
      </c>
      <c r="I75" s="5" t="str">
        <f>IF(H75&gt;=0.1,"Value is AT or ABOVE a 0.1 lb/MMBtu emission rate","Value is BELOW a 0.1 lb/MMBtu emission rate")</f>
        <v>Value is AT or ABOVE a 0.1 lb/MMBtu emission rate</v>
      </c>
      <c r="J75" s="5"/>
      <c r="K75" s="5"/>
      <c r="L75" s="5"/>
      <c r="M75" s="5"/>
      <c r="N75" s="5"/>
      <c r="O75" s="5"/>
      <c r="P75" s="5"/>
    </row>
    <row r="76" spans="1:16" x14ac:dyDescent="0.35">
      <c r="A76" s="5"/>
      <c r="B76" s="5"/>
      <c r="C76" s="5"/>
      <c r="D76" s="20"/>
      <c r="E76" s="20"/>
      <c r="F76" s="20"/>
      <c r="G76" s="19" t="s">
        <v>259</v>
      </c>
      <c r="H76" s="18">
        <f ca="1">(I15*8760*H69/1000000)/(H73/1000000)</f>
        <v>5.4318304739986294</v>
      </c>
      <c r="I76" s="5"/>
      <c r="J76" s="5"/>
      <c r="K76" s="5"/>
      <c r="L76" s="5"/>
      <c r="M76" s="5"/>
      <c r="N76" s="5"/>
      <c r="O76" s="5"/>
      <c r="P76" s="5"/>
    </row>
    <row r="77" spans="1:16" x14ac:dyDescent="0.35">
      <c r="A77" s="5"/>
      <c r="B77" s="5"/>
      <c r="C77" s="5"/>
      <c r="D77" s="5"/>
      <c r="E77" s="5"/>
      <c r="F77" s="5"/>
      <c r="G77" s="10" t="s">
        <v>166</v>
      </c>
      <c r="H77" s="17">
        <f>0.143</f>
        <v>0.14299999999999999</v>
      </c>
      <c r="I77" s="5" t="s">
        <v>19</v>
      </c>
      <c r="J77" s="5"/>
      <c r="K77" s="5"/>
      <c r="L77" s="5"/>
      <c r="M77" s="5"/>
      <c r="N77" s="5"/>
      <c r="O77" s="5"/>
      <c r="P77" s="5"/>
    </row>
    <row r="78" spans="1:16" x14ac:dyDescent="0.35">
      <c r="A78" s="5"/>
      <c r="B78" s="5"/>
      <c r="C78" s="5"/>
      <c r="D78" s="5"/>
      <c r="E78" s="5"/>
      <c r="F78" s="5"/>
      <c r="G78" s="5"/>
      <c r="H78" s="10" t="s">
        <v>168</v>
      </c>
      <c r="I78" s="9">
        <f ca="1">ROUND(H77*J49,-3)</f>
        <v>3105000</v>
      </c>
      <c r="J78" s="5"/>
      <c r="K78" s="5"/>
      <c r="L78" s="5"/>
      <c r="M78" s="5"/>
      <c r="N78" s="5"/>
      <c r="O78" s="5"/>
      <c r="P78" s="5"/>
    </row>
    <row r="79" spans="1:16" x14ac:dyDescent="0.35">
      <c r="A79" s="5"/>
      <c r="B79" s="5"/>
      <c r="C79" s="5"/>
      <c r="D79" s="5"/>
      <c r="E79" s="5"/>
      <c r="F79" s="5"/>
      <c r="G79" s="5"/>
      <c r="H79" s="10" t="s">
        <v>169</v>
      </c>
      <c r="I79" s="9">
        <f ca="1">ROUND(J58*I5*1000,-3)</f>
        <v>432000</v>
      </c>
      <c r="J79" s="5"/>
      <c r="K79" s="5"/>
      <c r="L79" s="5"/>
      <c r="M79" s="5"/>
      <c r="N79" s="5"/>
      <c r="O79" s="5"/>
      <c r="P79" s="5"/>
    </row>
    <row r="80" spans="1:16" x14ac:dyDescent="0.35">
      <c r="A80" s="5"/>
      <c r="B80" s="5"/>
      <c r="C80" s="5"/>
      <c r="D80" s="5"/>
      <c r="E80" s="5"/>
      <c r="F80" s="5"/>
      <c r="G80" s="5"/>
      <c r="H80" s="10" t="s">
        <v>170</v>
      </c>
      <c r="I80" s="9">
        <f ca="1">ROUND(J67*H70,-3)</f>
        <v>34185000</v>
      </c>
      <c r="J80" s="5"/>
      <c r="K80" s="5"/>
      <c r="L80" s="5"/>
      <c r="M80" s="5"/>
      <c r="N80" s="5"/>
      <c r="O80" s="5"/>
      <c r="P80" s="5"/>
    </row>
    <row r="81" spans="1:16" x14ac:dyDescent="0.35">
      <c r="A81" s="5"/>
      <c r="B81" s="5"/>
      <c r="C81" s="5"/>
      <c r="D81" s="5"/>
      <c r="E81" s="5"/>
      <c r="F81" s="5"/>
      <c r="G81" s="8"/>
      <c r="H81" s="7" t="s">
        <v>260</v>
      </c>
      <c r="I81" s="6">
        <f ca="1">SUM(I78:I80)</f>
        <v>37722000</v>
      </c>
      <c r="J81" s="5"/>
      <c r="K81" s="5"/>
      <c r="L81" s="5"/>
      <c r="M81" s="5"/>
      <c r="N81" s="5"/>
      <c r="O81" s="5"/>
      <c r="P81" s="5"/>
    </row>
    <row r="82" spans="1:16" ht="15" thickBot="1" x14ac:dyDescent="0.4">
      <c r="A82" s="5"/>
      <c r="B82" s="5"/>
      <c r="C82" s="5"/>
      <c r="D82" s="5"/>
      <c r="E82" s="5"/>
      <c r="F82" s="5"/>
      <c r="G82" s="5"/>
      <c r="H82" s="5"/>
      <c r="I82" s="5"/>
      <c r="J82" s="5"/>
      <c r="K82" s="5"/>
      <c r="L82" s="5"/>
      <c r="M82" s="5"/>
      <c r="N82" s="5"/>
      <c r="O82" s="5"/>
      <c r="P82" s="5"/>
    </row>
    <row r="83" spans="1:16" ht="15" thickTop="1" x14ac:dyDescent="0.35">
      <c r="A83" s="5"/>
      <c r="B83" s="5"/>
      <c r="C83" s="5"/>
      <c r="D83" s="5"/>
      <c r="E83" s="5"/>
      <c r="F83" s="5"/>
      <c r="G83" s="13"/>
      <c r="H83" s="12" t="s">
        <v>172</v>
      </c>
      <c r="I83" s="16">
        <f ca="1">I78/$H$70</f>
        <v>0.83400483481063659</v>
      </c>
      <c r="J83" s="5"/>
      <c r="K83" s="5"/>
      <c r="L83" s="5"/>
      <c r="M83" s="5"/>
      <c r="N83" s="5"/>
      <c r="O83" s="5"/>
      <c r="P83" s="5"/>
    </row>
    <row r="84" spans="1:16" x14ac:dyDescent="0.35">
      <c r="A84" s="5"/>
      <c r="B84" s="5"/>
      <c r="C84" s="5"/>
      <c r="D84" s="5"/>
      <c r="E84" s="5"/>
      <c r="F84" s="5"/>
      <c r="G84" s="5"/>
      <c r="H84" s="10" t="s">
        <v>173</v>
      </c>
      <c r="I84" s="15">
        <f ca="1">I79/$H$70</f>
        <v>0.11603545527800162</v>
      </c>
      <c r="J84" s="5"/>
      <c r="K84" s="5"/>
      <c r="L84" s="5"/>
      <c r="M84" s="5"/>
      <c r="N84" s="5"/>
      <c r="O84" s="5"/>
      <c r="P84" s="5"/>
    </row>
    <row r="85" spans="1:16" x14ac:dyDescent="0.35">
      <c r="A85" s="5"/>
      <c r="B85" s="5"/>
      <c r="C85" s="5"/>
      <c r="D85" s="5"/>
      <c r="E85" s="5"/>
      <c r="F85" s="5"/>
      <c r="G85" s="5"/>
      <c r="H85" s="10" t="s">
        <v>174</v>
      </c>
      <c r="I85" s="15">
        <f ca="1">I80/$H$70</f>
        <v>9.1821112006446413</v>
      </c>
      <c r="J85" s="5"/>
      <c r="K85" s="5"/>
      <c r="L85" s="5"/>
      <c r="M85" s="5"/>
      <c r="N85" s="5"/>
      <c r="O85" s="5"/>
      <c r="P85" s="5"/>
    </row>
    <row r="86" spans="1:16" x14ac:dyDescent="0.35">
      <c r="A86" s="5"/>
      <c r="B86" s="5"/>
      <c r="C86" s="5"/>
      <c r="D86" s="5"/>
      <c r="E86" s="5"/>
      <c r="F86" s="5"/>
      <c r="G86" s="8"/>
      <c r="H86" s="7" t="s">
        <v>261</v>
      </c>
      <c r="I86" s="14">
        <f ca="1">SUM(I83:I85)</f>
        <v>10.13215149073328</v>
      </c>
      <c r="J86" s="5"/>
      <c r="K86" s="5"/>
      <c r="L86" s="5"/>
      <c r="M86" s="5"/>
      <c r="N86" s="5"/>
      <c r="O86" s="5"/>
      <c r="P86" s="5"/>
    </row>
    <row r="87" spans="1:16" ht="15" thickBot="1" x14ac:dyDescent="0.4">
      <c r="A87" s="5"/>
      <c r="B87" s="5"/>
      <c r="C87" s="5"/>
      <c r="D87" s="5"/>
      <c r="E87" s="5"/>
      <c r="F87" s="5"/>
      <c r="G87" s="5"/>
      <c r="H87" s="5"/>
      <c r="I87" s="5"/>
      <c r="J87" s="5"/>
      <c r="K87" s="5"/>
      <c r="L87" s="5"/>
      <c r="M87" s="5"/>
      <c r="N87" s="5"/>
      <c r="O87" s="5"/>
      <c r="P87" s="5"/>
    </row>
    <row r="88" spans="1:16" ht="15" thickTop="1" x14ac:dyDescent="0.35">
      <c r="A88" s="5"/>
      <c r="B88" s="5"/>
      <c r="C88" s="5"/>
      <c r="D88" s="5"/>
      <c r="E88" s="5"/>
      <c r="F88" s="5"/>
      <c r="G88" s="13"/>
      <c r="H88" s="12" t="s">
        <v>176</v>
      </c>
      <c r="I88" s="11">
        <f ca="1">I78/$H$73</f>
        <v>206.56466496857874</v>
      </c>
      <c r="J88" s="5"/>
      <c r="K88" s="5"/>
      <c r="L88" s="5"/>
      <c r="M88" s="5"/>
      <c r="N88" s="5"/>
      <c r="O88" s="5"/>
      <c r="P88" s="5"/>
    </row>
    <row r="89" spans="1:16" x14ac:dyDescent="0.35">
      <c r="A89" s="5"/>
      <c r="B89" s="5"/>
      <c r="C89" s="5"/>
      <c r="D89" s="5"/>
      <c r="E89" s="5"/>
      <c r="F89" s="5"/>
      <c r="G89" s="5"/>
      <c r="H89" s="10" t="s">
        <v>177</v>
      </c>
      <c r="I89" s="9">
        <f ca="1">I79/$H$73</f>
        <v>28.73943164780226</v>
      </c>
      <c r="J89" s="5"/>
      <c r="K89" s="5"/>
      <c r="L89" s="5"/>
      <c r="M89" s="5"/>
      <c r="N89" s="5"/>
      <c r="O89" s="5"/>
      <c r="P89" s="5"/>
    </row>
    <row r="90" spans="1:16" x14ac:dyDescent="0.35">
      <c r="A90" s="5"/>
      <c r="B90" s="5"/>
      <c r="C90" s="5"/>
      <c r="D90" s="5"/>
      <c r="E90" s="5"/>
      <c r="F90" s="5"/>
      <c r="G90" s="5"/>
      <c r="H90" s="10" t="s">
        <v>178</v>
      </c>
      <c r="I90" s="9">
        <f ca="1">I80/$H$73</f>
        <v>2274.2071085187968</v>
      </c>
      <c r="J90" s="5"/>
      <c r="K90" s="5"/>
      <c r="L90" s="5"/>
      <c r="M90" s="5"/>
      <c r="N90" s="5"/>
      <c r="O90" s="5"/>
      <c r="P90" s="5"/>
    </row>
    <row r="91" spans="1:16" x14ac:dyDescent="0.35">
      <c r="A91" s="5"/>
      <c r="B91" s="5"/>
      <c r="C91" s="5"/>
      <c r="D91" s="5"/>
      <c r="E91" s="5"/>
      <c r="F91" s="5"/>
      <c r="G91" s="8"/>
      <c r="H91" s="7" t="s">
        <v>262</v>
      </c>
      <c r="I91" s="6">
        <f ca="1">SUM(I88:I90)</f>
        <v>2509.511205135178</v>
      </c>
      <c r="J91" s="5"/>
      <c r="K91" s="5"/>
      <c r="L91" s="5"/>
      <c r="M91" s="5"/>
      <c r="N91" s="5"/>
      <c r="O91" s="5"/>
      <c r="P91" s="5"/>
    </row>
    <row r="92" spans="1:16" x14ac:dyDescent="0.35">
      <c r="A92" s="5"/>
      <c r="B92" s="5"/>
      <c r="C92" s="5"/>
      <c r="D92" s="5"/>
      <c r="E92" s="5"/>
      <c r="F92" s="5"/>
      <c r="G92" s="5"/>
      <c r="H92" s="5"/>
      <c r="I92" s="5"/>
      <c r="J92" s="5"/>
      <c r="K92" s="5"/>
      <c r="L92" s="5"/>
      <c r="M92" s="5"/>
      <c r="N92" s="5"/>
      <c r="O92" s="5"/>
      <c r="P92" s="5"/>
    </row>
    <row r="93" spans="1:16" x14ac:dyDescent="0.35">
      <c r="A93" s="5"/>
      <c r="B93" s="5"/>
      <c r="C93" s="5"/>
      <c r="D93" s="5"/>
      <c r="E93" s="5"/>
      <c r="F93" s="5"/>
      <c r="G93" s="5"/>
      <c r="H93" s="5"/>
      <c r="I93" s="5"/>
      <c r="J93" s="5"/>
      <c r="K93" s="5"/>
      <c r="L93" s="5"/>
      <c r="M93" s="5"/>
      <c r="N93" s="5"/>
      <c r="O93" s="5"/>
      <c r="P93" s="5"/>
    </row>
    <row r="94" spans="1:16" x14ac:dyDescent="0.35">
      <c r="A94" s="50" t="s">
        <v>180</v>
      </c>
      <c r="B94" s="50"/>
      <c r="C94" s="50"/>
      <c r="D94" s="50"/>
      <c r="E94" s="50"/>
      <c r="F94" s="50"/>
      <c r="G94" s="50"/>
      <c r="H94" s="78"/>
      <c r="I94" s="5"/>
      <c r="J94" s="5"/>
      <c r="K94" s="5"/>
      <c r="L94" s="5"/>
      <c r="M94" s="5"/>
      <c r="N94" s="5"/>
      <c r="O94" s="5"/>
      <c r="P94" s="5"/>
    </row>
    <row r="95" spans="1:16" x14ac:dyDescent="0.35">
      <c r="A95" s="50"/>
      <c r="B95" s="113" t="s">
        <v>263</v>
      </c>
      <c r="C95" s="50"/>
      <c r="D95" s="50"/>
      <c r="E95" s="50"/>
      <c r="F95" s="50" t="s">
        <v>264</v>
      </c>
      <c r="G95" s="114">
        <f>VLOOKUP(I10,A97:F98,MATCH(I11,A135:A138,FALSE)+2)</f>
        <v>90</v>
      </c>
      <c r="H95" s="78"/>
      <c r="I95" s="5"/>
      <c r="J95" s="5"/>
      <c r="K95" s="5"/>
      <c r="L95" s="5"/>
      <c r="M95" s="5"/>
      <c r="N95" s="5"/>
      <c r="O95" s="5"/>
      <c r="P95" s="5"/>
    </row>
    <row r="96" spans="1:16" x14ac:dyDescent="0.35">
      <c r="A96" s="50"/>
      <c r="B96" s="50" t="s">
        <v>265</v>
      </c>
      <c r="C96" s="50" t="s">
        <v>266</v>
      </c>
      <c r="D96" s="50" t="s">
        <v>267</v>
      </c>
      <c r="E96" s="50" t="s">
        <v>268</v>
      </c>
      <c r="F96" s="113" t="s">
        <v>269</v>
      </c>
      <c r="G96" s="50"/>
      <c r="H96" s="4"/>
      <c r="I96" s="5"/>
      <c r="J96" s="5"/>
      <c r="K96" s="5"/>
      <c r="L96" s="5"/>
      <c r="M96" s="5"/>
      <c r="N96" s="5"/>
      <c r="O96" s="5"/>
      <c r="P96" s="5"/>
    </row>
    <row r="97" spans="1:16" x14ac:dyDescent="0.35">
      <c r="A97" s="50">
        <v>1</v>
      </c>
      <c r="B97" s="50" t="s">
        <v>270</v>
      </c>
      <c r="C97" s="50">
        <f>IF(AND(MATCH($I$10,$A$97:$A$98)=$A97,MATCH($I$11,$A$135:$A$138)=$A135),85,0)</f>
        <v>0</v>
      </c>
      <c r="D97" s="50">
        <f>IF(AND(MATCH($I$10,$A$97:$A$98)=$A97,MATCH($I$11,$A$135:$A$138)=$A136),70,0)</f>
        <v>0</v>
      </c>
      <c r="E97" s="50">
        <f>IF(AND(MATCH($I$10,$A$97:$A$98)=$A97,MATCH($I$11,$A$135:$A$138)=$A137),95,0)</f>
        <v>0</v>
      </c>
      <c r="F97" s="50">
        <f>IF(AND(MATCH($I$10,$A$97:$A$98)=$A97,MATCH($I$11,$A$135:$A$138)=$A138),40,0)</f>
        <v>0</v>
      </c>
      <c r="G97" s="50"/>
      <c r="H97" s="78"/>
      <c r="I97" s="5"/>
      <c r="J97" s="5"/>
      <c r="K97" s="5"/>
      <c r="L97" s="5"/>
      <c r="M97" s="5"/>
      <c r="N97" s="5"/>
      <c r="O97" s="5"/>
      <c r="P97" s="5"/>
    </row>
    <row r="98" spans="1:16" x14ac:dyDescent="0.35">
      <c r="A98" s="50">
        <v>2</v>
      </c>
      <c r="B98" s="50" t="s">
        <v>271</v>
      </c>
      <c r="C98" s="50">
        <f>IF(AND(MATCH($I$10,$A$97:$A$98)=$A98,MATCH($I$11,$A$135:$A$138)=$A135),90,0)</f>
        <v>90</v>
      </c>
      <c r="D98" s="50">
        <f>IF(AND(MATCH($I$10,$A$97:$A$98)=$A98,MATCH($I$11,$A$135:$A$138)=$A136),85,0)</f>
        <v>0</v>
      </c>
      <c r="E98" s="50">
        <f>IF(AND(MATCH($I$10,$A$97:$A$98)=$A98,MATCH($I$11,$A$135:$A$138)=$A137),98,0)</f>
        <v>0</v>
      </c>
      <c r="F98" s="50">
        <f>IF(AND(MATCH($I$10,$A$97:$A$98)=$A98,MATCH($I$11,$A$135:$A$138)=$A138),50,0)</f>
        <v>0</v>
      </c>
      <c r="G98" s="50"/>
      <c r="H98" s="78"/>
      <c r="I98" s="5"/>
      <c r="J98" s="5"/>
      <c r="K98" s="5"/>
      <c r="L98" s="5"/>
      <c r="M98" s="5"/>
      <c r="N98" s="5"/>
      <c r="O98" s="5"/>
      <c r="P98" s="5"/>
    </row>
    <row r="99" spans="1:16" x14ac:dyDescent="0.35">
      <c r="A99" s="50"/>
      <c r="B99" s="50"/>
      <c r="C99" s="106"/>
      <c r="D99" s="50"/>
      <c r="E99" s="50"/>
      <c r="F99" s="50"/>
      <c r="G99" s="50"/>
      <c r="H99" s="78"/>
      <c r="I99" s="5"/>
      <c r="J99" s="5"/>
      <c r="K99" s="5"/>
      <c r="L99" s="5"/>
      <c r="M99" s="5"/>
      <c r="N99" s="5"/>
      <c r="O99" s="5"/>
      <c r="P99" s="5"/>
    </row>
    <row r="100" spans="1:16" x14ac:dyDescent="0.35">
      <c r="A100" s="50"/>
      <c r="B100" s="115" t="s">
        <v>227</v>
      </c>
      <c r="C100" s="107"/>
      <c r="D100" s="108"/>
      <c r="E100" s="108"/>
      <c r="F100" s="108"/>
      <c r="G100" s="50"/>
      <c r="H100" s="78"/>
      <c r="I100" s="5"/>
      <c r="J100" s="5"/>
      <c r="K100" s="5"/>
      <c r="L100" s="5"/>
      <c r="M100" s="5"/>
      <c r="N100" s="5"/>
      <c r="O100" s="5"/>
      <c r="P100" s="5"/>
    </row>
    <row r="101" spans="1:16" x14ac:dyDescent="0.35">
      <c r="A101" s="50"/>
      <c r="B101" s="108" t="s">
        <v>265</v>
      </c>
      <c r="C101" s="108" t="s">
        <v>266</v>
      </c>
      <c r="D101" s="108" t="s">
        <v>267</v>
      </c>
      <c r="E101" s="108" t="s">
        <v>268</v>
      </c>
      <c r="F101" s="115" t="s">
        <v>269</v>
      </c>
      <c r="G101" s="50"/>
      <c r="H101" s="4"/>
      <c r="I101" s="5"/>
      <c r="J101" s="5"/>
      <c r="K101" s="5"/>
      <c r="L101" s="5"/>
      <c r="M101" s="5"/>
      <c r="N101" s="5"/>
      <c r="O101" s="5"/>
      <c r="P101" s="5"/>
    </row>
    <row r="102" spans="1:16" x14ac:dyDescent="0.35">
      <c r="A102" s="50">
        <v>1</v>
      </c>
      <c r="B102" s="108" t="s">
        <v>270</v>
      </c>
      <c r="C102" s="111">
        <f>IF(AND(MATCH($I$10,$A$102:$A$103)=$A102,MATCH($I$11,$A$135:$A$138)=$A135),IF($I$12&lt;40,0.0245*$I$12,0.355*EXP(0.0254*$I$12)),0)</f>
        <v>0</v>
      </c>
      <c r="D102" s="111">
        <f>IF(AND(MATCH($I$10,$A$102:$A$103)=$A102,MATCH($I$11,$A$135:$A$138)=$A136),IF(I12&lt;40,0.031*I12,0.352*EXP(0.0313*I12)),0)</f>
        <v>0</v>
      </c>
      <c r="E102" s="111">
        <f>IF(AND(MATCH($I$10,$A$102:$A$103)=$A102,MATCH($I$11,$A$135:$A$138)=$A137),IF(I12&lt;60,0.0185*I12,0.255*EXP(0.0248*I12)),0)</f>
        <v>0</v>
      </c>
      <c r="F102" s="111">
        <f>IF(AND(MATCH($I$10,$A$102:$A$103)=$A102,MATCH($I$11,$A$135:$A$138)=$A138),IF(I12&lt;10,0.34*I12^0.51,0.82*EXP(0.031*I12)),0)</f>
        <v>0</v>
      </c>
      <c r="G102" s="50"/>
      <c r="H102" s="78"/>
      <c r="I102" s="5"/>
      <c r="J102" s="5"/>
      <c r="K102" s="5"/>
      <c r="L102" s="5"/>
      <c r="M102" s="5"/>
      <c r="N102" s="5"/>
      <c r="O102" s="5"/>
      <c r="P102" s="5"/>
    </row>
    <row r="103" spans="1:16" x14ac:dyDescent="0.35">
      <c r="A103" s="50">
        <v>2</v>
      </c>
      <c r="B103" s="108" t="s">
        <v>271</v>
      </c>
      <c r="C103" s="116">
        <f>IF(AND(MATCH($I$10,$A$102:$A$103)=$A103,MATCH($I$11,$A$135:$A$138)=$A135),IF(I12&lt;40,0.015*I12,0.22*EXP(0.0255*I12)),0)</f>
        <v>1.9220114490462219</v>
      </c>
      <c r="D103" s="116">
        <f>IF(AND(MATCH($I$10,$A$102:$A$103)=$A103,MATCH($I$11,$A$135:$A$138)=$A136),IF(I12&lt;40,0.0196*I12,0.296*EXP(0.0242*I12)),0)</f>
        <v>0</v>
      </c>
      <c r="E103" s="111">
        <f>IF(AND(MATCH($I$10,$A$102:$A$103)=$A103,MATCH($I$11,$A$135:$A$138)=$A137),IF(I12&lt;60,0.012*I12,0.165*EXP(0.0243*I12)),0)</f>
        <v>0</v>
      </c>
      <c r="F103" s="111">
        <f>IF(AND(MATCH($I$10,$A$102:$A$103)=$A103,MATCH($I$11,$A$135:$A$138)=$A138),IF(I12&lt;10,0.4*I12^0.31,0.62*EXP(0.025*I12)),0)</f>
        <v>0</v>
      </c>
      <c r="G103" s="50"/>
      <c r="H103" s="78"/>
      <c r="I103" s="5"/>
      <c r="J103" s="5"/>
      <c r="K103" s="5"/>
      <c r="L103" s="5"/>
      <c r="M103" s="5"/>
      <c r="N103" s="5"/>
      <c r="O103" s="5"/>
      <c r="P103" s="5"/>
    </row>
    <row r="104" spans="1:16" x14ac:dyDescent="0.35">
      <c r="A104" s="50"/>
      <c r="B104" s="50"/>
      <c r="C104" s="109"/>
      <c r="D104" s="109"/>
      <c r="E104" s="50"/>
      <c r="F104" s="110"/>
      <c r="G104" s="50"/>
      <c r="H104" s="78"/>
      <c r="I104" s="5"/>
      <c r="J104" s="5"/>
      <c r="K104" s="5"/>
      <c r="L104" s="5"/>
      <c r="M104" s="5"/>
      <c r="N104" s="5"/>
      <c r="O104" s="5"/>
      <c r="P104" s="5"/>
    </row>
    <row r="105" spans="1:16" x14ac:dyDescent="0.35">
      <c r="A105" s="50"/>
      <c r="B105" s="50" t="s">
        <v>229</v>
      </c>
      <c r="C105" s="106"/>
      <c r="D105" s="50"/>
      <c r="E105" s="50"/>
      <c r="F105" s="50"/>
      <c r="G105" s="50"/>
      <c r="H105" s="78"/>
      <c r="I105" s="78"/>
      <c r="J105" s="78"/>
      <c r="K105" s="78"/>
      <c r="L105" s="78"/>
      <c r="M105" s="78"/>
      <c r="N105" s="78"/>
      <c r="O105" s="78"/>
      <c r="P105" s="78"/>
    </row>
    <row r="106" spans="1:16" x14ac:dyDescent="0.35">
      <c r="A106" s="50"/>
      <c r="B106" s="50"/>
      <c r="C106" s="50" t="s">
        <v>266</v>
      </c>
      <c r="D106" s="50" t="s">
        <v>267</v>
      </c>
      <c r="E106" s="50" t="s">
        <v>268</v>
      </c>
      <c r="F106" s="113" t="s">
        <v>269</v>
      </c>
      <c r="G106" s="50"/>
      <c r="H106" s="78"/>
      <c r="I106" s="78"/>
      <c r="J106" s="78"/>
      <c r="K106" s="78"/>
      <c r="L106" s="78"/>
      <c r="M106" s="78"/>
      <c r="N106" s="78"/>
      <c r="O106" s="78"/>
      <c r="P106" s="78"/>
    </row>
    <row r="107" spans="1:16" x14ac:dyDescent="0.35">
      <c r="A107" s="50"/>
      <c r="B107" s="50"/>
      <c r="C107" s="110">
        <f>IF(AND(MATCH($I$11,$A$135:$A$138)=$A135),((1.2011*10^-6)*I14*I5*I7*I8),0)</f>
        <v>10.965507769384732</v>
      </c>
      <c r="D107" s="110">
        <f>IF(AND(MATCH($I$11,$A$135:$A$138)=$A136),((1.2011*10^-6)*I14*I5*I7*I8),0)</f>
        <v>0</v>
      </c>
      <c r="E107" s="110">
        <f>IF(AND(MATCH($I$11,$A$135:$A$138)=$A137),((0.0000013125)*I14*I5*I7*I8),0)</f>
        <v>0</v>
      </c>
      <c r="F107" s="110">
        <f>IF(AND(MATCH($I$11,$A$135:$A$138)=$A138),((6.0055*(10^-7))*I14*I5*I7*I8),0)</f>
        <v>0</v>
      </c>
      <c r="G107" s="50"/>
      <c r="H107" s="78"/>
      <c r="I107" s="78"/>
      <c r="J107" s="78"/>
      <c r="K107" s="78"/>
      <c r="L107" s="78"/>
      <c r="M107" s="78"/>
      <c r="N107" s="78"/>
      <c r="O107" s="78"/>
      <c r="P107" s="78"/>
    </row>
    <row r="108" spans="1:16" x14ac:dyDescent="0.35">
      <c r="A108" s="50"/>
      <c r="B108" s="50"/>
      <c r="C108" s="110"/>
      <c r="D108" s="50"/>
      <c r="E108" s="50"/>
      <c r="F108" s="50"/>
      <c r="G108" s="50"/>
      <c r="H108" s="78"/>
      <c r="I108" s="78"/>
      <c r="J108" s="78"/>
      <c r="K108" s="78"/>
      <c r="L108" s="78"/>
      <c r="M108" s="78"/>
      <c r="N108" s="78"/>
      <c r="O108" s="78"/>
      <c r="P108" s="78"/>
    </row>
    <row r="109" spans="1:16" x14ac:dyDescent="0.35">
      <c r="A109" s="50"/>
      <c r="B109" s="113" t="s">
        <v>231</v>
      </c>
      <c r="C109" s="106"/>
      <c r="D109" s="50"/>
      <c r="E109" s="50"/>
      <c r="F109" s="50"/>
      <c r="G109" s="50"/>
      <c r="H109" s="78"/>
      <c r="I109" s="78"/>
      <c r="J109" s="78"/>
      <c r="K109" s="78"/>
      <c r="L109" s="78"/>
      <c r="M109" s="78"/>
      <c r="N109" s="78"/>
      <c r="O109" s="78"/>
      <c r="P109" s="78"/>
    </row>
    <row r="110" spans="1:16" x14ac:dyDescent="0.35">
      <c r="A110" s="50"/>
      <c r="B110" s="50" t="s">
        <v>265</v>
      </c>
      <c r="C110" s="50" t="s">
        <v>266</v>
      </c>
      <c r="D110" s="50" t="s">
        <v>267</v>
      </c>
      <c r="E110" s="50" t="s">
        <v>268</v>
      </c>
      <c r="F110" s="113" t="s">
        <v>269</v>
      </c>
      <c r="G110" s="50"/>
      <c r="H110" s="78"/>
      <c r="I110" s="78"/>
      <c r="J110" s="78"/>
      <c r="K110" s="78"/>
      <c r="L110" s="78"/>
      <c r="M110" s="78"/>
      <c r="N110" s="78"/>
      <c r="O110" s="78"/>
      <c r="P110" s="78"/>
    </row>
    <row r="111" spans="1:16" x14ac:dyDescent="0.35">
      <c r="A111" s="50">
        <v>1</v>
      </c>
      <c r="B111" s="50" t="s">
        <v>270</v>
      </c>
      <c r="C111" s="110">
        <f>IF(AND(MATCH($I$10,$A$111:$A$112)=$A111,MATCH($I$11,$A$135:$A$138)=$A135),(60.86*I12^0.1081),0)</f>
        <v>0</v>
      </c>
      <c r="D111" s="110">
        <f>IF(AND(MATCH($I$10,$A$111:$A$112)=$A111,MATCH($I$11,$A$135:$A$138)=$A136),(60.86*I12^0.1081),0)</f>
        <v>0</v>
      </c>
      <c r="E111" s="110">
        <f>IF(AND(MATCH($I$10,$A$111:$A$112)=$A111,MATCH($I$11,$A$135:$A$138)=$A137),(60.86*I12^0.1081),0)</f>
        <v>0</v>
      </c>
      <c r="F111" s="110">
        <f>IF(AND(MATCH($I$10,$A$111:$A$112)=$A111,MATCH($I$11,$A$135:$A$138)=$A138),(54.92*I12^0.197),0)</f>
        <v>0</v>
      </c>
      <c r="G111" s="110">
        <f>100*(1-(0.002/F126))</f>
        <v>95.930762222897059</v>
      </c>
      <c r="H111" s="78"/>
      <c r="I111" s="78"/>
      <c r="J111" s="78"/>
      <c r="K111" s="78"/>
      <c r="L111" s="78"/>
      <c r="M111" s="78"/>
      <c r="N111" s="78"/>
      <c r="O111" s="78"/>
      <c r="P111" s="78"/>
    </row>
    <row r="112" spans="1:16" x14ac:dyDescent="0.35">
      <c r="A112" s="50">
        <v>2</v>
      </c>
      <c r="B112" s="50" t="s">
        <v>271</v>
      </c>
      <c r="C112" s="109">
        <f>IF(AND(MATCH($I$10,$A$111:$A$112)=$A112,MATCH($I$11,$A$135:$A$138)=$A135),(84.598*I12^0.0346),0)</f>
        <v>98.654747810907139</v>
      </c>
      <c r="D112" s="109">
        <f>IF(AND(MATCH($I$10,$A$111:$A$112)=$A112,MATCH($I$11,$A$135:$A$138)=$A136),(84.598*I12^0.0346),0)</f>
        <v>0</v>
      </c>
      <c r="E112" s="110">
        <f>IF(AND(MATCH($I$10,$A$111:$A$112)=$A112,MATCH($I$11,$A$135:$A$138)=$A137),(84.598*I12^0.0346),0)</f>
        <v>0</v>
      </c>
      <c r="F112" s="110">
        <f>IF(AND(MATCH($I$10,$A$111:$A$112)=$A112,MATCH($I$11,$A$135:$A$138)=$A138),(0.0085*I12+99.12),0)</f>
        <v>0</v>
      </c>
      <c r="G112" s="50"/>
      <c r="H112" s="78"/>
      <c r="I112" s="78"/>
      <c r="J112" s="78"/>
      <c r="K112" s="78"/>
      <c r="L112" s="78"/>
      <c r="M112" s="78"/>
      <c r="N112" s="78"/>
      <c r="O112" s="78"/>
      <c r="P112" s="78"/>
    </row>
    <row r="113" spans="1:7" x14ac:dyDescent="0.35">
      <c r="A113" s="50"/>
      <c r="B113" s="113"/>
      <c r="C113" s="106"/>
      <c r="D113" s="50"/>
      <c r="E113" s="50"/>
      <c r="F113" s="50"/>
      <c r="G113" s="50"/>
    </row>
    <row r="114" spans="1:7" x14ac:dyDescent="0.35">
      <c r="A114" s="50"/>
      <c r="B114" s="108" t="s">
        <v>272</v>
      </c>
      <c r="C114" s="107"/>
      <c r="D114" s="108"/>
      <c r="E114" s="108"/>
      <c r="F114" s="108"/>
      <c r="G114" s="50"/>
    </row>
    <row r="115" spans="1:7" x14ac:dyDescent="0.35">
      <c r="A115" s="50"/>
      <c r="B115" s="108"/>
      <c r="C115" s="108" t="s">
        <v>266</v>
      </c>
      <c r="D115" s="108" t="s">
        <v>267</v>
      </c>
      <c r="E115" s="108" t="s">
        <v>268</v>
      </c>
      <c r="F115" s="115" t="s">
        <v>269</v>
      </c>
      <c r="G115" s="50"/>
    </row>
    <row r="116" spans="1:7" x14ac:dyDescent="0.35">
      <c r="A116" s="50"/>
      <c r="B116" s="108"/>
      <c r="C116" s="111">
        <f ca="1">IF(AND(MATCH($I$11,$A$135:$A$138)=$A135),((0.7387+0.002372*I12/I14)*I15),0)</f>
        <v>9.2505080537445021</v>
      </c>
      <c r="D116" s="111">
        <f>IF(AND(MATCH($I$11,$A$135:$A$138)=$A136),((0.7387+0.002372*I12/I14)*I15),0)</f>
        <v>0</v>
      </c>
      <c r="E116" s="111">
        <f>IF(AND(MATCH($I$11,$A$135:$A$138)=$A137),((0.631+0.002143*I12/I14)*I15),0)</f>
        <v>0</v>
      </c>
      <c r="F116" s="111">
        <f>IF(AND(MATCH($I$11,$A$135:$A$138)=$A138),((1+0.00777*I12/I14)*I15),0)</f>
        <v>0</v>
      </c>
      <c r="G116" s="50"/>
    </row>
    <row r="117" spans="1:7" x14ac:dyDescent="0.35">
      <c r="A117" s="50"/>
      <c r="B117" s="113"/>
      <c r="C117" s="106"/>
      <c r="D117" s="50"/>
      <c r="E117" s="50"/>
      <c r="F117" s="50"/>
      <c r="G117" s="50"/>
    </row>
    <row r="118" spans="1:7" x14ac:dyDescent="0.35">
      <c r="A118" s="50"/>
      <c r="B118" s="113" t="s">
        <v>273</v>
      </c>
      <c r="C118" s="106"/>
      <c r="D118" s="50"/>
      <c r="E118" s="50"/>
      <c r="F118" s="50"/>
      <c r="G118" s="50"/>
    </row>
    <row r="119" spans="1:7" x14ac:dyDescent="0.35">
      <c r="A119" s="50"/>
      <c r="B119" s="50"/>
      <c r="C119" s="50" t="s">
        <v>266</v>
      </c>
      <c r="D119" s="50" t="s">
        <v>267</v>
      </c>
      <c r="E119" s="50" t="s">
        <v>268</v>
      </c>
      <c r="F119" s="113" t="s">
        <v>269</v>
      </c>
      <c r="G119" s="50"/>
    </row>
    <row r="120" spans="1:7" x14ac:dyDescent="0.35">
      <c r="A120" s="50"/>
      <c r="B120" s="50"/>
      <c r="C120" s="117">
        <f ca="1">IF(AND(MATCH($I$11,$A$135:$A$138)=$A135),IF(I15&gt;25,I15*950000*I6,6970000*I6*(I15^0.378)),0)</f>
        <v>17233109.376701131</v>
      </c>
      <c r="D120" s="117">
        <f>IF(AND(MATCH($I$11,$A$135:$A$138)=$A136),IF(I15&gt;25,I15*860000*I6,6290000*I6*(I15^0.378)),0)</f>
        <v>0</v>
      </c>
      <c r="E120" s="118">
        <f>IF(AND(MATCH($I$11,$A$135:$A$138)=$A137),IF(I15&gt;25,I15*920000*I6,6730000*I6*(I15^0.378)),0)</f>
        <v>0</v>
      </c>
      <c r="F120" s="119">
        <f>IF(AND(MATCH($I$11,$A$135:$A$138)=$A138),IF(I15&gt;25,I15*910000*I6,6690000*I6*(I15^0.378)),0)</f>
        <v>0</v>
      </c>
      <c r="G120" s="50"/>
    </row>
    <row r="121" spans="1:7" x14ac:dyDescent="0.35">
      <c r="A121" s="50"/>
      <c r="B121" s="50"/>
      <c r="C121" s="106"/>
      <c r="D121" s="50"/>
      <c r="E121" s="50"/>
      <c r="F121" s="50"/>
      <c r="G121" s="50"/>
    </row>
    <row r="122" spans="1:7" x14ac:dyDescent="0.35">
      <c r="A122" s="50"/>
      <c r="B122" s="50" t="s">
        <v>181</v>
      </c>
      <c r="C122" s="50" t="s">
        <v>274</v>
      </c>
      <c r="D122" s="50" t="s">
        <v>275</v>
      </c>
      <c r="E122" s="50" t="s">
        <v>276</v>
      </c>
      <c r="F122" s="120" t="s">
        <v>277</v>
      </c>
      <c r="G122" s="50"/>
    </row>
    <row r="123" spans="1:7" x14ac:dyDescent="0.35">
      <c r="A123" s="50">
        <v>1</v>
      </c>
      <c r="B123" s="50" t="s">
        <v>182</v>
      </c>
      <c r="C123" s="110">
        <f>IF(AND(MATCH($I$9,$A$123:$A$125)=$A123),0.06,0)</f>
        <v>0</v>
      </c>
      <c r="D123" s="110">
        <f>IF(AND(MATCH($I$9,$A$123:$A$125)=$A123),0.2,0)</f>
        <v>0</v>
      </c>
      <c r="E123" s="50">
        <f>IF(AND(MATCH($I$9,$A$123:$A$125)=$A123),8400,0)</f>
        <v>0</v>
      </c>
      <c r="F123" s="112">
        <f>IF(AND(MATCH($I$9,$A$123:$A$125)=$A123),0.0105882352941177,0)</f>
        <v>0</v>
      </c>
      <c r="G123" s="50"/>
    </row>
    <row r="124" spans="1:7" x14ac:dyDescent="0.35">
      <c r="A124" s="50">
        <v>2</v>
      </c>
      <c r="B124" s="50" t="s">
        <v>183</v>
      </c>
      <c r="C124" s="110">
        <f>IF(AND(MATCH($I$9,$A$123:$A$125)=$A124),0.08,0)</f>
        <v>0</v>
      </c>
      <c r="D124" s="110">
        <f>IF(AND(MATCH($I$9,$A$123:$A$125)=$A124),0.2,0)</f>
        <v>0</v>
      </c>
      <c r="E124" s="50">
        <f>IF(AND(MATCH($I$9,$A$123:$A$125)=$A124),7200,0)</f>
        <v>0</v>
      </c>
      <c r="F124" s="112">
        <f>IF(AND(MATCH($I$9,$A$123:$A$125)=$A124),0.0177777777777778,0)</f>
        <v>0</v>
      </c>
      <c r="G124" s="50"/>
    </row>
    <row r="125" spans="1:7" x14ac:dyDescent="0.35">
      <c r="A125" s="50">
        <v>3</v>
      </c>
      <c r="B125" s="50" t="s">
        <v>184</v>
      </c>
      <c r="C125" s="110">
        <f>IF(AND(MATCH($I$9,$A$123:$A$125)=$A125),0.12,0)</f>
        <v>0.12</v>
      </c>
      <c r="D125" s="110">
        <f>IF(AND(MATCH($I$9,$A$123:$A$125)=$A125),0.2,0)</f>
        <v>0.2</v>
      </c>
      <c r="E125" s="50">
        <f>IF(AND(MATCH($I$9,$A$123:$A$125)=$A125),11000,0)</f>
        <v>11000</v>
      </c>
      <c r="F125" s="112">
        <f>IF(AND(MATCH($I$9,$A$123:$A$125)=$A125),0.0491492537313433,0)</f>
        <v>4.9149253731343302E-2</v>
      </c>
      <c r="G125" s="121"/>
    </row>
    <row r="126" spans="1:7" x14ac:dyDescent="0.35">
      <c r="A126" s="50"/>
      <c r="B126" s="50"/>
      <c r="C126" s="50">
        <f>VLOOKUP($I$9,$A$123:$E$125,3)</f>
        <v>0.12</v>
      </c>
      <c r="D126" s="110">
        <f>VLOOKUP($I$9,$A$123:$E$125,4)</f>
        <v>0.2</v>
      </c>
      <c r="E126" s="50">
        <f>VLOOKUP($I$9,$A$123:$E$125,5)</f>
        <v>11000</v>
      </c>
      <c r="F126" s="112">
        <f>VLOOKUP($I$9,$A$123:$F$125,6)</f>
        <v>4.9149253731343302E-2</v>
      </c>
      <c r="G126" s="50"/>
    </row>
    <row r="127" spans="1:7" x14ac:dyDescent="0.35">
      <c r="A127" s="78"/>
      <c r="B127" s="78"/>
      <c r="C127" s="2"/>
      <c r="D127" s="3"/>
      <c r="E127" s="2"/>
      <c r="F127" s="78"/>
      <c r="G127" s="78"/>
    </row>
    <row r="128" spans="1:7" x14ac:dyDescent="0.35">
      <c r="A128" s="78"/>
      <c r="B128" s="78" t="s">
        <v>185</v>
      </c>
      <c r="C128" s="78"/>
      <c r="D128" s="78"/>
      <c r="E128" s="78"/>
      <c r="F128" s="57"/>
      <c r="G128" s="78"/>
    </row>
    <row r="129" spans="1:6" x14ac:dyDescent="0.35">
      <c r="A129" s="78"/>
      <c r="B129" s="1" t="b">
        <v>1</v>
      </c>
      <c r="C129" s="78"/>
      <c r="D129" s="78"/>
      <c r="E129" s="78"/>
      <c r="F129" s="78"/>
    </row>
    <row r="131" spans="1:6" x14ac:dyDescent="0.35">
      <c r="A131" s="78"/>
      <c r="B131" s="78" t="s">
        <v>278</v>
      </c>
      <c r="C131" s="78"/>
      <c r="D131" s="78"/>
      <c r="E131" s="78"/>
      <c r="F131" s="78"/>
    </row>
    <row r="132" spans="1:6" x14ac:dyDescent="0.35">
      <c r="A132" s="78"/>
      <c r="B132" s="1" t="b">
        <v>1</v>
      </c>
      <c r="C132" s="78"/>
      <c r="D132" s="78"/>
      <c r="E132" s="78"/>
      <c r="F132" s="78"/>
    </row>
    <row r="134" spans="1:6" x14ac:dyDescent="0.35">
      <c r="A134" s="78"/>
      <c r="B134" s="78" t="s">
        <v>224</v>
      </c>
      <c r="C134" s="78"/>
      <c r="D134" s="78"/>
      <c r="E134" s="78"/>
      <c r="F134" s="78"/>
    </row>
    <row r="135" spans="1:6" x14ac:dyDescent="0.35">
      <c r="A135" s="78">
        <v>1</v>
      </c>
      <c r="B135" s="78" t="s">
        <v>266</v>
      </c>
      <c r="C135" s="78"/>
      <c r="D135" s="78"/>
      <c r="E135" s="78"/>
      <c r="F135" s="78"/>
    </row>
    <row r="136" spans="1:6" x14ac:dyDescent="0.35">
      <c r="A136" s="78">
        <v>2</v>
      </c>
      <c r="B136" s="78" t="s">
        <v>267</v>
      </c>
      <c r="C136" s="78"/>
      <c r="D136" s="78"/>
      <c r="E136" s="78"/>
      <c r="F136" s="78"/>
    </row>
    <row r="137" spans="1:6" x14ac:dyDescent="0.35">
      <c r="A137" s="78">
        <v>3</v>
      </c>
      <c r="B137" s="78" t="s">
        <v>268</v>
      </c>
      <c r="C137" s="78"/>
      <c r="D137" s="78"/>
      <c r="E137" s="78"/>
      <c r="F137" s="78"/>
    </row>
    <row r="138" spans="1:6" x14ac:dyDescent="0.35">
      <c r="A138" s="78">
        <v>4</v>
      </c>
      <c r="B138" s="78" t="s">
        <v>269</v>
      </c>
      <c r="C138" s="78"/>
      <c r="D138" s="78"/>
      <c r="E138" s="78"/>
      <c r="F138" s="78"/>
    </row>
    <row r="140" spans="1:6" x14ac:dyDescent="0.35">
      <c r="A140" s="78"/>
      <c r="B140" s="78" t="s">
        <v>279</v>
      </c>
      <c r="C140" s="78"/>
      <c r="D140" s="78"/>
      <c r="E140" s="78"/>
      <c r="F140" s="78"/>
    </row>
    <row r="141" spans="1:6" x14ac:dyDescent="0.35">
      <c r="A141" s="78"/>
      <c r="B141" s="78"/>
      <c r="C141" s="2" t="s">
        <v>266</v>
      </c>
      <c r="D141" s="78" t="s">
        <v>267</v>
      </c>
      <c r="E141" s="78" t="s">
        <v>268</v>
      </c>
      <c r="F141" s="4" t="s">
        <v>269</v>
      </c>
    </row>
    <row r="142" spans="1:6" x14ac:dyDescent="0.35">
      <c r="A142" s="78"/>
      <c r="B142" s="78"/>
      <c r="C142" s="78">
        <v>270</v>
      </c>
      <c r="D142" s="78">
        <v>270</v>
      </c>
      <c r="E142" s="78">
        <v>380</v>
      </c>
      <c r="F142" s="78">
        <v>150</v>
      </c>
    </row>
  </sheetData>
  <mergeCells count="9">
    <mergeCell ref="D19:F19"/>
    <mergeCell ref="J22:L22"/>
    <mergeCell ref="J12:L12"/>
    <mergeCell ref="J14:L14"/>
    <mergeCell ref="J15:L15"/>
    <mergeCell ref="J16:L16"/>
    <mergeCell ref="J17:L17"/>
    <mergeCell ref="D18:F18"/>
    <mergeCell ref="J18:L18"/>
  </mergeCells>
  <conditionalFormatting sqref="I12">
    <cfRule type="cellIs" dxfId="23" priority="25" stopIfTrue="1" operator="greaterThan">
      <formula>$G$95</formula>
    </cfRule>
  </conditionalFormatting>
  <conditionalFormatting sqref="F98">
    <cfRule type="cellIs" dxfId="22" priority="23" operator="greaterThan">
      <formula>1</formula>
    </cfRule>
  </conditionalFormatting>
  <conditionalFormatting sqref="C97:F98">
    <cfRule type="cellIs" dxfId="21" priority="17" operator="lessThan">
      <formula>1</formula>
    </cfRule>
    <cfRule type="cellIs" dxfId="20" priority="18" operator="lessThan">
      <formula>1</formula>
    </cfRule>
    <cfRule type="cellIs" dxfId="19" priority="19" operator="lessThan">
      <formula>1</formula>
    </cfRule>
    <cfRule type="cellIs" dxfId="18" priority="20" operator="greaterThan">
      <formula>1</formula>
    </cfRule>
    <cfRule type="cellIs" dxfId="17" priority="22" operator="greaterThan">
      <formula>1</formula>
    </cfRule>
  </conditionalFormatting>
  <conditionalFormatting sqref="C98">
    <cfRule type="cellIs" dxfId="16" priority="21" operator="greaterThan">
      <formula>1</formula>
    </cfRule>
  </conditionalFormatting>
  <conditionalFormatting sqref="C102:F103">
    <cfRule type="cellIs" dxfId="15" priority="15" operator="lessThan">
      <formula>0.01</formula>
    </cfRule>
    <cfRule type="cellIs" dxfId="14" priority="16" operator="greaterThan">
      <formula>0.01</formula>
    </cfRule>
  </conditionalFormatting>
  <conditionalFormatting sqref="C107:F107">
    <cfRule type="cellIs" dxfId="13" priority="13" operator="lessThan">
      <formula>0.01</formula>
    </cfRule>
    <cfRule type="cellIs" dxfId="12" priority="14" operator="greaterThan">
      <formula>0.01</formula>
    </cfRule>
  </conditionalFormatting>
  <conditionalFormatting sqref="C111:F112">
    <cfRule type="cellIs" dxfId="11" priority="11" operator="lessThan">
      <formula>0.01</formula>
    </cfRule>
    <cfRule type="cellIs" dxfId="10" priority="12" operator="greaterThan">
      <formula>0.01</formula>
    </cfRule>
  </conditionalFormatting>
  <conditionalFormatting sqref="C116:F116">
    <cfRule type="cellIs" dxfId="9" priority="9" operator="lessThan">
      <formula>0.01</formula>
    </cfRule>
    <cfRule type="cellIs" dxfId="8" priority="10" operator="greaterThan">
      <formula>0.01</formula>
    </cfRule>
  </conditionalFormatting>
  <conditionalFormatting sqref="C120:F120">
    <cfRule type="cellIs" dxfId="7" priority="7" operator="lessThan">
      <formula>0.01</formula>
    </cfRule>
    <cfRule type="cellIs" dxfId="6" priority="8" operator="greaterThan">
      <formula>0.01</formula>
    </cfRule>
  </conditionalFormatting>
  <conditionalFormatting sqref="C123:F126">
    <cfRule type="cellIs" dxfId="5" priority="2" operator="lessThan">
      <formula>0.01</formula>
    </cfRule>
    <cfRule type="cellIs" dxfId="4" priority="3" operator="greaterThan">
      <formula>0.01</formula>
    </cfRule>
    <cfRule type="cellIs" dxfId="3" priority="4" operator="greaterThan">
      <formula>0.01</formula>
    </cfRule>
    <cfRule type="cellIs" dxfId="2" priority="5" operator="lessThan">
      <formula>0</formula>
    </cfRule>
    <cfRule type="cellIs" dxfId="1" priority="6" operator="greaterThan">
      <formula>0</formula>
    </cfRule>
  </conditionalFormatting>
  <conditionalFormatting sqref="C102:F103 C107:F107 C111:F112 C116:F116 C120:F120 C123:F126 G95 G111 C97:F98">
    <cfRule type="cellIs" dxfId="0" priority="1" operator="greaterThan">
      <formula>0.01</formula>
    </cfRule>
  </conditionalFormatting>
  <hyperlinks>
    <hyperlink ref="F122" r:id="rId1" xr:uid="{7033DE0E-20C3-4F37-A475-19B9424B93A7}"/>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3313" r:id="rId5" name="Check Box 1">
              <controlPr defaultSize="0" autoFill="0" autoLine="0" autoPict="0">
                <anchor moveWithCells="1">
                  <from>
                    <xdr:col>4</xdr:col>
                    <xdr:colOff>590550</xdr:colOff>
                    <xdr:row>18</xdr:row>
                    <xdr:rowOff>171450</xdr:rowOff>
                  </from>
                  <to>
                    <xdr:col>4</xdr:col>
                    <xdr:colOff>781050</xdr:colOff>
                    <xdr:row>18</xdr:row>
                    <xdr:rowOff>342900</xdr:rowOff>
                  </to>
                </anchor>
              </controlPr>
            </control>
          </mc:Choice>
        </mc:AlternateContent>
        <mc:AlternateContent xmlns:mc="http://schemas.openxmlformats.org/markup-compatibility/2006">
          <mc:Choice Requires="x14">
            <control shapeId="13314" r:id="rId6" name="Drop Down 2">
              <controlPr defaultSize="0" autoLine="0" autoPict="0">
                <anchor moveWithCells="1">
                  <from>
                    <xdr:col>8</xdr:col>
                    <xdr:colOff>19050</xdr:colOff>
                    <xdr:row>8</xdr:row>
                    <xdr:rowOff>19050</xdr:rowOff>
                  </from>
                  <to>
                    <xdr:col>8</xdr:col>
                    <xdr:colOff>914400</xdr:colOff>
                    <xdr:row>9</xdr:row>
                    <xdr:rowOff>0</xdr:rowOff>
                  </to>
                </anchor>
              </controlPr>
            </control>
          </mc:Choice>
        </mc:AlternateContent>
        <mc:AlternateContent xmlns:mc="http://schemas.openxmlformats.org/markup-compatibility/2006">
          <mc:Choice Requires="x14">
            <control shapeId="13315" r:id="rId7" name="Check Box 3">
              <controlPr defaultSize="0" autoFill="0" autoLine="0" autoPict="0">
                <anchor moveWithCells="1">
                  <from>
                    <xdr:col>8</xdr:col>
                    <xdr:colOff>0</xdr:colOff>
                    <xdr:row>1</xdr:row>
                    <xdr:rowOff>171450</xdr:rowOff>
                  </from>
                  <to>
                    <xdr:col>8</xdr:col>
                    <xdr:colOff>400050</xdr:colOff>
                    <xdr:row>3</xdr:row>
                    <xdr:rowOff>38100</xdr:rowOff>
                  </to>
                </anchor>
              </controlPr>
            </control>
          </mc:Choice>
        </mc:AlternateContent>
        <mc:AlternateContent xmlns:mc="http://schemas.openxmlformats.org/markup-compatibility/2006">
          <mc:Choice Requires="x14">
            <control shapeId="13316" r:id="rId8" name="Check Box 4">
              <controlPr defaultSize="0" autoFill="0" autoLine="0" autoPict="0">
                <anchor moveWithCells="1">
                  <from>
                    <xdr:col>8</xdr:col>
                    <xdr:colOff>0</xdr:colOff>
                    <xdr:row>1</xdr:row>
                    <xdr:rowOff>171450</xdr:rowOff>
                  </from>
                  <to>
                    <xdr:col>8</xdr:col>
                    <xdr:colOff>400050</xdr:colOff>
                    <xdr:row>3</xdr:row>
                    <xdr:rowOff>38100</xdr:rowOff>
                  </to>
                </anchor>
              </controlPr>
            </control>
          </mc:Choice>
        </mc:AlternateContent>
        <mc:AlternateContent xmlns:mc="http://schemas.openxmlformats.org/markup-compatibility/2006">
          <mc:Choice Requires="x14">
            <control shapeId="13317" r:id="rId9" name="Drop Down 5">
              <controlPr defaultSize="0" autoLine="0" autoPict="0">
                <anchor moveWithCells="1">
                  <from>
                    <xdr:col>8</xdr:col>
                    <xdr:colOff>19050</xdr:colOff>
                    <xdr:row>8</xdr:row>
                    <xdr:rowOff>19050</xdr:rowOff>
                  </from>
                  <to>
                    <xdr:col>8</xdr:col>
                    <xdr:colOff>914400</xdr:colOff>
                    <xdr:row>9</xdr:row>
                    <xdr:rowOff>0</xdr:rowOff>
                  </to>
                </anchor>
              </controlPr>
            </control>
          </mc:Choice>
        </mc:AlternateContent>
        <mc:AlternateContent xmlns:mc="http://schemas.openxmlformats.org/markup-compatibility/2006">
          <mc:Choice Requires="x14">
            <control shapeId="13318" r:id="rId10" name="Drop Down 6">
              <controlPr defaultSize="0" autoLine="0" autoPict="0">
                <anchor moveWithCells="1">
                  <from>
                    <xdr:col>8</xdr:col>
                    <xdr:colOff>19050</xdr:colOff>
                    <xdr:row>9</xdr:row>
                    <xdr:rowOff>19050</xdr:rowOff>
                  </from>
                  <to>
                    <xdr:col>8</xdr:col>
                    <xdr:colOff>914400</xdr:colOff>
                    <xdr:row>10</xdr:row>
                    <xdr:rowOff>0</xdr:rowOff>
                  </to>
                </anchor>
              </controlPr>
            </control>
          </mc:Choice>
        </mc:AlternateContent>
        <mc:AlternateContent xmlns:mc="http://schemas.openxmlformats.org/markup-compatibility/2006">
          <mc:Choice Requires="x14">
            <control shapeId="13319" r:id="rId11" name="Check Box 7">
              <controlPr defaultSize="0" autoFill="0" autoLine="0" autoPict="0">
                <anchor moveWithCells="1">
                  <from>
                    <xdr:col>4</xdr:col>
                    <xdr:colOff>590550</xdr:colOff>
                    <xdr:row>17</xdr:row>
                    <xdr:rowOff>381000</xdr:rowOff>
                  </from>
                  <to>
                    <xdr:col>4</xdr:col>
                    <xdr:colOff>781050</xdr:colOff>
                    <xdr:row>17</xdr:row>
                    <xdr:rowOff>641350</xdr:rowOff>
                  </to>
                </anchor>
              </controlPr>
            </control>
          </mc:Choice>
        </mc:AlternateContent>
        <mc:AlternateContent xmlns:mc="http://schemas.openxmlformats.org/markup-compatibility/2006">
          <mc:Choice Requires="x14">
            <control shapeId="13320" r:id="rId12" name="Check Box 8">
              <controlPr defaultSize="0" autoFill="0" autoLine="0" autoPict="0">
                <anchor moveWithCells="1">
                  <from>
                    <xdr:col>4</xdr:col>
                    <xdr:colOff>590550</xdr:colOff>
                    <xdr:row>18</xdr:row>
                    <xdr:rowOff>171450</xdr:rowOff>
                  </from>
                  <to>
                    <xdr:col>4</xdr:col>
                    <xdr:colOff>781050</xdr:colOff>
                    <xdr:row>18</xdr:row>
                    <xdr:rowOff>342900</xdr:rowOff>
                  </to>
                </anchor>
              </controlPr>
            </control>
          </mc:Choice>
        </mc:AlternateContent>
        <mc:AlternateContent xmlns:mc="http://schemas.openxmlformats.org/markup-compatibility/2006">
          <mc:Choice Requires="x14">
            <control shapeId="13321" r:id="rId13" name="Check Box 9">
              <controlPr defaultSize="0" autoFill="0" autoLine="0" autoPict="0">
                <anchor moveWithCells="1">
                  <from>
                    <xdr:col>4</xdr:col>
                    <xdr:colOff>590550</xdr:colOff>
                    <xdr:row>17</xdr:row>
                    <xdr:rowOff>381000</xdr:rowOff>
                  </from>
                  <to>
                    <xdr:col>4</xdr:col>
                    <xdr:colOff>781050</xdr:colOff>
                    <xdr:row>17</xdr:row>
                    <xdr:rowOff>641350</xdr:rowOff>
                  </to>
                </anchor>
              </controlPr>
            </control>
          </mc:Choice>
        </mc:AlternateContent>
        <mc:AlternateContent xmlns:mc="http://schemas.openxmlformats.org/markup-compatibility/2006">
          <mc:Choice Requires="x14">
            <control shapeId="13322" r:id="rId14" name="Drop Down 10">
              <controlPr defaultSize="0" autoLine="0" autoPict="0">
                <anchor moveWithCells="1">
                  <from>
                    <xdr:col>8</xdr:col>
                    <xdr:colOff>19050</xdr:colOff>
                    <xdr:row>9</xdr:row>
                    <xdr:rowOff>19050</xdr:rowOff>
                  </from>
                  <to>
                    <xdr:col>9</xdr:col>
                    <xdr:colOff>0</xdr:colOff>
                    <xdr:row>9</xdr:row>
                    <xdr:rowOff>228600</xdr:rowOff>
                  </to>
                </anchor>
              </controlPr>
            </control>
          </mc:Choice>
        </mc:AlternateContent>
        <mc:AlternateContent xmlns:mc="http://schemas.openxmlformats.org/markup-compatibility/2006">
          <mc:Choice Requires="x14">
            <control shapeId="13323" r:id="rId15" name="Drop Down 11">
              <controlPr defaultSize="0" autoLine="0" autoPict="0">
                <anchor moveWithCells="1">
                  <from>
                    <xdr:col>8</xdr:col>
                    <xdr:colOff>19050</xdr:colOff>
                    <xdr:row>8</xdr:row>
                    <xdr:rowOff>19050</xdr:rowOff>
                  </from>
                  <to>
                    <xdr:col>8</xdr:col>
                    <xdr:colOff>1136650</xdr:colOff>
                    <xdr:row>8</xdr:row>
                    <xdr:rowOff>228600</xdr:rowOff>
                  </to>
                </anchor>
              </controlPr>
            </control>
          </mc:Choice>
        </mc:AlternateContent>
        <mc:AlternateContent xmlns:mc="http://schemas.openxmlformats.org/markup-compatibility/2006">
          <mc:Choice Requires="x14">
            <control shapeId="13324" r:id="rId16" name="Drop Down 12">
              <controlPr defaultSize="0" autoLine="0" autoPict="0">
                <anchor moveWithCells="1">
                  <from>
                    <xdr:col>8</xdr:col>
                    <xdr:colOff>19050</xdr:colOff>
                    <xdr:row>10</xdr:row>
                    <xdr:rowOff>19050</xdr:rowOff>
                  </from>
                  <to>
                    <xdr:col>8</xdr:col>
                    <xdr:colOff>914400</xdr:colOff>
                    <xdr:row>11</xdr:row>
                    <xdr:rowOff>0</xdr:rowOff>
                  </to>
                </anchor>
              </controlPr>
            </control>
          </mc:Choice>
        </mc:AlternateContent>
        <mc:AlternateContent xmlns:mc="http://schemas.openxmlformats.org/markup-compatibility/2006">
          <mc:Choice Requires="x14">
            <control shapeId="13325" r:id="rId17" name="Drop Down 13">
              <controlPr defaultSize="0" autoLine="0" autoPict="0">
                <anchor moveWithCells="1">
                  <from>
                    <xdr:col>8</xdr:col>
                    <xdr:colOff>19050</xdr:colOff>
                    <xdr:row>10</xdr:row>
                    <xdr:rowOff>19050</xdr:rowOff>
                  </from>
                  <to>
                    <xdr:col>8</xdr:col>
                    <xdr:colOff>914400</xdr:colOff>
                    <xdr:row>11</xdr:row>
                    <xdr:rowOff>0</xdr:rowOff>
                  </to>
                </anchor>
              </controlPr>
            </control>
          </mc:Choice>
        </mc:AlternateContent>
        <mc:AlternateContent xmlns:mc="http://schemas.openxmlformats.org/markup-compatibility/2006">
          <mc:Choice Requires="x14">
            <control shapeId="13326" r:id="rId18" name="Drop Down 14">
              <controlPr defaultSize="0" autoLine="0" autoPict="0">
                <anchor moveWithCells="1">
                  <from>
                    <xdr:col>8</xdr:col>
                    <xdr:colOff>19050</xdr:colOff>
                    <xdr:row>10</xdr:row>
                    <xdr:rowOff>19050</xdr:rowOff>
                  </from>
                  <to>
                    <xdr:col>9</xdr:col>
                    <xdr:colOff>0</xdr:colOff>
                    <xdr:row>11</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4 1 u W W J 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D j W 5 Z 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4 1 u W W C i K R 7 g O A A A A E Q A A A B M A H A B G b 3 J t d W x h c y 9 T Z W N 0 a W 9 u M S 5 t I K I Y A C i g F A A A A A A A A A A A A A A A A A A A A A A A A A A A A C t O T S 7 J z M 9 T C I b Q h t Y A U E s B A i 0 A F A A C A A g A 4 1 u W W J 2 I Z o + j A A A A 9 g A A A B I A A A A A A A A A A A A A A A A A A A A A A E N v b m Z p Z y 9 Q Y W N r Y W d l L n h t b F B L A Q I t A B Q A A g A I A O N b l l g P y u m r p A A A A O k A A A A T A A A A A A A A A A A A A A A A A O 8 A A A B b Q 2 9 u d G V u d F 9 U e X B l c 1 0 u e G 1 s U E s B A i 0 A F A A C A A g A 4 1 u W W 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6 5 h e O A f 5 l D t O S b i 0 2 V 7 N s A A A A A A g A A A A A A A 2 Y A A M A A A A A Q A A A A c z H + e G v 5 0 m V p P B 0 N e 2 D P F Q A A A A A E g A A A o A A A A B A A A A C 4 Z z 0 n K C x o z R z T o R / T Z S q U U A A A A A I c l s T z k S V L o A d s j I c C 7 o Y e 1 A 5 L t F G 0 3 h G F L u i U g E c 7 + U d b 5 v 0 o b i 6 v a y Q N s J i v L P f 6 0 q v h 1 / R 9 2 2 F p + 3 A p 4 J F p d W o V E 9 L y k e Z B c K G P 7 M Y J F A A A A L 9 a f R 5 f y S 8 / 8 Y 1 D b S B / d O g 4 c k J J < / D a t a M a s h u p > 
</file>

<file path=customXml/itemProps1.xml><?xml version="1.0" encoding="utf-8"?>
<ds:datastoreItem xmlns:ds="http://schemas.openxmlformats.org/officeDocument/2006/customXml" ds:itemID="{F8987929-FEEB-4881-A104-ED7B222FF32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vt:lpstr>
      <vt:lpstr>SNCR_gas</vt:lpstr>
      <vt:lpstr>SNCR_coal</vt:lpstr>
      <vt:lpstr>SCR_gas</vt:lpstr>
      <vt:lpstr>SCR_coal</vt:lpstr>
      <vt:lpstr>SDA FGD</vt:lpstr>
      <vt:lpstr>Wet FGD</vt:lpstr>
      <vt:lpstr>DSI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Ruzicka, William</dc:creator>
  <cp:keywords/>
  <dc:description/>
  <cp:lastModifiedBy>Ruzicka, William</cp:lastModifiedBy>
  <cp:revision/>
  <dcterms:created xsi:type="dcterms:W3CDTF">2022-12-22T15:48:32Z</dcterms:created>
  <dcterms:modified xsi:type="dcterms:W3CDTF">2024-05-20T17:26:56Z</dcterms:modified>
  <cp:category/>
  <cp:contentStatus/>
</cp:coreProperties>
</file>