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hidePivotFieldList="1" autoCompressPictures="0"/>
  <mc:AlternateContent xmlns:mc="http://schemas.openxmlformats.org/markup-compatibility/2006">
    <mc:Choice Requires="x15">
      <x15ac:absPath xmlns:x15ac="http://schemas.microsoft.com/office/spreadsheetml/2010/11/ac" url="H:\DOD\OUTREACH\Publications\DRAFTS\tru-emissions-calc-v2022a-2022-10-15\tru-emissions-calc-v2022a-2022-10-15\"/>
    </mc:Choice>
  </mc:AlternateContent>
  <xr:revisionPtr revIDLastSave="0" documentId="13_ncr:1_{485AE5CC-FB55-40BD-B506-AACB9539A479}" xr6:coauthVersionLast="47" xr6:coauthVersionMax="47" xr10:uidLastSave="{00000000-0000-0000-0000-000000000000}"/>
  <bookViews>
    <workbookView xWindow="-108" yWindow="-108" windowWidth="23256" windowHeight="12576" tabRatio="882" activeTab="1" xr2:uid="{00000000-000D-0000-FFFF-FFFF00000000}"/>
  </bookViews>
  <sheets>
    <sheet name="User Guide" sheetId="35" r:id="rId1"/>
    <sheet name="General Calculator" sheetId="8" r:id="rId2"/>
    <sheet name="Detailed Calculator" sheetId="34" r:id="rId3"/>
    <sheet name="General Calculator_EXAMPLE" sheetId="38" r:id="rId4"/>
    <sheet name="eGRID2018 Subregion" sheetId="1" r:id="rId5"/>
    <sheet name="Diesel TRU Emission Factors" sheetId="30" r:id="rId6"/>
    <sheet name="TRU Ops &amp; Costs" sheetId="29" r:id="rId7"/>
    <sheet name="Diesel Fuel Prices" sheetId="31" r:id="rId8"/>
    <sheet name="Electricity Prices" sheetId="32" r:id="rId9"/>
    <sheet name="Lookup" sheetId="33" state="hidden" r:id="rId10"/>
    <sheet name="References" sheetId="20" r:id="rId11"/>
  </sheets>
  <definedNames>
    <definedName name="_xlnm._FilterDatabase" localSheetId="7" hidden="1">'Diesel Fuel Prices'!$B$4:$E$31</definedName>
    <definedName name="_xlnm._FilterDatabase" localSheetId="8" hidden="1">'Electricity Prices'!$B$3:$F$29</definedName>
    <definedName name="Abbr">'User Guide'!$B$131</definedName>
    <definedName name="EfficiencyImprovement">'Diesel Fuel Prices'!$D$45</definedName>
    <definedName name="Footnotes">'User Guide'!$B$121</definedName>
    <definedName name="GalTokWh">'Diesel Fuel Prices'!$D$42</definedName>
    <definedName name="Gen_calc">'User Guide'!$B$39</definedName>
    <definedName name="GramsToMT">Lookup!$K$4</definedName>
    <definedName name="ModelYearNone">Lookup!$I$4</definedName>
    <definedName name="ModelYearTrail">Lookup!$E$4:$E$28</definedName>
    <definedName name="ModelYearTruck">Lookup!$G$4:$G$27</definedName>
    <definedName name="PlugLocation">Lookup!$C$16:$C$17</definedName>
    <definedName name="PowerUnit">Lookup!$C$11:$C$12</definedName>
    <definedName name="PriceGalToKWH">'Diesel Fuel Prices'!$D$36</definedName>
    <definedName name="RegionGEN">'eGRID2018 Subregion'!$A$7:$A$33</definedName>
    <definedName name="RegionUSER">'eGRID2018 Subregion'!$A$7:$A$35</definedName>
    <definedName name="Title">'User Guide'!$B$1</definedName>
    <definedName name="TRUType">Lookup!$C$4:$C$7</definedName>
    <definedName name="user_defined">'User Guide'!$B$71</definedName>
    <definedName name="UserType">Lookup!$A$4:$A$9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0" i="38" l="1"/>
  <c r="O39" i="38"/>
  <c r="O38" i="38"/>
  <c r="O37" i="38"/>
  <c r="O36" i="38"/>
  <c r="O35" i="38"/>
  <c r="O34" i="38"/>
  <c r="O33" i="38"/>
  <c r="O32" i="38"/>
  <c r="O31" i="38"/>
  <c r="O30" i="38"/>
  <c r="O29" i="38"/>
  <c r="O28" i="38"/>
  <c r="O27" i="38"/>
  <c r="O26" i="38"/>
  <c r="O25" i="38"/>
  <c r="O24" i="38"/>
  <c r="O23" i="38"/>
  <c r="O22" i="38"/>
  <c r="O21" i="38"/>
  <c r="O20" i="38"/>
  <c r="O19" i="38"/>
  <c r="O18" i="38"/>
  <c r="O17" i="38"/>
  <c r="O16" i="38"/>
  <c r="O15" i="38"/>
  <c r="O14" i="38"/>
  <c r="O13" i="38"/>
  <c r="O12" i="38"/>
  <c r="O11" i="38"/>
  <c r="O10" i="38"/>
  <c r="O9" i="38"/>
  <c r="O8" i="3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O7" i="8"/>
  <c r="O6" i="8"/>
  <c r="P40" i="38" l="1"/>
  <c r="N40" i="38"/>
  <c r="P39" i="38"/>
  <c r="N39" i="38"/>
  <c r="P38" i="38"/>
  <c r="N38" i="38"/>
  <c r="P37" i="38"/>
  <c r="N37" i="38"/>
  <c r="P36" i="38"/>
  <c r="N36" i="38"/>
  <c r="P35" i="38"/>
  <c r="N35" i="38"/>
  <c r="P34" i="38"/>
  <c r="N34" i="38"/>
  <c r="P33" i="38"/>
  <c r="N33" i="38"/>
  <c r="P32" i="38"/>
  <c r="N32" i="38"/>
  <c r="P31" i="38"/>
  <c r="N31" i="38"/>
  <c r="P30" i="38"/>
  <c r="N30" i="38"/>
  <c r="P29" i="38"/>
  <c r="N29" i="38"/>
  <c r="P28" i="38"/>
  <c r="N28" i="38"/>
  <c r="P27" i="38"/>
  <c r="N27" i="38"/>
  <c r="P26" i="38"/>
  <c r="N26" i="38"/>
  <c r="P25" i="38"/>
  <c r="N25" i="38"/>
  <c r="P24" i="38"/>
  <c r="N24" i="38"/>
  <c r="P23" i="38"/>
  <c r="N23" i="38"/>
  <c r="P22" i="38"/>
  <c r="N22" i="38"/>
  <c r="P21" i="38"/>
  <c r="N21" i="38"/>
  <c r="P20" i="38"/>
  <c r="N20" i="38"/>
  <c r="P19" i="38"/>
  <c r="N19" i="38"/>
  <c r="P18" i="38"/>
  <c r="N18" i="38"/>
  <c r="P17" i="38"/>
  <c r="N17" i="38"/>
  <c r="P16" i="38"/>
  <c r="N16" i="38"/>
  <c r="P15" i="38"/>
  <c r="N15" i="38"/>
  <c r="P14" i="38"/>
  <c r="N14" i="38"/>
  <c r="P13" i="38"/>
  <c r="N13" i="38"/>
  <c r="P12" i="38"/>
  <c r="N12" i="38"/>
  <c r="P11" i="38"/>
  <c r="N11" i="38"/>
  <c r="P10" i="38"/>
  <c r="N10" i="38"/>
  <c r="P9" i="38"/>
  <c r="N9" i="38"/>
  <c r="P8" i="38"/>
  <c r="N8" i="38"/>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W11" i="34"/>
  <c r="W10" i="34"/>
  <c r="W9" i="34"/>
  <c r="W8" i="34"/>
  <c r="W7" i="34"/>
  <c r="W6" i="34"/>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P9" i="8"/>
  <c r="P8" i="8"/>
  <c r="P7" i="8"/>
  <c r="P6" i="8"/>
  <c r="L52" i="29"/>
  <c r="L53" i="29" s="1"/>
  <c r="L54" i="29" s="1"/>
  <c r="L55" i="29" s="1"/>
  <c r="L56" i="29" s="1"/>
  <c r="L57" i="29" s="1"/>
  <c r="L58" i="29" s="1"/>
  <c r="L59" i="29" s="1"/>
  <c r="L60" i="29" s="1"/>
  <c r="L61" i="29" s="1"/>
  <c r="L62" i="29" s="1"/>
  <c r="L63" i="29" s="1"/>
  <c r="L64" i="29" s="1"/>
  <c r="L65" i="29" s="1"/>
  <c r="L66" i="29" s="1"/>
  <c r="L67" i="29" s="1"/>
  <c r="L68" i="29" s="1"/>
  <c r="L69" i="29" s="1"/>
  <c r="L70" i="29" s="1"/>
  <c r="L71" i="29" s="1"/>
  <c r="L72" i="29" s="1"/>
  <c r="L73" i="29" s="1"/>
  <c r="L74" i="29" s="1"/>
  <c r="L4" i="29"/>
  <c r="L5" i="29" s="1"/>
  <c r="L6" i="29" s="1"/>
  <c r="L7" i="29" s="1"/>
  <c r="L8" i="29" s="1"/>
  <c r="L9" i="29" s="1"/>
  <c r="L10" i="29" s="1"/>
  <c r="L11" i="29" s="1"/>
  <c r="L12" i="29" s="1"/>
  <c r="L13" i="29" s="1"/>
  <c r="L14" i="29" s="1"/>
  <c r="L15" i="29" s="1"/>
  <c r="L16" i="29" s="1"/>
  <c r="L17" i="29" s="1"/>
  <c r="L18" i="29" s="1"/>
  <c r="L19" i="29" s="1"/>
  <c r="L20" i="29" s="1"/>
  <c r="L21" i="29" s="1"/>
  <c r="L22" i="29" s="1"/>
  <c r="L23" i="29" s="1"/>
  <c r="L24" i="29" s="1"/>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I52" i="29"/>
  <c r="I53" i="29" s="1"/>
  <c r="I54" i="29" s="1"/>
  <c r="I55" i="29" s="1"/>
  <c r="I56" i="29" s="1"/>
  <c r="I57" i="29" s="1"/>
  <c r="I58" i="29" s="1"/>
  <c r="I59" i="29" s="1"/>
  <c r="I60" i="29" s="1"/>
  <c r="I61" i="29" s="1"/>
  <c r="I62" i="29" s="1"/>
  <c r="I63" i="29" s="1"/>
  <c r="I64" i="29" s="1"/>
  <c r="I65" i="29" s="1"/>
  <c r="I66" i="29" s="1"/>
  <c r="I67" i="29" s="1"/>
  <c r="I68" i="29" s="1"/>
  <c r="I69" i="29" s="1"/>
  <c r="I70" i="29" s="1"/>
  <c r="I71" i="29" s="1"/>
  <c r="I72" i="29" s="1"/>
  <c r="I73" i="29" s="1"/>
  <c r="I74" i="29" s="1"/>
  <c r="I4" i="29"/>
  <c r="I5" i="29" s="1"/>
  <c r="I6" i="29" s="1"/>
  <c r="I7" i="29" s="1"/>
  <c r="I8" i="29" s="1"/>
  <c r="I9" i="29" s="1"/>
  <c r="I10" i="29" s="1"/>
  <c r="I11" i="29" s="1"/>
  <c r="I12" i="29" s="1"/>
  <c r="I13" i="29" s="1"/>
  <c r="I14" i="29" s="1"/>
  <c r="I15" i="29" s="1"/>
  <c r="I16" i="29" s="1"/>
  <c r="I17" i="29" s="1"/>
  <c r="I18" i="29" s="1"/>
  <c r="I19" i="29" s="1"/>
  <c r="I20" i="29" s="1"/>
  <c r="I21" i="29" s="1"/>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I42" i="29" s="1"/>
  <c r="I43" i="29" s="1"/>
  <c r="I44" i="29" s="1"/>
  <c r="I45" i="29" s="1"/>
  <c r="I46" i="29" s="1"/>
  <c r="I47" i="29" s="1"/>
  <c r="I48" i="29" s="1"/>
  <c r="I49" i="29" s="1"/>
  <c r="I50" i="29" s="1"/>
  <c r="I51" i="29" s="1"/>
  <c r="K4" i="29"/>
  <c r="K5" i="29" s="1"/>
  <c r="K6" i="29" s="1"/>
  <c r="K7" i="29" s="1"/>
  <c r="K8" i="29" s="1"/>
  <c r="K9" i="29" s="1"/>
  <c r="K10" i="29" s="1"/>
  <c r="K11" i="29" s="1"/>
  <c r="K12" i="29" s="1"/>
  <c r="K13" i="29" s="1"/>
  <c r="K14" i="29" s="1"/>
  <c r="K15" i="29" s="1"/>
  <c r="K16" i="29" s="1"/>
  <c r="K17" i="29" s="1"/>
  <c r="K18" i="29" s="1"/>
  <c r="K19" i="29" s="1"/>
  <c r="K20" i="29" s="1"/>
  <c r="K21" i="29" s="1"/>
  <c r="K22" i="29" s="1"/>
  <c r="K23" i="29" s="1"/>
  <c r="K24" i="29" s="1"/>
  <c r="K25" i="29" s="1"/>
  <c r="K26" i="29" s="1"/>
  <c r="K27" i="29" s="1"/>
  <c r="K28" i="29" s="1"/>
  <c r="K29" i="29" s="1"/>
  <c r="K30" i="29" s="1"/>
  <c r="K31" i="29" s="1"/>
  <c r="K32" i="29" s="1"/>
  <c r="K33" i="29" s="1"/>
  <c r="K34" i="29" s="1"/>
  <c r="K35" i="29" s="1"/>
  <c r="K36" i="29" s="1"/>
  <c r="K37" i="29" s="1"/>
  <c r="K38" i="29" s="1"/>
  <c r="K39" i="29" s="1"/>
  <c r="K40" i="29" s="1"/>
  <c r="K41" i="29" s="1"/>
  <c r="K42" i="29" s="1"/>
  <c r="K43" i="29" s="1"/>
  <c r="K44" i="29" s="1"/>
  <c r="K45" i="29" s="1"/>
  <c r="K46" i="29" s="1"/>
  <c r="K47" i="29" s="1"/>
  <c r="K48" i="29" s="1"/>
  <c r="K49" i="29" s="1"/>
  <c r="K50" i="29" s="1"/>
  <c r="K51" i="29" s="1"/>
  <c r="J4" i="29"/>
  <c r="J5" i="29" s="1"/>
  <c r="J6" i="29" s="1"/>
  <c r="J7" i="29" s="1"/>
  <c r="J8" i="29" s="1"/>
  <c r="J9" i="29" s="1"/>
  <c r="J10" i="29" s="1"/>
  <c r="J11" i="29" s="1"/>
  <c r="J12" i="29" s="1"/>
  <c r="J13" i="29" s="1"/>
  <c r="J14" i="29" s="1"/>
  <c r="J15" i="29" s="1"/>
  <c r="J16" i="29" s="1"/>
  <c r="J17" i="29" s="1"/>
  <c r="J18" i="29" s="1"/>
  <c r="J19" i="29" s="1"/>
  <c r="J20" i="29" s="1"/>
  <c r="J21" i="29" s="1"/>
  <c r="J22" i="29" s="1"/>
  <c r="J23" i="29" s="1"/>
  <c r="J24" i="29" s="1"/>
  <c r="J25" i="29" s="1"/>
  <c r="J26" i="29" s="1"/>
  <c r="J27" i="29" s="1"/>
  <c r="J28" i="29" s="1"/>
  <c r="J29" i="29" s="1"/>
  <c r="J30" i="29" s="1"/>
  <c r="J31" i="29" s="1"/>
  <c r="J32" i="29" s="1"/>
  <c r="J33" i="29" s="1"/>
  <c r="J34" i="29" s="1"/>
  <c r="J35" i="29" s="1"/>
  <c r="J36" i="29" s="1"/>
  <c r="J37" i="29" s="1"/>
  <c r="J38" i="29" s="1"/>
  <c r="J39" i="29" s="1"/>
  <c r="J40" i="29" s="1"/>
  <c r="J41" i="29" s="1"/>
  <c r="J42" i="29" s="1"/>
  <c r="J43" i="29" s="1"/>
  <c r="J44" i="29" s="1"/>
  <c r="J45" i="29" s="1"/>
  <c r="J46" i="29" s="1"/>
  <c r="J47" i="29" s="1"/>
  <c r="J48" i="29" s="1"/>
  <c r="J49" i="29" s="1"/>
  <c r="J50" i="29" s="1"/>
  <c r="J51" i="29" s="1"/>
  <c r="Q40" i="34" l="1"/>
  <c r="Y40" i="34" s="1"/>
  <c r="Q39" i="34"/>
  <c r="Y39" i="34" s="1"/>
  <c r="Q38" i="34"/>
  <c r="Y38" i="34" s="1"/>
  <c r="Q37" i="34"/>
  <c r="Y37" i="34" s="1"/>
  <c r="Q36" i="34"/>
  <c r="Y36" i="34" s="1"/>
  <c r="Q35" i="34"/>
  <c r="Y35" i="34" s="1"/>
  <c r="Q34" i="34"/>
  <c r="Y34" i="34" s="1"/>
  <c r="Q33" i="34"/>
  <c r="Y33" i="34" s="1"/>
  <c r="Q32" i="34"/>
  <c r="Y32" i="34" s="1"/>
  <c r="Q31" i="34"/>
  <c r="Y31" i="34" s="1"/>
  <c r="Q30" i="34"/>
  <c r="Y30" i="34" s="1"/>
  <c r="Q29" i="34"/>
  <c r="Y29" i="34" s="1"/>
  <c r="Q28" i="34"/>
  <c r="Y28" i="34" s="1"/>
  <c r="Q27" i="34"/>
  <c r="Y27" i="34" s="1"/>
  <c r="Q26" i="34"/>
  <c r="Y26" i="34" s="1"/>
  <c r="Q25" i="34"/>
  <c r="Y25" i="34" s="1"/>
  <c r="Q24" i="34"/>
  <c r="Y24" i="34" s="1"/>
  <c r="Q23" i="34"/>
  <c r="Y23" i="34" s="1"/>
  <c r="Q22" i="34"/>
  <c r="Y22" i="34" s="1"/>
  <c r="Q21" i="34"/>
  <c r="Y21" i="34" s="1"/>
  <c r="Q20" i="34"/>
  <c r="Y20" i="34" s="1"/>
  <c r="Q19" i="34"/>
  <c r="Y19" i="34" s="1"/>
  <c r="Q18" i="34"/>
  <c r="Y18" i="34" s="1"/>
  <c r="Q17" i="34"/>
  <c r="Y17" i="34" s="1"/>
  <c r="Q16" i="34"/>
  <c r="Y16" i="34" s="1"/>
  <c r="Q15" i="34"/>
  <c r="Y15" i="34" s="1"/>
  <c r="Q14" i="34"/>
  <c r="Y14" i="34" s="1"/>
  <c r="Q13" i="34"/>
  <c r="Y13" i="34" s="1"/>
  <c r="Q12" i="34"/>
  <c r="Y12" i="34" s="1"/>
  <c r="Q11" i="34"/>
  <c r="Y11" i="34" s="1"/>
  <c r="Q10" i="34"/>
  <c r="Y10" i="34" s="1"/>
  <c r="Q9" i="34"/>
  <c r="Y9" i="34" s="1"/>
  <c r="Q8" i="34"/>
  <c r="Y8" i="34" s="1"/>
  <c r="Q7" i="34"/>
  <c r="Y7" i="34" s="1"/>
  <c r="Q6" i="34"/>
  <c r="Y6" i="34" s="1"/>
  <c r="Q5" i="34"/>
  <c r="E52" i="31" l="1"/>
  <c r="E50" i="31"/>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M7" i="38"/>
  <c r="M6" i="38"/>
  <c r="M5" i="38"/>
  <c r="L5"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L5" i="8"/>
  <c r="U40" i="34"/>
  <c r="U39" i="34"/>
  <c r="U38" i="34"/>
  <c r="U37" i="34"/>
  <c r="U36" i="34"/>
  <c r="U35" i="34"/>
  <c r="U34" i="34"/>
  <c r="U33" i="34"/>
  <c r="U32" i="34"/>
  <c r="U31" i="34"/>
  <c r="U30" i="34"/>
  <c r="U29" i="34"/>
  <c r="U28" i="34"/>
  <c r="U27" i="34"/>
  <c r="U26" i="34"/>
  <c r="U25" i="34"/>
  <c r="U24" i="34"/>
  <c r="U23" i="34"/>
  <c r="U22" i="34"/>
  <c r="U21" i="34"/>
  <c r="U20" i="34"/>
  <c r="U19" i="34"/>
  <c r="U18" i="34"/>
  <c r="U17" i="34"/>
  <c r="U16" i="34"/>
  <c r="U15" i="34"/>
  <c r="U14" i="34"/>
  <c r="U13" i="34"/>
  <c r="U12" i="34"/>
  <c r="U11" i="34"/>
  <c r="U10" i="34"/>
  <c r="U9" i="34"/>
  <c r="U8" i="34"/>
  <c r="U7" i="34"/>
  <c r="U6" i="34"/>
  <c r="U5" i="34"/>
  <c r="S40" i="34"/>
  <c r="S39" i="34"/>
  <c r="S38" i="34"/>
  <c r="S37" i="34"/>
  <c r="S36" i="34"/>
  <c r="S35" i="34"/>
  <c r="S34" i="34"/>
  <c r="S33" i="34"/>
  <c r="S32" i="34"/>
  <c r="S31" i="34"/>
  <c r="S30" i="34"/>
  <c r="S29" i="34"/>
  <c r="S28" i="34"/>
  <c r="S27" i="34"/>
  <c r="S26" i="34"/>
  <c r="S25" i="34"/>
  <c r="S24" i="34"/>
  <c r="S23" i="34"/>
  <c r="S22" i="34"/>
  <c r="S21" i="34"/>
  <c r="S20" i="34"/>
  <c r="S19" i="34"/>
  <c r="S18" i="34"/>
  <c r="S17" i="34"/>
  <c r="S16" i="34"/>
  <c r="S15" i="34"/>
  <c r="S14" i="34"/>
  <c r="S13" i="34"/>
  <c r="S12" i="34"/>
  <c r="S11" i="34"/>
  <c r="S10" i="34"/>
  <c r="S9" i="34"/>
  <c r="S8" i="34"/>
  <c r="S7" i="34"/>
  <c r="S6" i="34"/>
  <c r="S5" i="34"/>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L6" i="8"/>
  <c r="M5" i="8"/>
  <c r="E53" i="31" l="1"/>
  <c r="D41" i="31" s="1"/>
  <c r="BB39" i="38"/>
  <c r="AY39" i="38"/>
  <c r="AX39" i="38"/>
  <c r="BB37" i="38"/>
  <c r="AY37" i="38"/>
  <c r="AX37" i="38"/>
  <c r="BB35" i="38"/>
  <c r="AY35" i="38"/>
  <c r="AX35" i="38"/>
  <c r="BB33" i="38"/>
  <c r="AY33" i="38"/>
  <c r="AX33" i="38"/>
  <c r="BB31" i="38"/>
  <c r="AY31" i="38"/>
  <c r="AX31" i="38"/>
  <c r="BB29" i="38"/>
  <c r="AY29" i="38"/>
  <c r="AX29" i="38"/>
  <c r="BB27" i="38"/>
  <c r="AY27" i="38"/>
  <c r="AX27" i="38"/>
  <c r="BB25" i="38"/>
  <c r="AY25" i="38"/>
  <c r="AX25" i="38"/>
  <c r="BB23" i="38"/>
  <c r="AY23" i="38"/>
  <c r="AX23" i="38"/>
  <c r="BB21" i="38"/>
  <c r="AY21" i="38"/>
  <c r="AX21" i="38"/>
  <c r="BB19" i="38"/>
  <c r="AY19" i="38"/>
  <c r="AX19" i="38"/>
  <c r="BB17" i="38"/>
  <c r="AY17" i="38"/>
  <c r="AX17" i="38"/>
  <c r="BB15" i="38"/>
  <c r="AY15" i="38"/>
  <c r="AX15" i="38"/>
  <c r="BB40" i="38"/>
  <c r="AY40" i="38"/>
  <c r="AX40" i="38"/>
  <c r="BB38" i="38"/>
  <c r="AY38" i="38"/>
  <c r="AX38" i="38"/>
  <c r="BB36" i="38"/>
  <c r="AY36" i="38"/>
  <c r="AX36" i="38"/>
  <c r="BB34" i="38"/>
  <c r="AY34" i="38"/>
  <c r="AX34" i="38"/>
  <c r="BB32" i="38"/>
  <c r="AY32" i="38"/>
  <c r="AX32" i="38"/>
  <c r="BB30" i="38"/>
  <c r="AY30" i="38"/>
  <c r="AX30" i="38"/>
  <c r="BB28" i="38"/>
  <c r="AY28" i="38"/>
  <c r="AX28" i="38"/>
  <c r="BB26" i="38"/>
  <c r="AY26" i="38"/>
  <c r="AX26" i="38"/>
  <c r="BB24" i="38"/>
  <c r="AY24" i="38"/>
  <c r="AX24" i="38"/>
  <c r="BB22" i="38"/>
  <c r="AY22" i="38"/>
  <c r="AX22" i="38"/>
  <c r="BB20" i="38"/>
  <c r="AY20" i="38"/>
  <c r="AX20" i="38"/>
  <c r="BB18" i="38"/>
  <c r="AY18" i="38"/>
  <c r="AX18" i="38"/>
  <c r="BB16" i="38"/>
  <c r="AY16" i="38"/>
  <c r="AX16" i="38"/>
  <c r="BB14" i="38"/>
  <c r="AY14" i="38"/>
  <c r="AX14" i="38"/>
  <c r="K40" i="38"/>
  <c r="J40" i="38"/>
  <c r="I40" i="38"/>
  <c r="H40" i="38"/>
  <c r="G40" i="38"/>
  <c r="K39" i="38"/>
  <c r="J39" i="38"/>
  <c r="I39" i="38"/>
  <c r="H39" i="38"/>
  <c r="G39" i="38"/>
  <c r="K38" i="38"/>
  <c r="J38" i="38"/>
  <c r="I38" i="38"/>
  <c r="H38" i="38"/>
  <c r="G38" i="38"/>
  <c r="K37" i="38"/>
  <c r="J37" i="38"/>
  <c r="I37" i="38"/>
  <c r="H37" i="38"/>
  <c r="G37" i="38"/>
  <c r="K36" i="38"/>
  <c r="J36" i="38"/>
  <c r="I36" i="38"/>
  <c r="H36" i="38"/>
  <c r="G36" i="38"/>
  <c r="K35" i="38"/>
  <c r="J35" i="38"/>
  <c r="I35" i="38"/>
  <c r="H35" i="38"/>
  <c r="G35" i="38"/>
  <c r="K34" i="38"/>
  <c r="J34" i="38"/>
  <c r="I34" i="38"/>
  <c r="H34" i="38"/>
  <c r="G34" i="38"/>
  <c r="K33" i="38"/>
  <c r="J33" i="38"/>
  <c r="I33" i="38"/>
  <c r="H33" i="38"/>
  <c r="G33" i="38"/>
  <c r="K32" i="38"/>
  <c r="J32" i="38"/>
  <c r="I32" i="38"/>
  <c r="H32" i="38"/>
  <c r="G32" i="38"/>
  <c r="K31" i="38"/>
  <c r="J31" i="38"/>
  <c r="I31" i="38"/>
  <c r="H31" i="38"/>
  <c r="G31" i="38"/>
  <c r="K30" i="38"/>
  <c r="J30" i="38"/>
  <c r="I30" i="38"/>
  <c r="H30" i="38"/>
  <c r="G30" i="38"/>
  <c r="K29" i="38"/>
  <c r="J29" i="38"/>
  <c r="I29" i="38"/>
  <c r="H29" i="38"/>
  <c r="G29" i="38"/>
  <c r="K28" i="38"/>
  <c r="J28" i="38"/>
  <c r="I28" i="38"/>
  <c r="H28" i="38"/>
  <c r="G28" i="38"/>
  <c r="K27" i="38"/>
  <c r="J27" i="38"/>
  <c r="I27" i="38"/>
  <c r="H27" i="38"/>
  <c r="G27" i="38"/>
  <c r="K26" i="38"/>
  <c r="J26" i="38"/>
  <c r="I26" i="38"/>
  <c r="H26" i="38"/>
  <c r="G26" i="38"/>
  <c r="K25" i="38"/>
  <c r="J25" i="38"/>
  <c r="I25" i="38"/>
  <c r="H25" i="38"/>
  <c r="G25" i="38"/>
  <c r="K24" i="38"/>
  <c r="J24" i="38"/>
  <c r="I24" i="38"/>
  <c r="H24" i="38"/>
  <c r="G24" i="38"/>
  <c r="K23" i="38"/>
  <c r="J23" i="38"/>
  <c r="I23" i="38"/>
  <c r="H23" i="38"/>
  <c r="G23" i="38"/>
  <c r="K22" i="38"/>
  <c r="J22" i="38"/>
  <c r="I22" i="38"/>
  <c r="H22" i="38"/>
  <c r="G22" i="38"/>
  <c r="K21" i="38"/>
  <c r="J21" i="38"/>
  <c r="I21" i="38"/>
  <c r="H21" i="38"/>
  <c r="G21" i="38"/>
  <c r="K20" i="38"/>
  <c r="J20" i="38"/>
  <c r="I20" i="38"/>
  <c r="H20" i="38"/>
  <c r="G20" i="38"/>
  <c r="K19" i="38"/>
  <c r="J19" i="38"/>
  <c r="I19" i="38"/>
  <c r="H19" i="38"/>
  <c r="G19" i="38"/>
  <c r="K18" i="38"/>
  <c r="J18" i="38"/>
  <c r="I18" i="38"/>
  <c r="H18" i="38"/>
  <c r="G18" i="38"/>
  <c r="K17" i="38"/>
  <c r="J17" i="38"/>
  <c r="I17" i="38"/>
  <c r="H17" i="38"/>
  <c r="G17" i="38"/>
  <c r="K16" i="38"/>
  <c r="J16" i="38"/>
  <c r="I16" i="38"/>
  <c r="H16" i="38"/>
  <c r="G16" i="38"/>
  <c r="K15" i="38"/>
  <c r="J15" i="38"/>
  <c r="I15" i="38"/>
  <c r="H15" i="38"/>
  <c r="G15" i="38"/>
  <c r="K14" i="38"/>
  <c r="J14" i="38"/>
  <c r="I14" i="38"/>
  <c r="H14" i="38"/>
  <c r="G14" i="38"/>
  <c r="K13" i="38"/>
  <c r="J13" i="38"/>
  <c r="I13" i="38"/>
  <c r="H13" i="38"/>
  <c r="G13" i="38"/>
  <c r="K12" i="38"/>
  <c r="J12" i="38"/>
  <c r="I12" i="38"/>
  <c r="H12" i="38"/>
  <c r="G12" i="38"/>
  <c r="K11" i="38"/>
  <c r="J11" i="38"/>
  <c r="I11" i="38"/>
  <c r="H11" i="38"/>
  <c r="G11" i="38"/>
  <c r="J10" i="38"/>
  <c r="I10" i="38"/>
  <c r="K10" i="38" s="1"/>
  <c r="H10" i="38"/>
  <c r="G10" i="38"/>
  <c r="J9" i="38"/>
  <c r="I9" i="38"/>
  <c r="K9" i="38" s="1"/>
  <c r="H9" i="38"/>
  <c r="G9" i="38"/>
  <c r="J8" i="38"/>
  <c r="I8" i="38"/>
  <c r="K8" i="38" s="1"/>
  <c r="H8" i="38"/>
  <c r="G8" i="38"/>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L9" i="34"/>
  <c r="L8" i="34"/>
  <c r="L7" i="34"/>
  <c r="L6"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H40" i="34"/>
  <c r="H39" i="34"/>
  <c r="H38" i="34"/>
  <c r="H37" i="34"/>
  <c r="H36" i="34"/>
  <c r="H35" i="34"/>
  <c r="H34" i="34"/>
  <c r="H33" i="34"/>
  <c r="H32" i="34"/>
  <c r="H31" i="34"/>
  <c r="H30" i="34"/>
  <c r="H29" i="34"/>
  <c r="H28" i="34"/>
  <c r="H27" i="34"/>
  <c r="H26" i="34"/>
  <c r="H25" i="34"/>
  <c r="H24" i="34"/>
  <c r="H23" i="34"/>
  <c r="H22" i="34"/>
  <c r="H21" i="34"/>
  <c r="H20" i="34"/>
  <c r="H19" i="34"/>
  <c r="H18" i="34"/>
  <c r="H17" i="34"/>
  <c r="H16" i="34"/>
  <c r="H15" i="34"/>
  <c r="H14" i="34"/>
  <c r="H13" i="34"/>
  <c r="H12" i="34"/>
  <c r="H11" i="34"/>
  <c r="H10" i="34"/>
  <c r="H9" i="34"/>
  <c r="H8" i="34"/>
  <c r="H7" i="34"/>
  <c r="H6" i="34"/>
  <c r="N40" i="34"/>
  <c r="N39" i="34"/>
  <c r="N38" i="34"/>
  <c r="N37" i="34"/>
  <c r="N36" i="34"/>
  <c r="N35" i="34"/>
  <c r="N34" i="34"/>
  <c r="N33" i="34"/>
  <c r="N32" i="34"/>
  <c r="N31" i="34"/>
  <c r="N30" i="34"/>
  <c r="N29" i="34"/>
  <c r="N28" i="34"/>
  <c r="N27" i="34"/>
  <c r="N26" i="34"/>
  <c r="N25" i="34"/>
  <c r="N24" i="34"/>
  <c r="N23" i="34"/>
  <c r="N22" i="34"/>
  <c r="N21" i="34"/>
  <c r="N20" i="34"/>
  <c r="N19" i="34"/>
  <c r="N18" i="34"/>
  <c r="N17" i="34"/>
  <c r="N16" i="34"/>
  <c r="N15" i="34"/>
  <c r="N14" i="34"/>
  <c r="N13" i="34"/>
  <c r="N12" i="34"/>
  <c r="N11" i="34"/>
  <c r="N10" i="34"/>
  <c r="N9" i="34"/>
  <c r="N8" i="34"/>
  <c r="N7" i="34"/>
  <c r="N6" i="34"/>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7" i="30"/>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13" i="8"/>
  <c r="J13" i="8"/>
  <c r="I13" i="8"/>
  <c r="H13" i="8"/>
  <c r="G13" i="8"/>
  <c r="K12" i="8"/>
  <c r="J12" i="8"/>
  <c r="I12" i="8"/>
  <c r="H12" i="8"/>
  <c r="G12" i="8"/>
  <c r="K11" i="8"/>
  <c r="J11" i="8"/>
  <c r="I11" i="8"/>
  <c r="H11" i="8"/>
  <c r="G11" i="8"/>
  <c r="J10" i="8"/>
  <c r="I10" i="8"/>
  <c r="K10" i="8" s="1"/>
  <c r="H10" i="8"/>
  <c r="G10" i="8"/>
  <c r="J9" i="8"/>
  <c r="I9" i="8"/>
  <c r="K9" i="8" s="1"/>
  <c r="H9" i="8"/>
  <c r="G9" i="8"/>
  <c r="J8" i="8"/>
  <c r="I8" i="8"/>
  <c r="K8" i="8" s="1"/>
  <c r="H8" i="8"/>
  <c r="G8" i="8"/>
  <c r="J7" i="8"/>
  <c r="I7" i="8"/>
  <c r="K7" i="8" s="1"/>
  <c r="H7" i="8"/>
  <c r="G7" i="8"/>
  <c r="J6" i="8"/>
  <c r="I6" i="8"/>
  <c r="K6" i="8" s="1"/>
  <c r="H6" i="8"/>
  <c r="G6" i="8"/>
  <c r="P74" i="29"/>
  <c r="P73" i="29"/>
  <c r="P72" i="29"/>
  <c r="P71" i="29"/>
  <c r="P70" i="29"/>
  <c r="P69" i="29"/>
  <c r="P68" i="29"/>
  <c r="P67" i="29"/>
  <c r="P66" i="29"/>
  <c r="P65" i="29"/>
  <c r="P64" i="29"/>
  <c r="P63" i="29"/>
  <c r="P62" i="29"/>
  <c r="P61" i="29"/>
  <c r="P60" i="29"/>
  <c r="P59" i="29"/>
  <c r="P58" i="29"/>
  <c r="P57" i="29"/>
  <c r="P56" i="29"/>
  <c r="P52" i="29"/>
  <c r="P51" i="29"/>
  <c r="P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4" i="29"/>
  <c r="H7" i="30"/>
  <c r="G7" i="30"/>
  <c r="F7" i="30"/>
  <c r="E7" i="30"/>
  <c r="D7" i="30"/>
  <c r="H76" i="30"/>
  <c r="G76" i="30"/>
  <c r="F76" i="30"/>
  <c r="E76" i="30"/>
  <c r="D76" i="30"/>
  <c r="H75" i="30"/>
  <c r="G75" i="30"/>
  <c r="F75" i="30"/>
  <c r="E75" i="30"/>
  <c r="D75" i="30"/>
  <c r="H74" i="30"/>
  <c r="G74" i="30"/>
  <c r="F74" i="30"/>
  <c r="E74" i="30"/>
  <c r="D74" i="30"/>
  <c r="H73" i="30"/>
  <c r="G73" i="30"/>
  <c r="F73" i="30"/>
  <c r="E73" i="30"/>
  <c r="D73" i="30"/>
  <c r="H72" i="30"/>
  <c r="G72" i="30"/>
  <c r="F72" i="30"/>
  <c r="E72" i="30"/>
  <c r="D72" i="30"/>
  <c r="H71" i="30"/>
  <c r="G71" i="30"/>
  <c r="F71" i="30"/>
  <c r="E71" i="30"/>
  <c r="D71" i="30"/>
  <c r="H70" i="30"/>
  <c r="G70" i="30"/>
  <c r="F70" i="30"/>
  <c r="E70" i="30"/>
  <c r="D70" i="30"/>
  <c r="H69" i="30"/>
  <c r="G69" i="30"/>
  <c r="F69" i="30"/>
  <c r="E69" i="30"/>
  <c r="D69" i="30"/>
  <c r="H68" i="30"/>
  <c r="G68" i="30"/>
  <c r="F68" i="30"/>
  <c r="E68" i="30"/>
  <c r="D68" i="30"/>
  <c r="H67" i="30"/>
  <c r="G67" i="30"/>
  <c r="F67" i="30"/>
  <c r="E67" i="30"/>
  <c r="D67" i="30"/>
  <c r="H66" i="30"/>
  <c r="G66" i="30"/>
  <c r="F66" i="30"/>
  <c r="E66" i="30"/>
  <c r="D66" i="30"/>
  <c r="H65" i="30"/>
  <c r="G65" i="30"/>
  <c r="F65" i="30"/>
  <c r="E65" i="30"/>
  <c r="D65" i="30"/>
  <c r="H64" i="30"/>
  <c r="G64" i="30"/>
  <c r="F64" i="30"/>
  <c r="E64" i="30"/>
  <c r="D64" i="30"/>
  <c r="H63" i="30"/>
  <c r="G63" i="30"/>
  <c r="F63" i="30"/>
  <c r="E63" i="30"/>
  <c r="D63" i="30"/>
  <c r="H62" i="30"/>
  <c r="G62" i="30"/>
  <c r="F62" i="30"/>
  <c r="E62" i="30"/>
  <c r="D62" i="30"/>
  <c r="H61" i="30"/>
  <c r="G61" i="30"/>
  <c r="F61" i="30"/>
  <c r="E61" i="30"/>
  <c r="D61" i="30"/>
  <c r="H60" i="30"/>
  <c r="G60" i="30"/>
  <c r="F60" i="30"/>
  <c r="E60" i="30"/>
  <c r="D60" i="30"/>
  <c r="H59" i="30"/>
  <c r="G59" i="30"/>
  <c r="F59" i="30"/>
  <c r="E59" i="30"/>
  <c r="D59" i="30"/>
  <c r="H58" i="30"/>
  <c r="G58" i="30"/>
  <c r="F58" i="30"/>
  <c r="E58" i="30"/>
  <c r="D58" i="30"/>
  <c r="H57" i="30"/>
  <c r="G57" i="30"/>
  <c r="F57" i="30"/>
  <c r="E57" i="30"/>
  <c r="D57" i="30"/>
  <c r="H56" i="30"/>
  <c r="G56" i="30"/>
  <c r="F56" i="30"/>
  <c r="E56" i="30"/>
  <c r="D56" i="30"/>
  <c r="D55" i="30"/>
  <c r="H55" i="30"/>
  <c r="H53" i="30"/>
  <c r="G53" i="30"/>
  <c r="F53" i="30"/>
  <c r="E53" i="30"/>
  <c r="D53" i="30"/>
  <c r="H52" i="30"/>
  <c r="G52" i="30"/>
  <c r="F52" i="30"/>
  <c r="E52" i="30"/>
  <c r="D52" i="30"/>
  <c r="H51" i="30"/>
  <c r="G51" i="30"/>
  <c r="F51" i="30"/>
  <c r="E51" i="30"/>
  <c r="D51" i="30"/>
  <c r="H50" i="30"/>
  <c r="G50" i="30"/>
  <c r="F50" i="30"/>
  <c r="E50" i="30"/>
  <c r="D50" i="30"/>
  <c r="H49" i="30"/>
  <c r="G49" i="30"/>
  <c r="F49" i="30"/>
  <c r="E49" i="30"/>
  <c r="D49" i="30"/>
  <c r="H48" i="30"/>
  <c r="G48" i="30"/>
  <c r="F48" i="30"/>
  <c r="E48" i="30"/>
  <c r="D48" i="30"/>
  <c r="H47" i="30"/>
  <c r="G47" i="30"/>
  <c r="F47" i="30"/>
  <c r="E47" i="30"/>
  <c r="D47" i="30"/>
  <c r="H46" i="30"/>
  <c r="G46" i="30"/>
  <c r="F46" i="30"/>
  <c r="E46" i="30"/>
  <c r="D46" i="30"/>
  <c r="H45" i="30"/>
  <c r="G45" i="30"/>
  <c r="F45" i="30"/>
  <c r="E45" i="30"/>
  <c r="D45" i="30"/>
  <c r="H44" i="30"/>
  <c r="G44" i="30"/>
  <c r="F44" i="30"/>
  <c r="E44" i="30"/>
  <c r="D44" i="30"/>
  <c r="H43" i="30"/>
  <c r="G43" i="30"/>
  <c r="F43" i="30"/>
  <c r="E43" i="30"/>
  <c r="D43" i="30"/>
  <c r="H42" i="30"/>
  <c r="G42" i="30"/>
  <c r="F42" i="30"/>
  <c r="E42" i="30"/>
  <c r="D42" i="30"/>
  <c r="H41" i="30"/>
  <c r="G41" i="30"/>
  <c r="F41" i="30"/>
  <c r="E41" i="30"/>
  <c r="D41" i="30"/>
  <c r="H40" i="30"/>
  <c r="G40" i="30"/>
  <c r="F40" i="30"/>
  <c r="E40" i="30"/>
  <c r="D40" i="30"/>
  <c r="H39" i="30"/>
  <c r="G39" i="30"/>
  <c r="F39" i="30"/>
  <c r="E39" i="30"/>
  <c r="D39" i="30"/>
  <c r="H38" i="30"/>
  <c r="G38" i="30"/>
  <c r="F38" i="30"/>
  <c r="E38" i="30"/>
  <c r="D38" i="30"/>
  <c r="H37" i="30"/>
  <c r="G37" i="30"/>
  <c r="F37" i="30"/>
  <c r="E37" i="30"/>
  <c r="D37" i="30"/>
  <c r="H36" i="30"/>
  <c r="G36" i="30"/>
  <c r="F36" i="30"/>
  <c r="E36" i="30"/>
  <c r="D36" i="30"/>
  <c r="H35" i="30"/>
  <c r="G35" i="30"/>
  <c r="F35" i="30"/>
  <c r="E35" i="30"/>
  <c r="D35" i="30"/>
  <c r="H34" i="30"/>
  <c r="G34" i="30"/>
  <c r="F34" i="30"/>
  <c r="E34" i="30"/>
  <c r="D34" i="30"/>
  <c r="H33" i="30"/>
  <c r="G33" i="30"/>
  <c r="F33" i="30"/>
  <c r="E33" i="30"/>
  <c r="D33" i="30"/>
  <c r="H32" i="30"/>
  <c r="G32" i="30"/>
  <c r="F32" i="30"/>
  <c r="E32" i="30"/>
  <c r="D32" i="30"/>
  <c r="H29" i="30"/>
  <c r="G29" i="30"/>
  <c r="F29" i="30"/>
  <c r="E29" i="30"/>
  <c r="D29" i="30"/>
  <c r="H28" i="30"/>
  <c r="G28" i="30"/>
  <c r="F28" i="30"/>
  <c r="E28" i="30"/>
  <c r="D28" i="30"/>
  <c r="H27" i="30"/>
  <c r="G27" i="30"/>
  <c r="F27" i="30"/>
  <c r="E27" i="30"/>
  <c r="D27" i="30"/>
  <c r="H26" i="30"/>
  <c r="G26" i="30"/>
  <c r="F26" i="30"/>
  <c r="E26" i="30"/>
  <c r="D26" i="30"/>
  <c r="H25" i="30"/>
  <c r="G25" i="30"/>
  <c r="F25" i="30"/>
  <c r="E25" i="30"/>
  <c r="D25" i="30"/>
  <c r="H24" i="30"/>
  <c r="G24" i="30"/>
  <c r="F24" i="30"/>
  <c r="E24" i="30"/>
  <c r="D24" i="30"/>
  <c r="H23" i="30"/>
  <c r="G23" i="30"/>
  <c r="F23" i="30"/>
  <c r="E23" i="30"/>
  <c r="D23" i="30"/>
  <c r="H22" i="30"/>
  <c r="G22" i="30"/>
  <c r="F22" i="30"/>
  <c r="E22" i="30"/>
  <c r="D22" i="30"/>
  <c r="H21" i="30"/>
  <c r="G21" i="30"/>
  <c r="F21" i="30"/>
  <c r="E21" i="30"/>
  <c r="D21" i="30"/>
  <c r="H20" i="30"/>
  <c r="G20" i="30"/>
  <c r="F20" i="30"/>
  <c r="E20" i="30"/>
  <c r="D20" i="30"/>
  <c r="H19" i="30"/>
  <c r="G19" i="30"/>
  <c r="F19" i="30"/>
  <c r="E19" i="30"/>
  <c r="D19" i="30"/>
  <c r="H18" i="30"/>
  <c r="G18" i="30"/>
  <c r="F18" i="30"/>
  <c r="E18" i="30"/>
  <c r="D18" i="30"/>
  <c r="H17" i="30"/>
  <c r="G17" i="30"/>
  <c r="F17" i="30"/>
  <c r="E17" i="30"/>
  <c r="D17" i="30"/>
  <c r="H16" i="30"/>
  <c r="G16" i="30"/>
  <c r="F16" i="30"/>
  <c r="E16" i="30"/>
  <c r="D16" i="30"/>
  <c r="H15" i="30"/>
  <c r="G15" i="30"/>
  <c r="F15" i="30"/>
  <c r="E15" i="30"/>
  <c r="D15" i="30"/>
  <c r="H14" i="30"/>
  <c r="G14" i="30"/>
  <c r="F14" i="30"/>
  <c r="E14" i="30"/>
  <c r="D14" i="30"/>
  <c r="H13" i="30"/>
  <c r="G13" i="30"/>
  <c r="F13" i="30"/>
  <c r="E13" i="30"/>
  <c r="D13" i="30"/>
  <c r="H12" i="30"/>
  <c r="G12" i="30"/>
  <c r="F12" i="30"/>
  <c r="E12" i="30"/>
  <c r="D12" i="30"/>
  <c r="H11" i="30"/>
  <c r="G11" i="30"/>
  <c r="F11" i="30"/>
  <c r="E11" i="30"/>
  <c r="D11" i="30"/>
  <c r="H10" i="30"/>
  <c r="G10" i="30"/>
  <c r="F10" i="30"/>
  <c r="E10" i="30"/>
  <c r="D10" i="30"/>
  <c r="H9" i="30"/>
  <c r="G9" i="30"/>
  <c r="F9" i="30"/>
  <c r="E9" i="30"/>
  <c r="D9" i="30"/>
  <c r="E55" i="30"/>
  <c r="G55" i="30"/>
  <c r="F55" i="30"/>
  <c r="AZ14" i="38" l="1"/>
  <c r="D36" i="31"/>
  <c r="D45" i="31"/>
  <c r="AZ22" i="38"/>
  <c r="AZ23" i="38"/>
  <c r="AZ39" i="38"/>
  <c r="AZ37" i="38"/>
  <c r="AZ40" i="38"/>
  <c r="AZ29" i="38"/>
  <c r="AZ36" i="38"/>
  <c r="AZ26" i="38"/>
  <c r="AZ21" i="38"/>
  <c r="AZ24" i="38"/>
  <c r="AZ34" i="38"/>
  <c r="AZ30" i="38"/>
  <c r="AZ25" i="38"/>
  <c r="AZ16" i="38"/>
  <c r="AZ32" i="38"/>
  <c r="AZ15" i="38"/>
  <c r="AZ31" i="38"/>
  <c r="AZ28" i="38"/>
  <c r="AZ27" i="38"/>
  <c r="AZ18" i="38"/>
  <c r="AZ17" i="38"/>
  <c r="AZ33" i="38"/>
  <c r="AZ20" i="38"/>
  <c r="AZ19" i="38"/>
  <c r="AZ35" i="38"/>
  <c r="AZ38" i="38"/>
  <c r="AJ40" i="38"/>
  <c r="AB40" i="38"/>
  <c r="AA40" i="38"/>
  <c r="AJ39" i="38"/>
  <c r="AB39" i="38"/>
  <c r="AA39" i="38"/>
  <c r="AJ38" i="38"/>
  <c r="AB38" i="38"/>
  <c r="AA38" i="38"/>
  <c r="AJ37" i="38"/>
  <c r="AB37" i="38"/>
  <c r="AA37" i="38"/>
  <c r="AJ36" i="38"/>
  <c r="AB36" i="38"/>
  <c r="AA36" i="38"/>
  <c r="AJ35" i="38"/>
  <c r="AB35" i="38"/>
  <c r="AA35" i="38"/>
  <c r="AJ34" i="38"/>
  <c r="AB34" i="38"/>
  <c r="AA34" i="38"/>
  <c r="AJ33" i="38"/>
  <c r="AB33" i="38"/>
  <c r="AA33" i="38"/>
  <c r="AJ32" i="38"/>
  <c r="AB32" i="38"/>
  <c r="AA32" i="38"/>
  <c r="AJ31" i="38"/>
  <c r="AB31" i="38"/>
  <c r="AA31" i="38"/>
  <c r="AJ30" i="38"/>
  <c r="AB30" i="38"/>
  <c r="AA30" i="38"/>
  <c r="AJ29" i="38"/>
  <c r="AB29" i="38"/>
  <c r="AA29" i="38"/>
  <c r="AJ28" i="38"/>
  <c r="AB28" i="38"/>
  <c r="AA28" i="38"/>
  <c r="AJ27" i="38"/>
  <c r="AB27" i="38"/>
  <c r="AA27" i="38"/>
  <c r="AJ26" i="38"/>
  <c r="AB26" i="38"/>
  <c r="AA26" i="38"/>
  <c r="AJ25" i="38"/>
  <c r="AB25" i="38"/>
  <c r="AA25" i="38"/>
  <c r="AJ24" i="38"/>
  <c r="AB24" i="38"/>
  <c r="AA24" i="38"/>
  <c r="AJ23" i="38"/>
  <c r="AB23" i="38"/>
  <c r="AA23" i="38"/>
  <c r="AJ22" i="38"/>
  <c r="AB22" i="38"/>
  <c r="AA22" i="38"/>
  <c r="AJ21" i="38"/>
  <c r="AB21" i="38"/>
  <c r="AA21" i="38"/>
  <c r="AJ20" i="38"/>
  <c r="AB20" i="38"/>
  <c r="AA20" i="38"/>
  <c r="AJ19" i="38"/>
  <c r="AB19" i="38"/>
  <c r="AA19" i="38"/>
  <c r="AJ18" i="38"/>
  <c r="AB18" i="38"/>
  <c r="AA18" i="38"/>
  <c r="AJ17" i="38"/>
  <c r="AB17" i="38"/>
  <c r="AA17" i="38"/>
  <c r="AJ16" i="38"/>
  <c r="AB16" i="38"/>
  <c r="AA16" i="38"/>
  <c r="AJ15" i="38"/>
  <c r="AB15" i="38"/>
  <c r="AA15" i="38"/>
  <c r="AJ14" i="38"/>
  <c r="AB14" i="38"/>
  <c r="AA14" i="38"/>
  <c r="AJ13" i="38"/>
  <c r="AB13" i="38"/>
  <c r="AA13" i="38"/>
  <c r="AJ12" i="38"/>
  <c r="AB12" i="38"/>
  <c r="AA12" i="38"/>
  <c r="AJ40" i="8"/>
  <c r="AB40" i="8"/>
  <c r="AA40" i="8"/>
  <c r="AJ39" i="8"/>
  <c r="AB39" i="8"/>
  <c r="AA39" i="8"/>
  <c r="AJ38" i="8"/>
  <c r="AB38" i="8"/>
  <c r="AA38" i="8"/>
  <c r="AJ37" i="8"/>
  <c r="AB37" i="8"/>
  <c r="AA37" i="8"/>
  <c r="AJ36" i="8"/>
  <c r="AB36" i="8"/>
  <c r="AA36" i="8"/>
  <c r="AJ35" i="8"/>
  <c r="AB35" i="8"/>
  <c r="AA35" i="8"/>
  <c r="AJ34" i="8"/>
  <c r="AB34" i="8"/>
  <c r="AA34" i="8"/>
  <c r="AJ33" i="8"/>
  <c r="AB33" i="8"/>
  <c r="AA33" i="8"/>
  <c r="AJ32" i="8"/>
  <c r="AB32" i="8"/>
  <c r="AA32" i="8"/>
  <c r="AJ31" i="8"/>
  <c r="AB31" i="8"/>
  <c r="AA31" i="8"/>
  <c r="AJ30" i="8"/>
  <c r="AB30" i="8"/>
  <c r="AA30" i="8"/>
  <c r="AJ29" i="8"/>
  <c r="AB29" i="8"/>
  <c r="AA29" i="8"/>
  <c r="AJ28" i="8"/>
  <c r="AB28" i="8"/>
  <c r="AA28" i="8"/>
  <c r="AJ27" i="8"/>
  <c r="AB27" i="8"/>
  <c r="AA27" i="8"/>
  <c r="AJ26" i="8"/>
  <c r="AB26" i="8"/>
  <c r="AA26" i="8"/>
  <c r="AJ25" i="8"/>
  <c r="AB25" i="8"/>
  <c r="AA25" i="8"/>
  <c r="AJ24" i="8"/>
  <c r="AB24" i="8"/>
  <c r="AA24" i="8"/>
  <c r="AJ23" i="8"/>
  <c r="AB23" i="8"/>
  <c r="AA23" i="8"/>
  <c r="AJ22" i="8"/>
  <c r="AB22" i="8"/>
  <c r="AA22" i="8"/>
  <c r="AJ21" i="8"/>
  <c r="AB21" i="8"/>
  <c r="AA21" i="8"/>
  <c r="AJ20" i="8"/>
  <c r="AB20" i="8"/>
  <c r="AA20" i="8"/>
  <c r="AJ19" i="8"/>
  <c r="AB19" i="8"/>
  <c r="AA19" i="8"/>
  <c r="AJ18" i="8"/>
  <c r="AB18" i="8"/>
  <c r="AA18" i="8"/>
  <c r="AJ17" i="8"/>
  <c r="AB17" i="8"/>
  <c r="AA17" i="8"/>
  <c r="AJ16" i="8"/>
  <c r="AB16" i="8"/>
  <c r="AA16" i="8"/>
  <c r="AJ15" i="8"/>
  <c r="AB15" i="8"/>
  <c r="AA15" i="8"/>
  <c r="AJ14" i="8"/>
  <c r="AB14" i="8"/>
  <c r="AA14" i="8"/>
  <c r="AJ13" i="8"/>
  <c r="AB13" i="8"/>
  <c r="AA13" i="8"/>
  <c r="AJ12" i="8"/>
  <c r="AB12" i="8"/>
  <c r="AA12" i="8"/>
  <c r="AJ11" i="8"/>
  <c r="AB11" i="8"/>
  <c r="AA11" i="8"/>
  <c r="AA10" i="8"/>
  <c r="AB10" i="8" s="1"/>
  <c r="AA9" i="8"/>
  <c r="AB9" i="8" s="1"/>
  <c r="AA8" i="8"/>
  <c r="AB8" i="8" s="1"/>
  <c r="AA7" i="8"/>
  <c r="AB7" i="8" s="1"/>
  <c r="AV40" i="34"/>
  <c r="AN40" i="34"/>
  <c r="AM40" i="34"/>
  <c r="AV39" i="34"/>
  <c r="AN39" i="34"/>
  <c r="AM39" i="34"/>
  <c r="AV38" i="34"/>
  <c r="AN38" i="34"/>
  <c r="AM38" i="34"/>
  <c r="AV37" i="34"/>
  <c r="AN37" i="34"/>
  <c r="AM37" i="34"/>
  <c r="AV36" i="34"/>
  <c r="AN36" i="34"/>
  <c r="AM36" i="34"/>
  <c r="AV35" i="34"/>
  <c r="AN35" i="34"/>
  <c r="AM35" i="34"/>
  <c r="AV34" i="34"/>
  <c r="AN34" i="34"/>
  <c r="AM34" i="34"/>
  <c r="AV33" i="34"/>
  <c r="AN33" i="34"/>
  <c r="AM33" i="34"/>
  <c r="AV32" i="34"/>
  <c r="AN32" i="34"/>
  <c r="AM32" i="34"/>
  <c r="AV31" i="34"/>
  <c r="AN31" i="34"/>
  <c r="AM31" i="34"/>
  <c r="AV30" i="34"/>
  <c r="AN30" i="34"/>
  <c r="AM30" i="34"/>
  <c r="AV29" i="34"/>
  <c r="AN29" i="34"/>
  <c r="AM29" i="34"/>
  <c r="AV28" i="34"/>
  <c r="AN28" i="34"/>
  <c r="AM28" i="34"/>
  <c r="AV27" i="34"/>
  <c r="AN27" i="34"/>
  <c r="AM27" i="34"/>
  <c r="AV26" i="34"/>
  <c r="AN26" i="34"/>
  <c r="AM26" i="34"/>
  <c r="AV25" i="34"/>
  <c r="AN25" i="34"/>
  <c r="AM25" i="34"/>
  <c r="AV24" i="34"/>
  <c r="AN24" i="34"/>
  <c r="AM24" i="34"/>
  <c r="AV23" i="34"/>
  <c r="AN23" i="34"/>
  <c r="AM23" i="34"/>
  <c r="AV22" i="34"/>
  <c r="AN22" i="34"/>
  <c r="AM22" i="34"/>
  <c r="AV21" i="34"/>
  <c r="AN21" i="34"/>
  <c r="AM21" i="34"/>
  <c r="AV20" i="34"/>
  <c r="AN20" i="34"/>
  <c r="AM20" i="34"/>
  <c r="AV19" i="34"/>
  <c r="AN19" i="34"/>
  <c r="AM19" i="34"/>
  <c r="AV18" i="34"/>
  <c r="AN18" i="34"/>
  <c r="AM18" i="34"/>
  <c r="AV17" i="34"/>
  <c r="AN17" i="34"/>
  <c r="AM17" i="34"/>
  <c r="AV16" i="34"/>
  <c r="AN16" i="34"/>
  <c r="AM16" i="34"/>
  <c r="AV15" i="34"/>
  <c r="AN15" i="34"/>
  <c r="AM15" i="34"/>
  <c r="AV14" i="34"/>
  <c r="AN14" i="34"/>
  <c r="AM14" i="34"/>
  <c r="AV13" i="34"/>
  <c r="AN13" i="34"/>
  <c r="AM13" i="34"/>
  <c r="AV12" i="34"/>
  <c r="AN12" i="34"/>
  <c r="AM12" i="34"/>
  <c r="AV11" i="34"/>
  <c r="AN11" i="34"/>
  <c r="AM11" i="34"/>
  <c r="AV10" i="34"/>
  <c r="AN10" i="34"/>
  <c r="AM10" i="34"/>
  <c r="AV9" i="34"/>
  <c r="AN9" i="34"/>
  <c r="AM9" i="34"/>
  <c r="AV8" i="34"/>
  <c r="AN8" i="34"/>
  <c r="AM8" i="34"/>
  <c r="AM7" i="34"/>
  <c r="AN7" i="34" s="1"/>
  <c r="AP24" i="38" l="1"/>
  <c r="AV24" i="38" s="1"/>
  <c r="AP20" i="8"/>
  <c r="AV20" i="8" s="1"/>
  <c r="AP28" i="38"/>
  <c r="AV28" i="38" s="1"/>
  <c r="AP28" i="8"/>
  <c r="AV28" i="8" s="1"/>
  <c r="BB14" i="34"/>
  <c r="BH14" i="34" s="1"/>
  <c r="BB22" i="34"/>
  <c r="BH22" i="34" s="1"/>
  <c r="AP14" i="8"/>
  <c r="AV14" i="8" s="1"/>
  <c r="AP18" i="8"/>
  <c r="AV18" i="8" s="1"/>
  <c r="AP22" i="8"/>
  <c r="AV22" i="8" s="1"/>
  <c r="AP26" i="8"/>
  <c r="AV26" i="8" s="1"/>
  <c r="AP30" i="8"/>
  <c r="AV30" i="8" s="1"/>
  <c r="AP34" i="8"/>
  <c r="AV34" i="8" s="1"/>
  <c r="AP38" i="8"/>
  <c r="AV38" i="8" s="1"/>
  <c r="AP14" i="38"/>
  <c r="AV14" i="38" s="1"/>
  <c r="AP38" i="38"/>
  <c r="AV38" i="38" s="1"/>
  <c r="AP13" i="38"/>
  <c r="AV13" i="38" s="1"/>
  <c r="AP29" i="38"/>
  <c r="AV29" i="38" s="1"/>
  <c r="AP37" i="38"/>
  <c r="AV37" i="38" s="1"/>
  <c r="AP19" i="38"/>
  <c r="AV19" i="38" s="1"/>
  <c r="AP23" i="38"/>
  <c r="AV23" i="38" s="1"/>
  <c r="AP39" i="38"/>
  <c r="AV39" i="38" s="1"/>
  <c r="AP23" i="8"/>
  <c r="AV23" i="8" s="1"/>
  <c r="AP24" i="8"/>
  <c r="AV24" i="8" s="1"/>
  <c r="BB36" i="34"/>
  <c r="BH36" i="34" s="1"/>
  <c r="BB23" i="34"/>
  <c r="BH23" i="34" s="1"/>
  <c r="BB31" i="34"/>
  <c r="BH31" i="34" s="1"/>
  <c r="BB40" i="34"/>
  <c r="BH40" i="34" s="1"/>
  <c r="BB9" i="34"/>
  <c r="BH9" i="34" s="1"/>
  <c r="BB19" i="34"/>
  <c r="BH19" i="34" s="1"/>
  <c r="BB8" i="34"/>
  <c r="BH8" i="34" s="1"/>
  <c r="BB39" i="34"/>
  <c r="BH39" i="34" s="1"/>
  <c r="AP25" i="38"/>
  <c r="AV25" i="38" s="1"/>
  <c r="AP33" i="38"/>
  <c r="AV33" i="38" s="1"/>
  <c r="BB11" i="34"/>
  <c r="BH11" i="34" s="1"/>
  <c r="AP21" i="38"/>
  <c r="AV21" i="38" s="1"/>
  <c r="BB15" i="34"/>
  <c r="BH15" i="34" s="1"/>
  <c r="AP17" i="38"/>
  <c r="AV17" i="38" s="1"/>
  <c r="AP27" i="38"/>
  <c r="AV27" i="38" s="1"/>
  <c r="AP35" i="38"/>
  <c r="AV35" i="38" s="1"/>
  <c r="BB10" i="34"/>
  <c r="BH10" i="34" s="1"/>
  <c r="BB13" i="34"/>
  <c r="BH13" i="34" s="1"/>
  <c r="BB21" i="34"/>
  <c r="BH21" i="34" s="1"/>
  <c r="BB27" i="34"/>
  <c r="BH27" i="34" s="1"/>
  <c r="AP13" i="8"/>
  <c r="AV13" i="8" s="1"/>
  <c r="BB18" i="34"/>
  <c r="BH18" i="34" s="1"/>
  <c r="BB25" i="34"/>
  <c r="BH25" i="34" s="1"/>
  <c r="BB17" i="34"/>
  <c r="BH17" i="34" s="1"/>
  <c r="BB24" i="34"/>
  <c r="BH24" i="34" s="1"/>
  <c r="BB35" i="34"/>
  <c r="BH35" i="34" s="1"/>
  <c r="BB33" i="34"/>
  <c r="BH33" i="34" s="1"/>
  <c r="BB30" i="34"/>
  <c r="BH30" i="34" s="1"/>
  <c r="BB34" i="34"/>
  <c r="BH34" i="34" s="1"/>
  <c r="AP16" i="8"/>
  <c r="AV16" i="8" s="1"/>
  <c r="AP40" i="8"/>
  <c r="AV40" i="8" s="1"/>
  <c r="AP19" i="8"/>
  <c r="AV19" i="8" s="1"/>
  <c r="AP27" i="8"/>
  <c r="AV27" i="8" s="1"/>
  <c r="AP22" i="38"/>
  <c r="AV22" i="38" s="1"/>
  <c r="AP26" i="38"/>
  <c r="AV26" i="38" s="1"/>
  <c r="AP18" i="38"/>
  <c r="AV18" i="38" s="1"/>
  <c r="AP40" i="38"/>
  <c r="AV40" i="38" s="1"/>
  <c r="AP15" i="38"/>
  <c r="AV15" i="38" s="1"/>
  <c r="AP32" i="38"/>
  <c r="AV32" i="38" s="1"/>
  <c r="AP31" i="38"/>
  <c r="AV31" i="38" s="1"/>
  <c r="AP15" i="8"/>
  <c r="AV15" i="8" s="1"/>
  <c r="AP39" i="8"/>
  <c r="AV39" i="8" s="1"/>
  <c r="AP36" i="38"/>
  <c r="AV36" i="38" s="1"/>
  <c r="AP34" i="38"/>
  <c r="AV34" i="38" s="1"/>
  <c r="AP30" i="38"/>
  <c r="AV30" i="38" s="1"/>
  <c r="AP20" i="38"/>
  <c r="AV20" i="38" s="1"/>
  <c r="AP16" i="38"/>
  <c r="AV16" i="38" s="1"/>
  <c r="AP12" i="38"/>
  <c r="AV12" i="38" s="1"/>
  <c r="AP36" i="8"/>
  <c r="AV36" i="8" s="1"/>
  <c r="AP17" i="8"/>
  <c r="AV17" i="8" s="1"/>
  <c r="AP32" i="8"/>
  <c r="AV32" i="8" s="1"/>
  <c r="AP12" i="8"/>
  <c r="AV12" i="8" s="1"/>
  <c r="AP31" i="8"/>
  <c r="AV31" i="8" s="1"/>
  <c r="AP37" i="8"/>
  <c r="AV37" i="8" s="1"/>
  <c r="AP35" i="8"/>
  <c r="AV35" i="8" s="1"/>
  <c r="AP33" i="8"/>
  <c r="AV33" i="8" s="1"/>
  <c r="AP29" i="8"/>
  <c r="AV29" i="8" s="1"/>
  <c r="AP25" i="8"/>
  <c r="AV25" i="8" s="1"/>
  <c r="AP21" i="8"/>
  <c r="AV21" i="8" s="1"/>
  <c r="AP11" i="8"/>
  <c r="AV11" i="8" s="1"/>
  <c r="BB38" i="34"/>
  <c r="BH38" i="34" s="1"/>
  <c r="BB37" i="34"/>
  <c r="BH37" i="34" s="1"/>
  <c r="BB32" i="34"/>
  <c r="BH32" i="34" s="1"/>
  <c r="BB29" i="34"/>
  <c r="BH29" i="34" s="1"/>
  <c r="BB28" i="34"/>
  <c r="BH28" i="34" s="1"/>
  <c r="BB26" i="34"/>
  <c r="BH26" i="34" s="1"/>
  <c r="BB20" i="34"/>
  <c r="BH20" i="34" s="1"/>
  <c r="BB16" i="34"/>
  <c r="BH16" i="34" s="1"/>
  <c r="BB12" i="34"/>
  <c r="BH12" i="34" s="1"/>
  <c r="R40" i="8" l="1"/>
  <c r="R39" i="8"/>
  <c r="R38" i="8"/>
  <c r="R37" i="8"/>
  <c r="R36" i="8"/>
  <c r="R35" i="8"/>
  <c r="R34" i="8"/>
  <c r="R33" i="8"/>
  <c r="R32" i="8"/>
  <c r="R31" i="8"/>
  <c r="R30" i="8"/>
  <c r="R29" i="8"/>
  <c r="R28" i="8"/>
  <c r="R27" i="8"/>
  <c r="R26" i="8"/>
  <c r="R25" i="8"/>
  <c r="R24" i="8"/>
  <c r="R23" i="8"/>
  <c r="R22" i="8"/>
  <c r="R21" i="8"/>
  <c r="R20" i="8"/>
  <c r="R19" i="8"/>
  <c r="R18" i="8"/>
  <c r="R17" i="8"/>
  <c r="R16" i="8"/>
  <c r="R15" i="8"/>
  <c r="R14" i="8"/>
  <c r="R13" i="8"/>
  <c r="R12" i="8"/>
  <c r="R11" i="8"/>
  <c r="R10" i="8"/>
  <c r="R9" i="8"/>
  <c r="R8" i="8"/>
  <c r="R7" i="8"/>
  <c r="R6" i="8"/>
  <c r="A2" i="34"/>
  <c r="X22" i="8" l="1"/>
  <c r="W22" i="8"/>
  <c r="V22" i="8"/>
  <c r="Z22" i="8"/>
  <c r="Y22" i="8"/>
  <c r="Y7" i="8"/>
  <c r="X7" i="8"/>
  <c r="W7" i="8"/>
  <c r="V7" i="8"/>
  <c r="Z7" i="8"/>
  <c r="Z31" i="8"/>
  <c r="Y31" i="8"/>
  <c r="X31" i="8"/>
  <c r="W31" i="8"/>
  <c r="V31" i="8"/>
  <c r="X16" i="8"/>
  <c r="W16" i="8"/>
  <c r="V16" i="8"/>
  <c r="Z16" i="8"/>
  <c r="Y16" i="8"/>
  <c r="X40" i="8"/>
  <c r="W40" i="8"/>
  <c r="V40" i="8"/>
  <c r="Z40" i="8"/>
  <c r="Y40" i="8"/>
  <c r="Z25" i="8"/>
  <c r="Y25" i="8"/>
  <c r="X25" i="8"/>
  <c r="W25" i="8"/>
  <c r="V25" i="8"/>
  <c r="W33" i="8"/>
  <c r="V33" i="8"/>
  <c r="Z33" i="8"/>
  <c r="Y33" i="8"/>
  <c r="X33" i="8"/>
  <c r="Z10" i="8"/>
  <c r="Y10" i="8"/>
  <c r="X10" i="8"/>
  <c r="W10" i="8"/>
  <c r="V10" i="8"/>
  <c r="Z18" i="8"/>
  <c r="Y18" i="8"/>
  <c r="X18" i="8"/>
  <c r="W18" i="8"/>
  <c r="V18" i="8"/>
  <c r="Z26" i="8"/>
  <c r="Y26" i="8"/>
  <c r="X26" i="8"/>
  <c r="W26" i="8"/>
  <c r="V26" i="8"/>
  <c r="X34" i="8"/>
  <c r="W34" i="8"/>
  <c r="V34" i="8"/>
  <c r="Z34" i="8"/>
  <c r="Y34" i="8"/>
  <c r="V14" i="8"/>
  <c r="Z14" i="8"/>
  <c r="Y14" i="8"/>
  <c r="X14" i="8"/>
  <c r="W14" i="8"/>
  <c r="V38" i="8"/>
  <c r="Z38" i="8"/>
  <c r="Y38" i="8"/>
  <c r="X38" i="8"/>
  <c r="W38" i="8"/>
  <c r="Z23" i="8"/>
  <c r="Y23" i="8"/>
  <c r="X23" i="8"/>
  <c r="W23" i="8"/>
  <c r="V23" i="8"/>
  <c r="X39" i="8"/>
  <c r="W39" i="8"/>
  <c r="V39" i="8"/>
  <c r="Z39" i="8"/>
  <c r="Y39" i="8"/>
  <c r="Z32" i="8"/>
  <c r="Y32" i="8"/>
  <c r="X32" i="8"/>
  <c r="W32" i="8"/>
  <c r="V32" i="8"/>
  <c r="Z9" i="8"/>
  <c r="Y9" i="8"/>
  <c r="X9" i="8"/>
  <c r="W9" i="8"/>
  <c r="V9" i="8"/>
  <c r="Z11" i="8"/>
  <c r="Y11" i="8"/>
  <c r="X11" i="8"/>
  <c r="W11" i="8"/>
  <c r="V11" i="8"/>
  <c r="Z27" i="8"/>
  <c r="Y27" i="8"/>
  <c r="X27" i="8"/>
  <c r="W27" i="8"/>
  <c r="V27" i="8"/>
  <c r="V12" i="8"/>
  <c r="Z12" i="8"/>
  <c r="Y12" i="8"/>
  <c r="X12" i="8"/>
  <c r="W12" i="8"/>
  <c r="V28" i="8"/>
  <c r="Z28" i="8"/>
  <c r="Y28" i="8"/>
  <c r="X28" i="8"/>
  <c r="W28" i="8"/>
  <c r="Z36" i="8"/>
  <c r="Y36" i="8"/>
  <c r="X36" i="8"/>
  <c r="W36" i="8"/>
  <c r="V36" i="8"/>
  <c r="Y6" i="8"/>
  <c r="X6" i="8"/>
  <c r="W6" i="8"/>
  <c r="V6" i="8"/>
  <c r="Y30" i="8"/>
  <c r="X30" i="8"/>
  <c r="W30" i="8"/>
  <c r="V30" i="8"/>
  <c r="Z30" i="8"/>
  <c r="X15" i="8"/>
  <c r="W15" i="8"/>
  <c r="V15" i="8"/>
  <c r="Z15" i="8"/>
  <c r="Y15" i="8"/>
  <c r="Z8" i="8"/>
  <c r="Y8" i="8"/>
  <c r="X8" i="8"/>
  <c r="W8" i="8"/>
  <c r="V8" i="8"/>
  <c r="Z24" i="8"/>
  <c r="Y24" i="8"/>
  <c r="X24" i="8"/>
  <c r="W24" i="8"/>
  <c r="V24" i="8"/>
  <c r="Z17" i="8"/>
  <c r="Y17" i="8"/>
  <c r="X17" i="8"/>
  <c r="W17" i="8"/>
  <c r="V17" i="8"/>
  <c r="Z19" i="8"/>
  <c r="Y19" i="8"/>
  <c r="X19" i="8"/>
  <c r="W19" i="8"/>
  <c r="V19" i="8"/>
  <c r="Z35" i="8"/>
  <c r="Y35" i="8"/>
  <c r="X35" i="8"/>
  <c r="W35" i="8"/>
  <c r="V35" i="8"/>
  <c r="Z20" i="8"/>
  <c r="Y20" i="8"/>
  <c r="X20" i="8"/>
  <c r="W20" i="8"/>
  <c r="V20" i="8"/>
  <c r="X13" i="8"/>
  <c r="W13" i="8"/>
  <c r="V13" i="8"/>
  <c r="Z13" i="8"/>
  <c r="Y13" i="8"/>
  <c r="W21" i="8"/>
  <c r="V21" i="8"/>
  <c r="Z21" i="8"/>
  <c r="Y21" i="8"/>
  <c r="X21" i="8"/>
  <c r="X29" i="8"/>
  <c r="W29" i="8"/>
  <c r="V29" i="8"/>
  <c r="Z29" i="8"/>
  <c r="Y29" i="8"/>
  <c r="Z37" i="8"/>
  <c r="Y37" i="8"/>
  <c r="X37" i="8"/>
  <c r="W37" i="8"/>
  <c r="V37" i="8"/>
  <c r="T40" i="38"/>
  <c r="S40" i="38"/>
  <c r="R40" i="38"/>
  <c r="T39" i="38"/>
  <c r="S39" i="38"/>
  <c r="R39" i="38"/>
  <c r="T38" i="38"/>
  <c r="S38" i="38"/>
  <c r="R38" i="38"/>
  <c r="T37" i="38"/>
  <c r="S37" i="38"/>
  <c r="R37" i="38"/>
  <c r="T36" i="38"/>
  <c r="S36" i="38"/>
  <c r="R36" i="38"/>
  <c r="T35" i="38"/>
  <c r="S35" i="38"/>
  <c r="R35" i="38"/>
  <c r="T34" i="38"/>
  <c r="S34" i="38"/>
  <c r="R34" i="38"/>
  <c r="T33" i="38"/>
  <c r="S33" i="38"/>
  <c r="R33" i="38"/>
  <c r="T32" i="38"/>
  <c r="S32" i="38"/>
  <c r="R32" i="38"/>
  <c r="T31" i="38"/>
  <c r="S31" i="38"/>
  <c r="R31" i="38"/>
  <c r="T30" i="38"/>
  <c r="S30" i="38"/>
  <c r="R30" i="38"/>
  <c r="T29" i="38"/>
  <c r="S29" i="38"/>
  <c r="R29" i="38"/>
  <c r="T28" i="38"/>
  <c r="S28" i="38"/>
  <c r="R28" i="38"/>
  <c r="T27" i="38"/>
  <c r="S27" i="38"/>
  <c r="R27" i="38"/>
  <c r="T26" i="38"/>
  <c r="S26" i="38"/>
  <c r="R26" i="38"/>
  <c r="T25" i="38"/>
  <c r="S25" i="38"/>
  <c r="R25" i="38"/>
  <c r="T24" i="38"/>
  <c r="S24" i="38"/>
  <c r="R24" i="38"/>
  <c r="T23" i="38"/>
  <c r="S23" i="38"/>
  <c r="R23" i="38"/>
  <c r="T22" i="38"/>
  <c r="S22" i="38"/>
  <c r="R22" i="38"/>
  <c r="T21" i="38"/>
  <c r="S21" i="38"/>
  <c r="R21" i="38"/>
  <c r="T20" i="38"/>
  <c r="S20" i="38"/>
  <c r="R20" i="38"/>
  <c r="T19" i="38"/>
  <c r="S19" i="38"/>
  <c r="R19" i="38"/>
  <c r="T18" i="38"/>
  <c r="S18" i="38"/>
  <c r="R18" i="38"/>
  <c r="T17" i="38"/>
  <c r="S17" i="38"/>
  <c r="R17" i="38"/>
  <c r="T16" i="38"/>
  <c r="S16" i="38"/>
  <c r="R16" i="38"/>
  <c r="T15" i="38"/>
  <c r="S15" i="38"/>
  <c r="R15" i="38"/>
  <c r="T14" i="38"/>
  <c r="S14" i="38"/>
  <c r="R14" i="38"/>
  <c r="T13" i="38"/>
  <c r="S13" i="38"/>
  <c r="R13" i="38"/>
  <c r="BB13" i="38"/>
  <c r="AY13" i="38"/>
  <c r="AX13" i="38"/>
  <c r="T12" i="38"/>
  <c r="AY12" i="38"/>
  <c r="AX12" i="38"/>
  <c r="BB12" i="38"/>
  <c r="R12" i="38"/>
  <c r="T11" i="38"/>
  <c r="T10" i="38"/>
  <c r="T9" i="38"/>
  <c r="T8" i="38"/>
  <c r="T7" i="38"/>
  <c r="T6" i="38"/>
  <c r="T5" i="38"/>
  <c r="BC22" i="38" l="1"/>
  <c r="BD22" i="38" s="1"/>
  <c r="BC14" i="38"/>
  <c r="BD14" i="38" s="1"/>
  <c r="BC30" i="38"/>
  <c r="BD30" i="38" s="1"/>
  <c r="BC38" i="38"/>
  <c r="BD38" i="38" s="1"/>
  <c r="BC15" i="38"/>
  <c r="BD15" i="38" s="1"/>
  <c r="BC23" i="38"/>
  <c r="BD23" i="38" s="1"/>
  <c r="BC31" i="38"/>
  <c r="BD31" i="38" s="1"/>
  <c r="BC39" i="38"/>
  <c r="BD39" i="38" s="1"/>
  <c r="BC21" i="38"/>
  <c r="BD21" i="38" s="1"/>
  <c r="BC29" i="38"/>
  <c r="BD29" i="38" s="1"/>
  <c r="BC37" i="38"/>
  <c r="BD37" i="38" s="1"/>
  <c r="BC24" i="38"/>
  <c r="BD24" i="38" s="1"/>
  <c r="BC40" i="38"/>
  <c r="BD40" i="38" s="1"/>
  <c r="BC19" i="38"/>
  <c r="BD19" i="38" s="1"/>
  <c r="BC27" i="38"/>
  <c r="BD27" i="38" s="1"/>
  <c r="BC35" i="38"/>
  <c r="BD35" i="38" s="1"/>
  <c r="BC32" i="38"/>
  <c r="BD32" i="38" s="1"/>
  <c r="BC17" i="38"/>
  <c r="BD17" i="38" s="1"/>
  <c r="BC25" i="38"/>
  <c r="BD25" i="38" s="1"/>
  <c r="BC33" i="38"/>
  <c r="BD33" i="38" s="1"/>
  <c r="BC16" i="38"/>
  <c r="BD16" i="38" s="1"/>
  <c r="BC20" i="38"/>
  <c r="BD20" i="38" s="1"/>
  <c r="BC28" i="38"/>
  <c r="BD28" i="38" s="1"/>
  <c r="BC36" i="38"/>
  <c r="BD36" i="38" s="1"/>
  <c r="BC18" i="38"/>
  <c r="BD18" i="38" s="1"/>
  <c r="BC26" i="38"/>
  <c r="BD26" i="38" s="1"/>
  <c r="BC34" i="38"/>
  <c r="BD34" i="38" s="1"/>
  <c r="W15" i="38"/>
  <c r="V15" i="38"/>
  <c r="Z15" i="38"/>
  <c r="Y15" i="38"/>
  <c r="X15" i="38"/>
  <c r="X17" i="38"/>
  <c r="W17" i="38"/>
  <c r="V17" i="38"/>
  <c r="Z17" i="38"/>
  <c r="Y17" i="38"/>
  <c r="Z19" i="38"/>
  <c r="Y19" i="38"/>
  <c r="X19" i="38"/>
  <c r="W19" i="38"/>
  <c r="V19" i="38"/>
  <c r="AI22" i="38"/>
  <c r="AH22" i="38"/>
  <c r="AG22" i="38"/>
  <c r="AF22" i="38"/>
  <c r="AE22" i="38"/>
  <c r="AD22" i="38"/>
  <c r="AI25" i="38"/>
  <c r="AH25" i="38"/>
  <c r="AG25" i="38"/>
  <c r="AF25" i="38"/>
  <c r="AE25" i="38"/>
  <c r="AD25" i="38"/>
  <c r="Z28" i="38"/>
  <c r="Y28" i="38"/>
  <c r="X28" i="38"/>
  <c r="W28" i="38"/>
  <c r="V28" i="38"/>
  <c r="AE31" i="38"/>
  <c r="AD31" i="38"/>
  <c r="AI31" i="38"/>
  <c r="AH31" i="38"/>
  <c r="AG31" i="38"/>
  <c r="AF31" i="38"/>
  <c r="W36" i="38"/>
  <c r="V36" i="38"/>
  <c r="Z36" i="38"/>
  <c r="Y36" i="38"/>
  <c r="X36" i="38"/>
  <c r="AG39" i="38"/>
  <c r="AF39" i="38"/>
  <c r="AE39" i="38"/>
  <c r="AD39" i="38"/>
  <c r="AI39" i="38"/>
  <c r="AH39" i="38"/>
  <c r="AI28" i="38"/>
  <c r="AH28" i="38"/>
  <c r="AG28" i="38"/>
  <c r="AF28" i="38"/>
  <c r="AE28" i="38"/>
  <c r="AD28" i="38"/>
  <c r="AF36" i="38"/>
  <c r="AE36" i="38"/>
  <c r="AD36" i="38"/>
  <c r="AI36" i="38"/>
  <c r="AH36" i="38"/>
  <c r="AG36" i="38"/>
  <c r="Z24" i="38"/>
  <c r="Y24" i="38"/>
  <c r="X24" i="38"/>
  <c r="W24" i="38"/>
  <c r="V24" i="38"/>
  <c r="Z27" i="38"/>
  <c r="Y27" i="38"/>
  <c r="X27" i="38"/>
  <c r="W27" i="38"/>
  <c r="V27" i="38"/>
  <c r="Z30" i="38"/>
  <c r="Y30" i="38"/>
  <c r="X30" i="38"/>
  <c r="W30" i="38"/>
  <c r="V30" i="38"/>
  <c r="W33" i="38"/>
  <c r="V33" i="38"/>
  <c r="Z33" i="38"/>
  <c r="Y33" i="38"/>
  <c r="X33" i="38"/>
  <c r="W38" i="38"/>
  <c r="V38" i="38"/>
  <c r="Z38" i="38"/>
  <c r="Y38" i="38"/>
  <c r="X38" i="38"/>
  <c r="AI19" i="38"/>
  <c r="AH19" i="38"/>
  <c r="AG19" i="38"/>
  <c r="AF19" i="38"/>
  <c r="AE19" i="38"/>
  <c r="AD19" i="38"/>
  <c r="X12" i="38"/>
  <c r="W12" i="38"/>
  <c r="V12" i="38"/>
  <c r="Z12" i="38"/>
  <c r="Y12" i="38"/>
  <c r="AF14" i="38"/>
  <c r="AE14" i="38"/>
  <c r="AD14" i="38"/>
  <c r="AI14" i="38"/>
  <c r="AH14" i="38"/>
  <c r="AG14" i="38"/>
  <c r="W16" i="38"/>
  <c r="V16" i="38"/>
  <c r="Z16" i="38"/>
  <c r="Y16" i="38"/>
  <c r="X16" i="38"/>
  <c r="Z21" i="38"/>
  <c r="Y21" i="38"/>
  <c r="X21" i="38"/>
  <c r="W21" i="38"/>
  <c r="V21" i="38"/>
  <c r="AI24" i="38"/>
  <c r="AH24" i="38"/>
  <c r="AG24" i="38"/>
  <c r="AF24" i="38"/>
  <c r="AE24" i="38"/>
  <c r="AD24" i="38"/>
  <c r="AI27" i="38"/>
  <c r="AH27" i="38"/>
  <c r="AG27" i="38"/>
  <c r="AF27" i="38"/>
  <c r="AE27" i="38"/>
  <c r="AD27" i="38"/>
  <c r="AI30" i="38"/>
  <c r="AH30" i="38"/>
  <c r="AG30" i="38"/>
  <c r="AF30" i="38"/>
  <c r="AE30" i="38"/>
  <c r="AD30" i="38"/>
  <c r="AF33" i="38"/>
  <c r="AE33" i="38"/>
  <c r="AD33" i="38"/>
  <c r="AI33" i="38"/>
  <c r="AH33" i="38"/>
  <c r="AG33" i="38"/>
  <c r="X35" i="38"/>
  <c r="W35" i="38"/>
  <c r="V35" i="38"/>
  <c r="Z35" i="38"/>
  <c r="Y35" i="38"/>
  <c r="AF38" i="38"/>
  <c r="AE38" i="38"/>
  <c r="AD38" i="38"/>
  <c r="AI38" i="38"/>
  <c r="AH38" i="38"/>
  <c r="AG38" i="38"/>
  <c r="AG17" i="38"/>
  <c r="AF17" i="38"/>
  <c r="AE17" i="38"/>
  <c r="AD17" i="38"/>
  <c r="AI17" i="38"/>
  <c r="AH17" i="38"/>
  <c r="W14" i="38"/>
  <c r="V14" i="38"/>
  <c r="AL14" i="38" s="1"/>
  <c r="AR14" i="38" s="1"/>
  <c r="Z14" i="38"/>
  <c r="Y14" i="38"/>
  <c r="X14" i="38"/>
  <c r="AF16" i="38"/>
  <c r="AE16" i="38"/>
  <c r="AD16" i="38"/>
  <c r="AI16" i="38"/>
  <c r="AH16" i="38"/>
  <c r="AG16" i="38"/>
  <c r="Y18" i="38"/>
  <c r="X18" i="38"/>
  <c r="W18" i="38"/>
  <c r="V18" i="38"/>
  <c r="Z18" i="38"/>
  <c r="AI21" i="38"/>
  <c r="AH21" i="38"/>
  <c r="AG21" i="38"/>
  <c r="AF21" i="38"/>
  <c r="AE21" i="38"/>
  <c r="AD21" i="38"/>
  <c r="Z23" i="38"/>
  <c r="Y23" i="38"/>
  <c r="X23" i="38"/>
  <c r="W23" i="38"/>
  <c r="V23" i="38"/>
  <c r="Z26" i="38"/>
  <c r="Y26" i="38"/>
  <c r="X26" i="38"/>
  <c r="W26" i="38"/>
  <c r="V26" i="38"/>
  <c r="AG35" i="38"/>
  <c r="AF35" i="38"/>
  <c r="AE35" i="38"/>
  <c r="AD35" i="38"/>
  <c r="AI35" i="38"/>
  <c r="AH35" i="38"/>
  <c r="X40" i="38"/>
  <c r="W40" i="38"/>
  <c r="V40" i="38"/>
  <c r="Z40" i="38"/>
  <c r="Y40" i="38"/>
  <c r="X13" i="38"/>
  <c r="W13" i="38"/>
  <c r="V13" i="38"/>
  <c r="Z13" i="38"/>
  <c r="Y13" i="38"/>
  <c r="AI23" i="38"/>
  <c r="AH23" i="38"/>
  <c r="AG23" i="38"/>
  <c r="AF23" i="38"/>
  <c r="AE23" i="38"/>
  <c r="AD23" i="38"/>
  <c r="AI26" i="38"/>
  <c r="AH26" i="38"/>
  <c r="AG26" i="38"/>
  <c r="AF26" i="38"/>
  <c r="AE26" i="38"/>
  <c r="AD26" i="38"/>
  <c r="Z29" i="38"/>
  <c r="Y29" i="38"/>
  <c r="X29" i="38"/>
  <c r="W29" i="38"/>
  <c r="V29" i="38"/>
  <c r="V32" i="38"/>
  <c r="Z32" i="38"/>
  <c r="Y32" i="38"/>
  <c r="X32" i="38"/>
  <c r="W32" i="38"/>
  <c r="W37" i="38"/>
  <c r="V37" i="38"/>
  <c r="Z37" i="38"/>
  <c r="Y37" i="38"/>
  <c r="X37" i="38"/>
  <c r="AG40" i="38"/>
  <c r="AF40" i="38"/>
  <c r="AE40" i="38"/>
  <c r="AD40" i="38"/>
  <c r="AI40" i="38"/>
  <c r="AH40" i="38"/>
  <c r="AG13" i="38"/>
  <c r="AF13" i="38"/>
  <c r="AE13" i="38"/>
  <c r="AD13" i="38"/>
  <c r="AI13" i="38"/>
  <c r="AH13" i="38"/>
  <c r="Z20" i="38"/>
  <c r="Y20" i="38"/>
  <c r="X20" i="38"/>
  <c r="W20" i="38"/>
  <c r="V20" i="38"/>
  <c r="AI29" i="38"/>
  <c r="AH29" i="38"/>
  <c r="AG29" i="38"/>
  <c r="AF29" i="38"/>
  <c r="AE29" i="38"/>
  <c r="AD29" i="38"/>
  <c r="AE32" i="38"/>
  <c r="AD32" i="38"/>
  <c r="AI32" i="38"/>
  <c r="AH32" i="38"/>
  <c r="AG32" i="38"/>
  <c r="AF32" i="38"/>
  <c r="W34" i="38"/>
  <c r="V34" i="38"/>
  <c r="Z34" i="38"/>
  <c r="Y34" i="38"/>
  <c r="X34" i="38"/>
  <c r="AF37" i="38"/>
  <c r="AE37" i="38"/>
  <c r="AD37" i="38"/>
  <c r="AI37" i="38"/>
  <c r="AH37" i="38"/>
  <c r="AG37" i="38"/>
  <c r="AH18" i="38"/>
  <c r="AG18" i="38"/>
  <c r="AF18" i="38"/>
  <c r="AE18" i="38"/>
  <c r="AD18" i="38"/>
  <c r="AI18" i="38"/>
  <c r="AF15" i="38"/>
  <c r="AE15" i="38"/>
  <c r="AM15" i="38" s="1"/>
  <c r="AS15" i="38" s="1"/>
  <c r="AD15" i="38"/>
  <c r="AI15" i="38"/>
  <c r="AH15" i="38"/>
  <c r="AG15" i="38"/>
  <c r="AI20" i="38"/>
  <c r="AH20" i="38"/>
  <c r="AG20" i="38"/>
  <c r="AF20" i="38"/>
  <c r="AE20" i="38"/>
  <c r="AD20" i="38"/>
  <c r="Z22" i="38"/>
  <c r="Y22" i="38"/>
  <c r="X22" i="38"/>
  <c r="W22" i="38"/>
  <c r="V22" i="38"/>
  <c r="Z25" i="38"/>
  <c r="Y25" i="38"/>
  <c r="X25" i="38"/>
  <c r="W25" i="38"/>
  <c r="V25" i="38"/>
  <c r="V31" i="38"/>
  <c r="Z31" i="38"/>
  <c r="Y31" i="38"/>
  <c r="X31" i="38"/>
  <c r="W31" i="38"/>
  <c r="AF34" i="38"/>
  <c r="AE34" i="38"/>
  <c r="AD34" i="38"/>
  <c r="AI34" i="38"/>
  <c r="AH34" i="38"/>
  <c r="AG34" i="38"/>
  <c r="X39" i="38"/>
  <c r="W39" i="38"/>
  <c r="V39" i="38"/>
  <c r="Z39" i="38"/>
  <c r="Y39" i="38"/>
  <c r="AZ13" i="38"/>
  <c r="S12" i="38"/>
  <c r="BC13" i="38"/>
  <c r="BD13" i="38" s="1"/>
  <c r="AZ12" i="38"/>
  <c r="G54" i="30"/>
  <c r="G31" i="30"/>
  <c r="G30" i="30"/>
  <c r="G8" i="30"/>
  <c r="G6" i="30"/>
  <c r="H34" i="1"/>
  <c r="AM14" i="38" l="1"/>
  <c r="AS14" i="38" s="1"/>
  <c r="AO39" i="38"/>
  <c r="AU39" i="38" s="1"/>
  <c r="AO25" i="38"/>
  <c r="AU25" i="38" s="1"/>
  <c r="AO31" i="38"/>
  <c r="AU31" i="38" s="1"/>
  <c r="AM30" i="38"/>
  <c r="AS30" i="38" s="1"/>
  <c r="AO22" i="38"/>
  <c r="AU22" i="38" s="1"/>
  <c r="AN22" i="38"/>
  <c r="AT22" i="38" s="1"/>
  <c r="AN14" i="38"/>
  <c r="AT14" i="38" s="1"/>
  <c r="AL13" i="38"/>
  <c r="AR13" i="38" s="1"/>
  <c r="AO32" i="38"/>
  <c r="AU32" i="38" s="1"/>
  <c r="AO13" i="38"/>
  <c r="AU13" i="38" s="1"/>
  <c r="AN13" i="38"/>
  <c r="AT13" i="38" s="1"/>
  <c r="AN26" i="38"/>
  <c r="AT26" i="38" s="1"/>
  <c r="AO28" i="38"/>
  <c r="AU28" i="38" s="1"/>
  <c r="AO26" i="38"/>
  <c r="AU26" i="38" s="1"/>
  <c r="AN18" i="38"/>
  <c r="AT18" i="38" s="1"/>
  <c r="AN24" i="38"/>
  <c r="AT24" i="38" s="1"/>
  <c r="AO38" i="38"/>
  <c r="AU38" i="38" s="1"/>
  <c r="AO37" i="38"/>
  <c r="AU37" i="38" s="1"/>
  <c r="AM27" i="38"/>
  <c r="AS27" i="38" s="1"/>
  <c r="AL40" i="38"/>
  <c r="AR40" i="38" s="1"/>
  <c r="AM32" i="38"/>
  <c r="AS32" i="38" s="1"/>
  <c r="AM28" i="38"/>
  <c r="AS28" i="38" s="1"/>
  <c r="AL31" i="38"/>
  <c r="AR31" i="38" s="1"/>
  <c r="AO34" i="38"/>
  <c r="AU34" i="38" s="1"/>
  <c r="AL20" i="38"/>
  <c r="AR20" i="38" s="1"/>
  <c r="AL22" i="38"/>
  <c r="AR22" i="38" s="1"/>
  <c r="AL34" i="38"/>
  <c r="AR34" i="38" s="1"/>
  <c r="AN20" i="38"/>
  <c r="AT20" i="38" s="1"/>
  <c r="AL32" i="38"/>
  <c r="AR32" i="38" s="1"/>
  <c r="AO18" i="38"/>
  <c r="AU18" i="38" s="1"/>
  <c r="AO14" i="38"/>
  <c r="AU14" i="38" s="1"/>
  <c r="AO35" i="38"/>
  <c r="AU35" i="38" s="1"/>
  <c r="AO21" i="38"/>
  <c r="AU21" i="38" s="1"/>
  <c r="AL27" i="38"/>
  <c r="AR27" i="38" s="1"/>
  <c r="AO24" i="38"/>
  <c r="AU24" i="38" s="1"/>
  <c r="AL39" i="38"/>
  <c r="AR39" i="38" s="1"/>
  <c r="AM36" i="38"/>
  <c r="AS36" i="38" s="1"/>
  <c r="AL19" i="38"/>
  <c r="AR19" i="38" s="1"/>
  <c r="AM17" i="38"/>
  <c r="AS17" i="38" s="1"/>
  <c r="AG12" i="38"/>
  <c r="AO12" i="38" s="1"/>
  <c r="AU12" i="38" s="1"/>
  <c r="AF12" i="38"/>
  <c r="AN12" i="38" s="1"/>
  <c r="AT12" i="38" s="1"/>
  <c r="AE12" i="38"/>
  <c r="AM12" i="38" s="1"/>
  <c r="AS12" i="38" s="1"/>
  <c r="AD12" i="38"/>
  <c r="AL12" i="38" s="1"/>
  <c r="AR12" i="38" s="1"/>
  <c r="AI12" i="38"/>
  <c r="AH12" i="38"/>
  <c r="AM39" i="38"/>
  <c r="AS39" i="38" s="1"/>
  <c r="AN39" i="38"/>
  <c r="AT39" i="38" s="1"/>
  <c r="AN37" i="38"/>
  <c r="AT37" i="38" s="1"/>
  <c r="AM22" i="38"/>
  <c r="AS22" i="38" s="1"/>
  <c r="AM34" i="38"/>
  <c r="AS34" i="38" s="1"/>
  <c r="AM29" i="38"/>
  <c r="AS29" i="38" s="1"/>
  <c r="AO20" i="38"/>
  <c r="AU20" i="38" s="1"/>
  <c r="AL29" i="38"/>
  <c r="AR29" i="38" s="1"/>
  <c r="AL23" i="38"/>
  <c r="AR23" i="38" s="1"/>
  <c r="AN38" i="38"/>
  <c r="AT38" i="38" s="1"/>
  <c r="AL33" i="38"/>
  <c r="AR33" i="38" s="1"/>
  <c r="AN28" i="38"/>
  <c r="AT28" i="38" s="1"/>
  <c r="AM19" i="38"/>
  <c r="AS19" i="38" s="1"/>
  <c r="AN17" i="38"/>
  <c r="AT17" i="38" s="1"/>
  <c r="AL37" i="38"/>
  <c r="AR37" i="38" s="1"/>
  <c r="AM40" i="38"/>
  <c r="AS40" i="38" s="1"/>
  <c r="AM23" i="38"/>
  <c r="AS23" i="38" s="1"/>
  <c r="AL35" i="38"/>
  <c r="AR35" i="38" s="1"/>
  <c r="AN16" i="38"/>
  <c r="AT16" i="38" s="1"/>
  <c r="AM33" i="38"/>
  <c r="AS33" i="38" s="1"/>
  <c r="AN27" i="38"/>
  <c r="AT27" i="38" s="1"/>
  <c r="AN19" i="38"/>
  <c r="AT19" i="38" s="1"/>
  <c r="AM37" i="38"/>
  <c r="AS37" i="38" s="1"/>
  <c r="AN29" i="38"/>
  <c r="AT29" i="38" s="1"/>
  <c r="AN40" i="38"/>
  <c r="AT40" i="38" s="1"/>
  <c r="AN23" i="38"/>
  <c r="AT23" i="38" s="1"/>
  <c r="AM35" i="38"/>
  <c r="AS35" i="38" s="1"/>
  <c r="AO16" i="38"/>
  <c r="AU16" i="38" s="1"/>
  <c r="AL30" i="38"/>
  <c r="AR30" i="38" s="1"/>
  <c r="AO27" i="38"/>
  <c r="AU27" i="38" s="1"/>
  <c r="AO19" i="38"/>
  <c r="AU19" i="38" s="1"/>
  <c r="AN15" i="38"/>
  <c r="AT15" i="38" s="1"/>
  <c r="AL25" i="38"/>
  <c r="AR25" i="38" s="1"/>
  <c r="AM25" i="38"/>
  <c r="AS25" i="38" s="1"/>
  <c r="AO29" i="38"/>
  <c r="AU29" i="38" s="1"/>
  <c r="AL26" i="38"/>
  <c r="AR26" i="38" s="1"/>
  <c r="AO23" i="38"/>
  <c r="AU23" i="38" s="1"/>
  <c r="AN35" i="38"/>
  <c r="AT35" i="38" s="1"/>
  <c r="AL38" i="38"/>
  <c r="AR38" i="38" s="1"/>
  <c r="AN36" i="38"/>
  <c r="AT36" i="38" s="1"/>
  <c r="AO15" i="38"/>
  <c r="AU15" i="38" s="1"/>
  <c r="AN25" i="38"/>
  <c r="AT25" i="38" s="1"/>
  <c r="AN34" i="38"/>
  <c r="AT34" i="38" s="1"/>
  <c r="AN32" i="38"/>
  <c r="AT32" i="38" s="1"/>
  <c r="AM13" i="38"/>
  <c r="AS13" i="38" s="1"/>
  <c r="AM26" i="38"/>
  <c r="AS26" i="38" s="1"/>
  <c r="AL18" i="38"/>
  <c r="AR18" i="38" s="1"/>
  <c r="AM16" i="38"/>
  <c r="AS16" i="38" s="1"/>
  <c r="AL21" i="38"/>
  <c r="AR21" i="38" s="1"/>
  <c r="AL16" i="38"/>
  <c r="AR16" i="38" s="1"/>
  <c r="AM38" i="38"/>
  <c r="AS38" i="38" s="1"/>
  <c r="AN30" i="38"/>
  <c r="AT30" i="38" s="1"/>
  <c r="AL24" i="38"/>
  <c r="AR24" i="38" s="1"/>
  <c r="AO36" i="38"/>
  <c r="AU36" i="38" s="1"/>
  <c r="AO17" i="38"/>
  <c r="AU17" i="38" s="1"/>
  <c r="AM18" i="38"/>
  <c r="AS18" i="38" s="1"/>
  <c r="AM21" i="38"/>
  <c r="AS21" i="38" s="1"/>
  <c r="AN33" i="38"/>
  <c r="AT33" i="38" s="1"/>
  <c r="AO30" i="38"/>
  <c r="AU30" i="38" s="1"/>
  <c r="AM24" i="38"/>
  <c r="AS24" i="38" s="1"/>
  <c r="AM31" i="38"/>
  <c r="AS31" i="38" s="1"/>
  <c r="AL15" i="38"/>
  <c r="AR15" i="38" s="1"/>
  <c r="AN31" i="38"/>
  <c r="AT31" i="38" s="1"/>
  <c r="AM20" i="38"/>
  <c r="AS20" i="38" s="1"/>
  <c r="AO40" i="38"/>
  <c r="AU40" i="38" s="1"/>
  <c r="AN21" i="38"/>
  <c r="AT21" i="38" s="1"/>
  <c r="AO33" i="38"/>
  <c r="AU33" i="38" s="1"/>
  <c r="AL36" i="38"/>
  <c r="AR36" i="38" s="1"/>
  <c r="AL28" i="38"/>
  <c r="AR28" i="38" s="1"/>
  <c r="AL17" i="38"/>
  <c r="AR17" i="38" s="1"/>
  <c r="BC12" i="38"/>
  <c r="BD12" i="38" s="1"/>
  <c r="S40" i="8" l="1"/>
  <c r="S39" i="8"/>
  <c r="S38" i="8"/>
  <c r="S37" i="8"/>
  <c r="S36" i="8"/>
  <c r="S35" i="8"/>
  <c r="S34" i="8"/>
  <c r="S33" i="8"/>
  <c r="S32" i="8"/>
  <c r="S31" i="8"/>
  <c r="S30" i="8"/>
  <c r="S29" i="8"/>
  <c r="S28" i="8"/>
  <c r="S27" i="8"/>
  <c r="S26" i="8"/>
  <c r="S25" i="8"/>
  <c r="S24" i="8"/>
  <c r="S23" i="8"/>
  <c r="S22" i="8"/>
  <c r="S21" i="8"/>
  <c r="S20" i="8"/>
  <c r="S19" i="8"/>
  <c r="S18" i="8"/>
  <c r="S17" i="8"/>
  <c r="S16" i="8"/>
  <c r="S15" i="8"/>
  <c r="S13" i="8"/>
  <c r="H54" i="30"/>
  <c r="F54" i="30"/>
  <c r="E54" i="30"/>
  <c r="D54" i="30"/>
  <c r="H31" i="30"/>
  <c r="H30" i="30"/>
  <c r="F31" i="30"/>
  <c r="F30" i="30"/>
  <c r="E31" i="30"/>
  <c r="E30" i="30"/>
  <c r="D31" i="30"/>
  <c r="D30" i="30"/>
  <c r="H8" i="30"/>
  <c r="H6" i="30"/>
  <c r="F8" i="30"/>
  <c r="F6" i="30"/>
  <c r="E8" i="30"/>
  <c r="E6" i="30"/>
  <c r="D8" i="30"/>
  <c r="D6" i="30"/>
  <c r="E31" i="31" l="1"/>
  <c r="E10" i="31" l="1"/>
  <c r="E27" i="31"/>
  <c r="E12" i="31"/>
  <c r="E18" i="31"/>
  <c r="E9" i="31"/>
  <c r="E26" i="31"/>
  <c r="E17" i="31"/>
  <c r="E19" i="31"/>
  <c r="E11" i="31"/>
  <c r="E25" i="31"/>
  <c r="E20" i="31"/>
  <c r="E28" i="31"/>
  <c r="E5" i="31"/>
  <c r="E13" i="31"/>
  <c r="E21" i="31"/>
  <c r="E6" i="31"/>
  <c r="E22" i="31"/>
  <c r="E7" i="31"/>
  <c r="E15" i="31"/>
  <c r="E23" i="31"/>
  <c r="E14" i="31"/>
  <c r="E8" i="31"/>
  <c r="E16" i="31"/>
  <c r="E24" i="31"/>
  <c r="E29" i="31"/>
  <c r="E30" i="31"/>
  <c r="R6" i="30"/>
  <c r="K4" i="33"/>
  <c r="S14" i="8" l="1"/>
  <c r="S12" i="8"/>
  <c r="AF40" i="34"/>
  <c r="AF39" i="34"/>
  <c r="AF38" i="34"/>
  <c r="AF37" i="34"/>
  <c r="AF36" i="34"/>
  <c r="AF35" i="34"/>
  <c r="AF34" i="34"/>
  <c r="AF33" i="34"/>
  <c r="AF32" i="34"/>
  <c r="AF31" i="34"/>
  <c r="AF30" i="34"/>
  <c r="AF29" i="34"/>
  <c r="AF28" i="34"/>
  <c r="AF27" i="34"/>
  <c r="AF26" i="34"/>
  <c r="AF25" i="34"/>
  <c r="AF24" i="34"/>
  <c r="AF23" i="34"/>
  <c r="AF22" i="34"/>
  <c r="AF21" i="34"/>
  <c r="AF20" i="34"/>
  <c r="AF19" i="34"/>
  <c r="AF18" i="34"/>
  <c r="AF17" i="34"/>
  <c r="AF16" i="34"/>
  <c r="AF15" i="34"/>
  <c r="AF14" i="34"/>
  <c r="AF13" i="34"/>
  <c r="AF12" i="34"/>
  <c r="AF11" i="34"/>
  <c r="AF10" i="34"/>
  <c r="AF9" i="34"/>
  <c r="AF8" i="34"/>
  <c r="AF7" i="34"/>
  <c r="AF6" i="34"/>
  <c r="AF5" i="34"/>
  <c r="BK40" i="34" l="1"/>
  <c r="BJ40" i="34"/>
  <c r="BK39" i="34"/>
  <c r="BJ39" i="34"/>
  <c r="BK38" i="34"/>
  <c r="BJ38" i="34"/>
  <c r="BK37" i="34"/>
  <c r="BJ37" i="34"/>
  <c r="BK36" i="34"/>
  <c r="BJ36" i="34"/>
  <c r="BK35" i="34"/>
  <c r="BJ35" i="34"/>
  <c r="BK34" i="34"/>
  <c r="BJ34" i="34"/>
  <c r="BK33" i="34"/>
  <c r="BJ33" i="34"/>
  <c r="BK32" i="34"/>
  <c r="BJ32" i="34"/>
  <c r="BK31" i="34"/>
  <c r="BJ31" i="34"/>
  <c r="BK30" i="34"/>
  <c r="BJ30" i="34"/>
  <c r="BK29" i="34"/>
  <c r="BJ29" i="34"/>
  <c r="BK28" i="34"/>
  <c r="BJ28" i="34"/>
  <c r="BK27" i="34"/>
  <c r="BJ27" i="34"/>
  <c r="BK26" i="34"/>
  <c r="BJ26" i="34"/>
  <c r="BK25" i="34"/>
  <c r="BJ25" i="34"/>
  <c r="BK24" i="34"/>
  <c r="BJ24" i="34"/>
  <c r="BK23" i="34"/>
  <c r="BJ23" i="34"/>
  <c r="BK22" i="34"/>
  <c r="BJ22" i="34"/>
  <c r="BK21" i="34"/>
  <c r="BJ21" i="34"/>
  <c r="BK20" i="34"/>
  <c r="BJ20" i="34"/>
  <c r="BK19" i="34"/>
  <c r="BJ19" i="34"/>
  <c r="BK18" i="34"/>
  <c r="BJ18" i="34"/>
  <c r="BK17" i="34"/>
  <c r="BJ17" i="34"/>
  <c r="BK16" i="34"/>
  <c r="BJ16" i="34"/>
  <c r="BK15" i="34"/>
  <c r="BJ15" i="34"/>
  <c r="BK14" i="34"/>
  <c r="BJ14" i="34"/>
  <c r="BK13" i="34"/>
  <c r="BJ13" i="34"/>
  <c r="AY40" i="8"/>
  <c r="AX40" i="8"/>
  <c r="T40" i="8"/>
  <c r="BB40" i="8"/>
  <c r="AY39" i="8"/>
  <c r="AX39" i="8"/>
  <c r="T39" i="8"/>
  <c r="BB39" i="8"/>
  <c r="AY38" i="8"/>
  <c r="AX38" i="8"/>
  <c r="T38" i="8"/>
  <c r="BB38" i="8"/>
  <c r="AY37" i="8"/>
  <c r="AX37" i="8"/>
  <c r="T37" i="8"/>
  <c r="BB37" i="8"/>
  <c r="AY36" i="8"/>
  <c r="AX36" i="8"/>
  <c r="T36" i="8"/>
  <c r="BB36" i="8"/>
  <c r="AY35" i="8"/>
  <c r="AX35" i="8"/>
  <c r="T35" i="8"/>
  <c r="BB35" i="8"/>
  <c r="AY34" i="8"/>
  <c r="AX34" i="8"/>
  <c r="T34" i="8"/>
  <c r="BB34" i="8"/>
  <c r="AY33" i="8"/>
  <c r="AX33" i="8"/>
  <c r="T33" i="8"/>
  <c r="BB33" i="8"/>
  <c r="AY32" i="8"/>
  <c r="AX32" i="8"/>
  <c r="T32" i="8"/>
  <c r="BB32" i="8"/>
  <c r="AY31" i="8"/>
  <c r="AX31" i="8"/>
  <c r="T31" i="8"/>
  <c r="BB31" i="8"/>
  <c r="AY30" i="8"/>
  <c r="AX30" i="8"/>
  <c r="T30" i="8"/>
  <c r="BB30" i="8"/>
  <c r="AY29" i="8"/>
  <c r="AX29" i="8"/>
  <c r="T29" i="8"/>
  <c r="BB29" i="8"/>
  <c r="AY28" i="8"/>
  <c r="AX28" i="8"/>
  <c r="T28" i="8"/>
  <c r="BB28" i="8"/>
  <c r="AY27" i="8"/>
  <c r="AX27" i="8"/>
  <c r="T27" i="8"/>
  <c r="BB27" i="8"/>
  <c r="AY26" i="8"/>
  <c r="AX26" i="8"/>
  <c r="T26" i="8"/>
  <c r="BB26" i="8"/>
  <c r="AY25" i="8"/>
  <c r="AX25" i="8"/>
  <c r="T25" i="8"/>
  <c r="BB25" i="8"/>
  <c r="AY24" i="8"/>
  <c r="AX24" i="8"/>
  <c r="T24" i="8"/>
  <c r="BB24" i="8"/>
  <c r="AY23" i="8"/>
  <c r="AX23" i="8"/>
  <c r="T23" i="8"/>
  <c r="BB23" i="8"/>
  <c r="AY22" i="8"/>
  <c r="AX22" i="8"/>
  <c r="T22" i="8"/>
  <c r="BB22" i="8"/>
  <c r="AY21" i="8"/>
  <c r="AX21" i="8"/>
  <c r="T21" i="8"/>
  <c r="BB21" i="8"/>
  <c r="AY20" i="8"/>
  <c r="AX20" i="8"/>
  <c r="T20" i="8"/>
  <c r="BB20" i="8"/>
  <c r="AY19" i="8"/>
  <c r="AX19" i="8"/>
  <c r="T19" i="8"/>
  <c r="BB19" i="8"/>
  <c r="AY18" i="8"/>
  <c r="AX18" i="8"/>
  <c r="T18" i="8"/>
  <c r="BB18" i="8"/>
  <c r="AY17" i="8"/>
  <c r="AX17" i="8"/>
  <c r="T17" i="8"/>
  <c r="BB17" i="8"/>
  <c r="AY16" i="8"/>
  <c r="AX16" i="8"/>
  <c r="T16" i="8"/>
  <c r="BB16" i="8"/>
  <c r="AY15" i="8"/>
  <c r="AX15" i="8"/>
  <c r="T15" i="8"/>
  <c r="BB15" i="8"/>
  <c r="AY14" i="8"/>
  <c r="AX14" i="8"/>
  <c r="T14" i="8"/>
  <c r="AE14" i="8" s="1"/>
  <c r="AM14" i="8" s="1"/>
  <c r="AS14" i="8" s="1"/>
  <c r="AY13" i="8"/>
  <c r="AX13" i="8"/>
  <c r="T13" i="8"/>
  <c r="BB13" i="8"/>
  <c r="AY12" i="8"/>
  <c r="AX12" i="8"/>
  <c r="T12" i="8"/>
  <c r="BC12" i="8" s="1"/>
  <c r="T11" i="8"/>
  <c r="T10" i="8"/>
  <c r="T9" i="8"/>
  <c r="T8" i="8"/>
  <c r="T7" i="8"/>
  <c r="T6" i="8"/>
  <c r="T5" i="8"/>
  <c r="P5" i="29"/>
  <c r="G5" i="8" l="1"/>
  <c r="O7" i="38"/>
  <c r="AY7" i="38" s="1"/>
  <c r="N5" i="38"/>
  <c r="AX5" i="38" s="1"/>
  <c r="O6" i="38"/>
  <c r="AY6" i="38" s="1"/>
  <c r="N5" i="8"/>
  <c r="AX5" i="8" s="1"/>
  <c r="O5" i="8"/>
  <c r="AY5" i="8" s="1"/>
  <c r="I5" i="8"/>
  <c r="O5" i="38"/>
  <c r="AY5" i="38" s="1"/>
  <c r="J5" i="8"/>
  <c r="Y5" i="34"/>
  <c r="BK5" i="34" s="1"/>
  <c r="H5" i="8"/>
  <c r="N7" i="38"/>
  <c r="AX7" i="38" s="1"/>
  <c r="N6" i="38"/>
  <c r="AX6" i="38" s="1"/>
  <c r="W5" i="34"/>
  <c r="BJ5" i="34" s="1"/>
  <c r="I6" i="38"/>
  <c r="G5" i="38"/>
  <c r="J5" i="34"/>
  <c r="N5" i="34"/>
  <c r="I5" i="38"/>
  <c r="J5" i="38"/>
  <c r="H7" i="38"/>
  <c r="J7" i="38"/>
  <c r="H5" i="34"/>
  <c r="G6" i="38"/>
  <c r="L5" i="34"/>
  <c r="G7" i="38"/>
  <c r="H5" i="38"/>
  <c r="H6" i="38"/>
  <c r="I7" i="38"/>
  <c r="J6" i="38"/>
  <c r="AF16" i="8"/>
  <c r="AN16" i="8" s="1"/>
  <c r="AT16" i="8" s="1"/>
  <c r="AH16" i="8"/>
  <c r="AE16" i="8"/>
  <c r="AM16" i="8" s="1"/>
  <c r="AS16" i="8" s="1"/>
  <c r="AG16" i="8"/>
  <c r="AO16" i="8" s="1"/>
  <c r="AU16" i="8" s="1"/>
  <c r="BC16" i="8"/>
  <c r="BD16" i="8" s="1"/>
  <c r="AD16" i="8"/>
  <c r="AL16" i="8" s="1"/>
  <c r="AR16" i="8" s="1"/>
  <c r="AI16" i="8"/>
  <c r="BC20" i="8"/>
  <c r="BD20" i="8" s="1"/>
  <c r="AG20" i="8"/>
  <c r="AO20" i="8" s="1"/>
  <c r="AU20" i="8" s="1"/>
  <c r="AD20" i="8"/>
  <c r="AL20" i="8" s="1"/>
  <c r="AR20" i="8" s="1"/>
  <c r="AF20" i="8"/>
  <c r="AN20" i="8" s="1"/>
  <c r="AT20" i="8" s="1"/>
  <c r="AH20" i="8"/>
  <c r="AI20" i="8"/>
  <c r="AE20" i="8"/>
  <c r="AM20" i="8" s="1"/>
  <c r="AS20" i="8" s="1"/>
  <c r="AG24" i="8"/>
  <c r="AO24" i="8" s="1"/>
  <c r="AU24" i="8" s="1"/>
  <c r="AD24" i="8"/>
  <c r="AL24" i="8" s="1"/>
  <c r="AR24" i="8" s="1"/>
  <c r="BC24" i="8"/>
  <c r="BD24" i="8" s="1"/>
  <c r="AF24" i="8"/>
  <c r="AN24" i="8" s="1"/>
  <c r="AT24" i="8" s="1"/>
  <c r="AH24" i="8"/>
  <c r="AI24" i="8"/>
  <c r="AE24" i="8"/>
  <c r="AM24" i="8" s="1"/>
  <c r="AS24" i="8" s="1"/>
  <c r="AE13" i="8"/>
  <c r="AM13" i="8" s="1"/>
  <c r="AS13" i="8" s="1"/>
  <c r="BC13" i="8"/>
  <c r="BD13" i="8" s="1"/>
  <c r="AD13" i="8"/>
  <c r="AL13" i="8" s="1"/>
  <c r="AR13" i="8" s="1"/>
  <c r="AF13" i="8"/>
  <c r="AN13" i="8" s="1"/>
  <c r="AT13" i="8" s="1"/>
  <c r="AG13" i="8"/>
  <c r="AO13" i="8" s="1"/>
  <c r="AU13" i="8" s="1"/>
  <c r="AI13" i="8"/>
  <c r="AH13" i="8"/>
  <c r="AH14" i="8"/>
  <c r="BC14" i="8"/>
  <c r="AI12" i="8"/>
  <c r="AH17" i="8"/>
  <c r="AD17" i="8"/>
  <c r="AL17" i="8" s="1"/>
  <c r="AR17" i="8" s="1"/>
  <c r="AG17" i="8"/>
  <c r="AO17" i="8" s="1"/>
  <c r="AU17" i="8" s="1"/>
  <c r="BC17" i="8"/>
  <c r="BD17" i="8" s="1"/>
  <c r="AF17" i="8"/>
  <c r="AN17" i="8" s="1"/>
  <c r="AT17" i="8" s="1"/>
  <c r="AI17" i="8"/>
  <c r="AE17" i="8"/>
  <c r="AM17" i="8" s="1"/>
  <c r="AS17" i="8" s="1"/>
  <c r="AI14" i="8"/>
  <c r="AF12" i="8"/>
  <c r="AN12" i="8" s="1"/>
  <c r="AT12" i="8" s="1"/>
  <c r="AD12" i="8"/>
  <c r="AL12" i="8" s="1"/>
  <c r="AR12" i="8" s="1"/>
  <c r="BC19" i="8"/>
  <c r="BD19" i="8" s="1"/>
  <c r="AG19" i="8"/>
  <c r="AO19" i="8" s="1"/>
  <c r="AU19" i="8" s="1"/>
  <c r="AD19" i="8"/>
  <c r="AL19" i="8" s="1"/>
  <c r="AR19" i="8" s="1"/>
  <c r="AF19" i="8"/>
  <c r="AN19" i="8" s="1"/>
  <c r="AT19" i="8" s="1"/>
  <c r="AH19" i="8"/>
  <c r="AI19" i="8"/>
  <c r="AE19" i="8"/>
  <c r="AM19" i="8" s="1"/>
  <c r="AS19" i="8" s="1"/>
  <c r="AG22" i="8"/>
  <c r="AO22" i="8" s="1"/>
  <c r="AU22" i="8" s="1"/>
  <c r="AI22" i="8"/>
  <c r="AF22" i="8"/>
  <c r="AN22" i="8" s="1"/>
  <c r="AT22" i="8" s="1"/>
  <c r="AH22" i="8"/>
  <c r="BC22" i="8"/>
  <c r="BD22" i="8" s="1"/>
  <c r="AE22" i="8"/>
  <c r="AM22" i="8" s="1"/>
  <c r="AS22" i="8" s="1"/>
  <c r="AD22" i="8"/>
  <c r="AL22" i="8" s="1"/>
  <c r="AR22" i="8" s="1"/>
  <c r="AF14" i="8"/>
  <c r="AN14" i="8" s="1"/>
  <c r="AT14" i="8" s="1"/>
  <c r="AD14" i="8"/>
  <c r="AL14" i="8" s="1"/>
  <c r="AR14" i="8" s="1"/>
  <c r="AG12" i="8"/>
  <c r="AO12" i="8" s="1"/>
  <c r="AU12" i="8" s="1"/>
  <c r="AE12" i="8"/>
  <c r="AM12" i="8" s="1"/>
  <c r="AS12" i="8" s="1"/>
  <c r="AF15" i="8"/>
  <c r="AN15" i="8" s="1"/>
  <c r="AT15" i="8" s="1"/>
  <c r="AH15" i="8"/>
  <c r="AI15" i="8"/>
  <c r="AE15" i="8"/>
  <c r="AM15" i="8" s="1"/>
  <c r="AS15" i="8" s="1"/>
  <c r="BC15" i="8"/>
  <c r="BD15" i="8" s="1"/>
  <c r="AD15" i="8"/>
  <c r="AL15" i="8" s="1"/>
  <c r="AR15" i="8" s="1"/>
  <c r="AG15" i="8"/>
  <c r="AO15" i="8" s="1"/>
  <c r="AU15" i="8" s="1"/>
  <c r="AI18" i="8"/>
  <c r="AE18" i="8"/>
  <c r="AM18" i="8" s="1"/>
  <c r="AS18" i="8" s="1"/>
  <c r="AH18" i="8"/>
  <c r="AD18" i="8"/>
  <c r="AL18" i="8" s="1"/>
  <c r="AR18" i="8" s="1"/>
  <c r="BC18" i="8"/>
  <c r="BD18" i="8" s="1"/>
  <c r="AG18" i="8"/>
  <c r="AO18" i="8" s="1"/>
  <c r="AU18" i="8" s="1"/>
  <c r="AF18" i="8"/>
  <c r="AN18" i="8" s="1"/>
  <c r="AT18" i="8" s="1"/>
  <c r="AD21" i="8"/>
  <c r="AL21" i="8" s="1"/>
  <c r="AR21" i="8" s="1"/>
  <c r="BC21" i="8"/>
  <c r="BD21" i="8" s="1"/>
  <c r="AI21" i="8"/>
  <c r="AE21" i="8"/>
  <c r="AM21" i="8" s="1"/>
  <c r="AS21" i="8" s="1"/>
  <c r="AF21" i="8"/>
  <c r="AN21" i="8" s="1"/>
  <c r="AT21" i="8" s="1"/>
  <c r="AH21" i="8"/>
  <c r="AG21" i="8"/>
  <c r="AO21" i="8" s="1"/>
  <c r="AU21" i="8" s="1"/>
  <c r="AG23" i="8"/>
  <c r="AO23" i="8" s="1"/>
  <c r="AU23" i="8" s="1"/>
  <c r="BC23" i="8"/>
  <c r="BD23" i="8" s="1"/>
  <c r="AF23" i="8"/>
  <c r="AN23" i="8" s="1"/>
  <c r="AT23" i="8" s="1"/>
  <c r="AD23" i="8"/>
  <c r="AL23" i="8" s="1"/>
  <c r="AR23" i="8" s="1"/>
  <c r="AI23" i="8"/>
  <c r="AE23" i="8"/>
  <c r="AM23" i="8" s="1"/>
  <c r="AS23" i="8" s="1"/>
  <c r="AH23" i="8"/>
  <c r="AG25" i="8"/>
  <c r="AO25" i="8" s="1"/>
  <c r="AU25" i="8" s="1"/>
  <c r="BC25" i="8"/>
  <c r="BD25" i="8" s="1"/>
  <c r="AF25" i="8"/>
  <c r="AN25" i="8" s="1"/>
  <c r="AT25" i="8" s="1"/>
  <c r="AH25" i="8"/>
  <c r="AI25" i="8"/>
  <c r="AE25" i="8"/>
  <c r="AM25" i="8" s="1"/>
  <c r="AS25" i="8" s="1"/>
  <c r="AD25" i="8"/>
  <c r="AL25" i="8" s="1"/>
  <c r="AR25" i="8" s="1"/>
  <c r="AH26" i="8"/>
  <c r="AD26" i="8"/>
  <c r="AL26" i="8" s="1"/>
  <c r="AR26" i="8" s="1"/>
  <c r="AG26" i="8"/>
  <c r="AO26" i="8" s="1"/>
  <c r="AU26" i="8" s="1"/>
  <c r="BC26" i="8"/>
  <c r="BD26" i="8" s="1"/>
  <c r="AF26" i="8"/>
  <c r="AN26" i="8" s="1"/>
  <c r="AT26" i="8" s="1"/>
  <c r="AI26" i="8"/>
  <c r="AE26" i="8"/>
  <c r="AM26" i="8" s="1"/>
  <c r="AS26" i="8" s="1"/>
  <c r="AD27" i="8"/>
  <c r="AL27" i="8" s="1"/>
  <c r="AR27" i="8" s="1"/>
  <c r="AF27" i="8"/>
  <c r="AN27" i="8" s="1"/>
  <c r="AT27" i="8" s="1"/>
  <c r="AI27" i="8"/>
  <c r="AE27" i="8"/>
  <c r="AM27" i="8" s="1"/>
  <c r="AS27" i="8" s="1"/>
  <c r="AG27" i="8"/>
  <c r="AO27" i="8" s="1"/>
  <c r="AU27" i="8" s="1"/>
  <c r="AH27" i="8"/>
  <c r="BC27" i="8"/>
  <c r="BD27" i="8" s="1"/>
  <c r="AD28" i="8"/>
  <c r="AL28" i="8" s="1"/>
  <c r="AR28" i="8" s="1"/>
  <c r="AF28" i="8"/>
  <c r="AN28" i="8" s="1"/>
  <c r="AT28" i="8" s="1"/>
  <c r="AE28" i="8"/>
  <c r="AM28" i="8" s="1"/>
  <c r="AS28" i="8" s="1"/>
  <c r="AI28" i="8"/>
  <c r="BC28" i="8"/>
  <c r="BD28" i="8" s="1"/>
  <c r="AH28" i="8"/>
  <c r="AG28" i="8"/>
  <c r="AO28" i="8" s="1"/>
  <c r="AU28" i="8" s="1"/>
  <c r="AF29" i="8"/>
  <c r="AN29" i="8" s="1"/>
  <c r="AT29" i="8" s="1"/>
  <c r="AH29" i="8"/>
  <c r="AE29" i="8"/>
  <c r="AM29" i="8" s="1"/>
  <c r="AS29" i="8" s="1"/>
  <c r="AG29" i="8"/>
  <c r="AO29" i="8" s="1"/>
  <c r="AU29" i="8" s="1"/>
  <c r="BC29" i="8"/>
  <c r="BD29" i="8" s="1"/>
  <c r="AD29" i="8"/>
  <c r="AL29" i="8" s="1"/>
  <c r="AR29" i="8" s="1"/>
  <c r="AI29" i="8"/>
  <c r="BC30" i="8"/>
  <c r="BD30" i="8" s="1"/>
  <c r="AE30" i="8"/>
  <c r="AM30" i="8" s="1"/>
  <c r="AS30" i="8" s="1"/>
  <c r="AF30" i="8"/>
  <c r="AN30" i="8" s="1"/>
  <c r="AT30" i="8" s="1"/>
  <c r="AH30" i="8"/>
  <c r="AD30" i="8"/>
  <c r="AL30" i="8" s="1"/>
  <c r="AR30" i="8" s="1"/>
  <c r="AG30" i="8"/>
  <c r="AO30" i="8" s="1"/>
  <c r="AU30" i="8" s="1"/>
  <c r="AI30" i="8"/>
  <c r="BC31" i="8"/>
  <c r="BD31" i="8" s="1"/>
  <c r="AF31" i="8"/>
  <c r="AN31" i="8" s="1"/>
  <c r="AT31" i="8" s="1"/>
  <c r="AI31" i="8"/>
  <c r="AE31" i="8"/>
  <c r="AM31" i="8" s="1"/>
  <c r="AS31" i="8" s="1"/>
  <c r="AH31" i="8"/>
  <c r="AD31" i="8"/>
  <c r="AL31" i="8" s="1"/>
  <c r="AR31" i="8" s="1"/>
  <c r="AG31" i="8"/>
  <c r="AO31" i="8" s="1"/>
  <c r="AU31" i="8" s="1"/>
  <c r="BC32" i="8"/>
  <c r="BD32" i="8" s="1"/>
  <c r="AG32" i="8"/>
  <c r="AO32" i="8" s="1"/>
  <c r="AU32" i="8" s="1"/>
  <c r="AD32" i="8"/>
  <c r="AL32" i="8" s="1"/>
  <c r="AR32" i="8" s="1"/>
  <c r="AF32" i="8"/>
  <c r="AN32" i="8" s="1"/>
  <c r="AT32" i="8" s="1"/>
  <c r="AH32" i="8"/>
  <c r="AI32" i="8"/>
  <c r="AE32" i="8"/>
  <c r="AM32" i="8" s="1"/>
  <c r="AS32" i="8" s="1"/>
  <c r="BC33" i="8"/>
  <c r="BD33" i="8" s="1"/>
  <c r="AI33" i="8"/>
  <c r="AF33" i="8"/>
  <c r="AN33" i="8" s="1"/>
  <c r="AT33" i="8" s="1"/>
  <c r="AH33" i="8"/>
  <c r="AD33" i="8"/>
  <c r="AL33" i="8" s="1"/>
  <c r="AR33" i="8" s="1"/>
  <c r="AE33" i="8"/>
  <c r="AM33" i="8" s="1"/>
  <c r="AS33" i="8" s="1"/>
  <c r="AG33" i="8"/>
  <c r="AO33" i="8" s="1"/>
  <c r="AU33" i="8" s="1"/>
  <c r="AE34" i="8"/>
  <c r="AM34" i="8" s="1"/>
  <c r="AS34" i="8" s="1"/>
  <c r="BC34" i="8"/>
  <c r="BD34" i="8" s="1"/>
  <c r="AD34" i="8"/>
  <c r="AL34" i="8" s="1"/>
  <c r="AR34" i="8" s="1"/>
  <c r="AH34" i="8"/>
  <c r="AG34" i="8"/>
  <c r="AO34" i="8" s="1"/>
  <c r="AU34" i="8" s="1"/>
  <c r="AI34" i="8"/>
  <c r="AF34" i="8"/>
  <c r="AN34" i="8" s="1"/>
  <c r="AT34" i="8" s="1"/>
  <c r="AH35" i="8"/>
  <c r="AD35" i="8"/>
  <c r="AL35" i="8" s="1"/>
  <c r="AR35" i="8" s="1"/>
  <c r="AG35" i="8"/>
  <c r="AO35" i="8" s="1"/>
  <c r="AU35" i="8" s="1"/>
  <c r="AI35" i="8"/>
  <c r="BC35" i="8"/>
  <c r="BD35" i="8" s="1"/>
  <c r="AF35" i="8"/>
  <c r="AN35" i="8" s="1"/>
  <c r="AT35" i="8" s="1"/>
  <c r="AE35" i="8"/>
  <c r="AM35" i="8" s="1"/>
  <c r="AS35" i="8" s="1"/>
  <c r="AI36" i="8"/>
  <c r="AE36" i="8"/>
  <c r="AM36" i="8" s="1"/>
  <c r="AS36" i="8" s="1"/>
  <c r="AF36" i="8"/>
  <c r="AN36" i="8" s="1"/>
  <c r="AT36" i="8" s="1"/>
  <c r="AH36" i="8"/>
  <c r="AD36" i="8"/>
  <c r="AL36" i="8" s="1"/>
  <c r="AR36" i="8" s="1"/>
  <c r="AG36" i="8"/>
  <c r="AO36" i="8" s="1"/>
  <c r="AU36" i="8" s="1"/>
  <c r="BC36" i="8"/>
  <c r="BD36" i="8" s="1"/>
  <c r="BC37" i="8"/>
  <c r="BD37" i="8" s="1"/>
  <c r="AG37" i="8"/>
  <c r="AO37" i="8" s="1"/>
  <c r="AU37" i="8" s="1"/>
  <c r="AD37" i="8"/>
  <c r="AL37" i="8" s="1"/>
  <c r="AR37" i="8" s="1"/>
  <c r="AF37" i="8"/>
  <c r="AN37" i="8" s="1"/>
  <c r="AT37" i="8" s="1"/>
  <c r="AI37" i="8"/>
  <c r="AE37" i="8"/>
  <c r="AM37" i="8" s="1"/>
  <c r="AS37" i="8" s="1"/>
  <c r="AH37" i="8"/>
  <c r="AE38" i="8"/>
  <c r="AM38" i="8" s="1"/>
  <c r="AS38" i="8" s="1"/>
  <c r="AG38" i="8"/>
  <c r="AO38" i="8" s="1"/>
  <c r="AU38" i="8" s="1"/>
  <c r="AD38" i="8"/>
  <c r="AL38" i="8" s="1"/>
  <c r="AR38" i="8" s="1"/>
  <c r="AF38" i="8"/>
  <c r="AN38" i="8" s="1"/>
  <c r="AT38" i="8" s="1"/>
  <c r="BC38" i="8"/>
  <c r="BD38" i="8" s="1"/>
  <c r="AI38" i="8"/>
  <c r="AH38" i="8"/>
  <c r="AG39" i="8"/>
  <c r="AO39" i="8" s="1"/>
  <c r="AU39" i="8" s="1"/>
  <c r="AI39" i="8"/>
  <c r="AD39" i="8"/>
  <c r="AL39" i="8" s="1"/>
  <c r="AR39" i="8" s="1"/>
  <c r="AF39" i="8"/>
  <c r="AN39" i="8" s="1"/>
  <c r="AT39" i="8" s="1"/>
  <c r="AH39" i="8"/>
  <c r="AE39" i="8"/>
  <c r="AM39" i="8" s="1"/>
  <c r="AS39" i="8" s="1"/>
  <c r="BC39" i="8"/>
  <c r="BD39" i="8" s="1"/>
  <c r="AG40" i="8"/>
  <c r="AO40" i="8" s="1"/>
  <c r="AU40" i="8" s="1"/>
  <c r="AI40" i="8"/>
  <c r="AF40" i="8"/>
  <c r="AN40" i="8" s="1"/>
  <c r="AT40" i="8" s="1"/>
  <c r="AH40" i="8"/>
  <c r="BC40" i="8"/>
  <c r="BD40" i="8" s="1"/>
  <c r="AE40" i="8"/>
  <c r="AM40" i="8" s="1"/>
  <c r="AS40" i="8" s="1"/>
  <c r="AD40" i="8"/>
  <c r="AL40" i="8" s="1"/>
  <c r="AR40" i="8" s="1"/>
  <c r="AG14" i="8"/>
  <c r="AO14" i="8" s="1"/>
  <c r="AU14" i="8" s="1"/>
  <c r="AH12" i="8"/>
  <c r="AZ15" i="8"/>
  <c r="AZ23" i="8"/>
  <c r="AZ16" i="8"/>
  <c r="AZ12" i="8"/>
  <c r="AZ20" i="8"/>
  <c r="AZ28" i="8"/>
  <c r="AZ36" i="8"/>
  <c r="AZ30" i="8"/>
  <c r="AZ38" i="8"/>
  <c r="AZ31" i="8"/>
  <c r="AZ39" i="8"/>
  <c r="AZ18" i="8"/>
  <c r="AZ26" i="8"/>
  <c r="AZ34" i="8"/>
  <c r="AZ19" i="8"/>
  <c r="AZ27" i="8"/>
  <c r="AZ35" i="8"/>
  <c r="AZ24" i="8"/>
  <c r="BL17" i="34"/>
  <c r="BL19" i="34"/>
  <c r="BL21" i="34"/>
  <c r="BL23" i="34"/>
  <c r="BL18" i="34"/>
  <c r="BL30" i="34"/>
  <c r="BL38" i="34"/>
  <c r="BL25" i="34"/>
  <c r="BL27" i="34"/>
  <c r="BL29" i="34"/>
  <c r="BL31" i="34"/>
  <c r="BL33" i="34"/>
  <c r="BL22" i="34"/>
  <c r="BL26" i="34"/>
  <c r="BL35" i="34"/>
  <c r="BL37" i="34"/>
  <c r="BL39" i="34"/>
  <c r="AZ17" i="8"/>
  <c r="AZ25" i="8"/>
  <c r="AZ33" i="8"/>
  <c r="AZ32" i="8"/>
  <c r="AZ40" i="8"/>
  <c r="BL16" i="34"/>
  <c r="BL20" i="34"/>
  <c r="BL28" i="34"/>
  <c r="BL36" i="34"/>
  <c r="AY9" i="38"/>
  <c r="AX9" i="38"/>
  <c r="AY11" i="38"/>
  <c r="AY10" i="38"/>
  <c r="AX11" i="38"/>
  <c r="AX10" i="38"/>
  <c r="AY8" i="38"/>
  <c r="AX8" i="38"/>
  <c r="AZ13" i="8"/>
  <c r="AZ14" i="8"/>
  <c r="AZ21" i="8"/>
  <c r="AZ22" i="8"/>
  <c r="AZ29" i="8"/>
  <c r="AZ37" i="8"/>
  <c r="BL24" i="34"/>
  <c r="BL32" i="34"/>
  <c r="BL40" i="34"/>
  <c r="BL15" i="34"/>
  <c r="BL13" i="34"/>
  <c r="BL14" i="34"/>
  <c r="BL34" i="34"/>
  <c r="BB14" i="8"/>
  <c r="BB12" i="8"/>
  <c r="BD12" i="8" s="1"/>
  <c r="BK11" i="34"/>
  <c r="AX11" i="8"/>
  <c r="BK12" i="34"/>
  <c r="AY11" i="8"/>
  <c r="BJ11" i="34"/>
  <c r="O14" i="34"/>
  <c r="AA14" i="34" s="1"/>
  <c r="O18" i="34"/>
  <c r="AA18" i="34" s="1"/>
  <c r="O22" i="34"/>
  <c r="AA22" i="34" s="1"/>
  <c r="O26" i="34"/>
  <c r="AA26" i="34" s="1"/>
  <c r="O30" i="34"/>
  <c r="AA30" i="34" s="1"/>
  <c r="O34" i="34"/>
  <c r="AA34" i="34" s="1"/>
  <c r="O38" i="34"/>
  <c r="AA38" i="34" s="1"/>
  <c r="O15" i="34"/>
  <c r="AA15" i="34" s="1"/>
  <c r="O19" i="34"/>
  <c r="AA19" i="34" s="1"/>
  <c r="O23" i="34"/>
  <c r="AA23" i="34" s="1"/>
  <c r="O27" i="34"/>
  <c r="AA27" i="34" s="1"/>
  <c r="O31" i="34"/>
  <c r="AA31" i="34" s="1"/>
  <c r="O35" i="34"/>
  <c r="AA35" i="34" s="1"/>
  <c r="O39" i="34"/>
  <c r="AA39" i="34" s="1"/>
  <c r="O16" i="34"/>
  <c r="AA16" i="34" s="1"/>
  <c r="O20" i="34"/>
  <c r="AA20" i="34" s="1"/>
  <c r="O24" i="34"/>
  <c r="AA24" i="34" s="1"/>
  <c r="O28" i="34"/>
  <c r="AA28" i="34" s="1"/>
  <c r="O32" i="34"/>
  <c r="AA32" i="34" s="1"/>
  <c r="O36" i="34"/>
  <c r="AA36" i="34" s="1"/>
  <c r="O40" i="34"/>
  <c r="AA40" i="34" s="1"/>
  <c r="O13" i="34"/>
  <c r="AA13" i="34" s="1"/>
  <c r="O17" i="34"/>
  <c r="AA17" i="34" s="1"/>
  <c r="O21" i="34"/>
  <c r="AA21" i="34" s="1"/>
  <c r="O25" i="34"/>
  <c r="AA25" i="34" s="1"/>
  <c r="O29" i="34"/>
  <c r="AA29" i="34" s="1"/>
  <c r="O33" i="34"/>
  <c r="AA33" i="34" s="1"/>
  <c r="O37" i="34"/>
  <c r="AA37" i="34" s="1"/>
  <c r="BJ12" i="34"/>
  <c r="BK10" i="34"/>
  <c r="AX8" i="8"/>
  <c r="BK8" i="34"/>
  <c r="BK9" i="34"/>
  <c r="AY8" i="8"/>
  <c r="AX9" i="8"/>
  <c r="BK6" i="34"/>
  <c r="BJ7" i="34"/>
  <c r="BJ10" i="34"/>
  <c r="AY6" i="8"/>
  <c r="AX7" i="8"/>
  <c r="AY10" i="8"/>
  <c r="BJ9" i="34"/>
  <c r="AY7" i="8"/>
  <c r="BJ6" i="34"/>
  <c r="AX6" i="8"/>
  <c r="AY9" i="8"/>
  <c r="AX10" i="8"/>
  <c r="BK7" i="34"/>
  <c r="BJ8" i="34"/>
  <c r="K7" i="38" l="1"/>
  <c r="P7" i="38" s="1"/>
  <c r="BB7" i="38" s="1"/>
  <c r="K6" i="38"/>
  <c r="P6" i="38" s="1"/>
  <c r="BB6" i="38" s="1"/>
  <c r="BD14" i="8"/>
  <c r="K5" i="38"/>
  <c r="P5" i="38" s="1"/>
  <c r="AZ11" i="8"/>
  <c r="AZ9" i="38"/>
  <c r="AZ10" i="38"/>
  <c r="BB9" i="38"/>
  <c r="AY41" i="38"/>
  <c r="AZ6" i="38"/>
  <c r="BB10" i="38"/>
  <c r="AX41" i="8"/>
  <c r="AZ10" i="8"/>
  <c r="AZ8" i="38"/>
  <c r="AZ7" i="8"/>
  <c r="BL10" i="34"/>
  <c r="BL12" i="34"/>
  <c r="AZ9" i="8"/>
  <c r="BN13" i="34"/>
  <c r="AD13" i="34"/>
  <c r="BO13" i="34" s="1"/>
  <c r="BN39" i="34"/>
  <c r="AD39" i="34"/>
  <c r="BO39" i="34" s="1"/>
  <c r="BN34" i="34"/>
  <c r="AD34" i="34"/>
  <c r="AX41" i="38"/>
  <c r="AZ5" i="38"/>
  <c r="R10" i="38"/>
  <c r="BN26" i="34"/>
  <c r="AD26" i="34"/>
  <c r="BO26" i="34" s="1"/>
  <c r="BN40" i="34"/>
  <c r="AD40" i="34"/>
  <c r="BO40" i="34" s="1"/>
  <c r="BN35" i="34"/>
  <c r="AD35" i="34"/>
  <c r="BO35" i="34" s="1"/>
  <c r="BN30" i="34"/>
  <c r="AD30" i="34"/>
  <c r="BO30" i="34" s="1"/>
  <c r="BB8" i="38"/>
  <c r="BN33" i="34"/>
  <c r="AD33" i="34"/>
  <c r="BO33" i="34" s="1"/>
  <c r="AE32" i="34"/>
  <c r="AD32" i="34"/>
  <c r="BO32" i="34" s="1"/>
  <c r="BN27" i="34"/>
  <c r="AD27" i="34"/>
  <c r="BN22" i="34"/>
  <c r="AD22" i="34"/>
  <c r="BO22" i="34" s="1"/>
  <c r="AZ11" i="38"/>
  <c r="BN29" i="34"/>
  <c r="AD29" i="34"/>
  <c r="BN28" i="34"/>
  <c r="AD28" i="34"/>
  <c r="BO28" i="34" s="1"/>
  <c r="BN23" i="34"/>
  <c r="AD23" i="34"/>
  <c r="BO23" i="34" s="1"/>
  <c r="BN18" i="34"/>
  <c r="AD18" i="34"/>
  <c r="BO18" i="34" s="1"/>
  <c r="BN36" i="34"/>
  <c r="AD36" i="34"/>
  <c r="BO36" i="34" s="1"/>
  <c r="AZ8" i="8"/>
  <c r="BN25" i="34"/>
  <c r="AD25" i="34"/>
  <c r="BO25" i="34" s="1"/>
  <c r="BN24" i="34"/>
  <c r="AD24" i="34"/>
  <c r="BN19" i="34"/>
  <c r="AD19" i="34"/>
  <c r="BO19" i="34" s="1"/>
  <c r="BN14" i="34"/>
  <c r="AD14" i="34"/>
  <c r="BO14" i="34" s="1"/>
  <c r="AZ7" i="38"/>
  <c r="BN31" i="34"/>
  <c r="AD31" i="34"/>
  <c r="BO31" i="34" s="1"/>
  <c r="BN21" i="34"/>
  <c r="AD21" i="34"/>
  <c r="BO21" i="34" s="1"/>
  <c r="BN20" i="34"/>
  <c r="AD20" i="34"/>
  <c r="BO20" i="34" s="1"/>
  <c r="BN15" i="34"/>
  <c r="AD15" i="34"/>
  <c r="BO15" i="34" s="1"/>
  <c r="BN37" i="34"/>
  <c r="AD37" i="34"/>
  <c r="AE17" i="34"/>
  <c r="AD17" i="34"/>
  <c r="BO17" i="34" s="1"/>
  <c r="AD16" i="34"/>
  <c r="BO16" i="34" s="1"/>
  <c r="BN38" i="34"/>
  <c r="AD38" i="34"/>
  <c r="BB11" i="38"/>
  <c r="BL7" i="34"/>
  <c r="BL11" i="34"/>
  <c r="BL8" i="34"/>
  <c r="BL9" i="34"/>
  <c r="AY41" i="8"/>
  <c r="O5" i="34"/>
  <c r="AA5" i="34" s="1"/>
  <c r="O11" i="34"/>
  <c r="AA11" i="34" s="1"/>
  <c r="AE14" i="34"/>
  <c r="AE30" i="34"/>
  <c r="AE22" i="34"/>
  <c r="AE18" i="34"/>
  <c r="AE34" i="34"/>
  <c r="S11" i="8"/>
  <c r="AE38" i="34"/>
  <c r="AE33" i="34"/>
  <c r="AE26" i="34"/>
  <c r="AE40" i="34"/>
  <c r="AE35" i="34"/>
  <c r="AE24" i="34"/>
  <c r="AE19" i="34"/>
  <c r="AE29" i="34"/>
  <c r="AE36" i="34"/>
  <c r="AE20" i="34"/>
  <c r="O6" i="34"/>
  <c r="AA6" i="34" s="1"/>
  <c r="AE25" i="34"/>
  <c r="AE31" i="34"/>
  <c r="AE16" i="34"/>
  <c r="AE39" i="34"/>
  <c r="AE37" i="34"/>
  <c r="AE21" i="34"/>
  <c r="AE23" i="34"/>
  <c r="AE28" i="34"/>
  <c r="AE27" i="34"/>
  <c r="BN32" i="34"/>
  <c r="O9" i="34"/>
  <c r="AA9" i="34" s="1"/>
  <c r="BN17" i="34"/>
  <c r="BN16" i="34"/>
  <c r="O7" i="34"/>
  <c r="AA7" i="34" s="1"/>
  <c r="O12" i="34"/>
  <c r="AA12" i="34" s="1"/>
  <c r="O10" i="34"/>
  <c r="AA10" i="34" s="1"/>
  <c r="O8" i="34"/>
  <c r="AA8" i="34" s="1"/>
  <c r="BB11" i="8"/>
  <c r="BB7" i="8"/>
  <c r="K5" i="8"/>
  <c r="P5" i="8" s="1"/>
  <c r="AZ6" i="8"/>
  <c r="BL5" i="34"/>
  <c r="AZ5" i="8"/>
  <c r="BL6" i="34"/>
  <c r="BK41" i="34"/>
  <c r="BJ41" i="34"/>
  <c r="BN12" i="34" l="1"/>
  <c r="BN9" i="34"/>
  <c r="BN11" i="34"/>
  <c r="AD8" i="34"/>
  <c r="AH8" i="34" s="1"/>
  <c r="AD10" i="34"/>
  <c r="AL10" i="34" s="1"/>
  <c r="BN10" i="34"/>
  <c r="BN7" i="34"/>
  <c r="BB5" i="38"/>
  <c r="BB41" i="38" s="1"/>
  <c r="R5" i="8"/>
  <c r="V5" i="8" s="1"/>
  <c r="BB5" i="8"/>
  <c r="R6" i="38"/>
  <c r="W6" i="38" s="1"/>
  <c r="R5" i="38"/>
  <c r="X5" i="38" s="1"/>
  <c r="BP30" i="34"/>
  <c r="BP31" i="34"/>
  <c r="BP18" i="34"/>
  <c r="BP33" i="34"/>
  <c r="R8" i="38"/>
  <c r="V8" i="38" s="1"/>
  <c r="R9" i="38"/>
  <c r="S9" i="38" s="1"/>
  <c r="BC9" i="38" s="1"/>
  <c r="BD9" i="38" s="1"/>
  <c r="BP40" i="34"/>
  <c r="BP14" i="34"/>
  <c r="R7" i="38"/>
  <c r="Y7" i="38" s="1"/>
  <c r="BP15" i="34"/>
  <c r="BP23" i="34"/>
  <c r="BP22" i="34"/>
  <c r="AD5" i="34"/>
  <c r="AJ5" i="34" s="1"/>
  <c r="BP28" i="34"/>
  <c r="BP26" i="34"/>
  <c r="BP39" i="34"/>
  <c r="BP35" i="34"/>
  <c r="BP25" i="34"/>
  <c r="BP13" i="34"/>
  <c r="BP19" i="34"/>
  <c r="BP36" i="34"/>
  <c r="BP21" i="34"/>
  <c r="BP16" i="34"/>
  <c r="BP32" i="34"/>
  <c r="AI10" i="34"/>
  <c r="AU39" i="34"/>
  <c r="AT39" i="34"/>
  <c r="AS39" i="34"/>
  <c r="AQ39" i="34"/>
  <c r="AP39" i="34"/>
  <c r="AR39" i="34"/>
  <c r="AQ19" i="34"/>
  <c r="AU19" i="34"/>
  <c r="AS19" i="34"/>
  <c r="AR19" i="34"/>
  <c r="AP19" i="34"/>
  <c r="AT19" i="34"/>
  <c r="AQ34" i="34"/>
  <c r="AP34" i="34"/>
  <c r="AU34" i="34"/>
  <c r="AS34" i="34"/>
  <c r="AR34" i="34"/>
  <c r="AT34" i="34"/>
  <c r="AD7" i="34"/>
  <c r="BO7" i="34" s="1"/>
  <c r="AJ20" i="34"/>
  <c r="AL20" i="34"/>
  <c r="AI20" i="34"/>
  <c r="AH20" i="34"/>
  <c r="AK20" i="34"/>
  <c r="AJ18" i="34"/>
  <c r="AK18" i="34"/>
  <c r="AI18" i="34"/>
  <c r="AL18" i="34"/>
  <c r="AH18" i="34"/>
  <c r="AD12" i="34"/>
  <c r="BO12" i="34" s="1"/>
  <c r="AU32" i="34"/>
  <c r="AT32" i="34"/>
  <c r="AR32" i="34"/>
  <c r="AQ32" i="34"/>
  <c r="AP32" i="34"/>
  <c r="AS32" i="34"/>
  <c r="AI35" i="34"/>
  <c r="AH35" i="34"/>
  <c r="AJ35" i="34"/>
  <c r="AK35" i="34"/>
  <c r="AL35" i="34"/>
  <c r="AT16" i="34"/>
  <c r="AQ16" i="34"/>
  <c r="AP16" i="34"/>
  <c r="AU16" i="34"/>
  <c r="AS16" i="34"/>
  <c r="AR16" i="34"/>
  <c r="AS24" i="34"/>
  <c r="AR24" i="34"/>
  <c r="AP24" i="34"/>
  <c r="AU24" i="34"/>
  <c r="AT24" i="34"/>
  <c r="AQ24" i="34"/>
  <c r="AT18" i="34"/>
  <c r="AS18" i="34"/>
  <c r="AQ18" i="34"/>
  <c r="AP18" i="34"/>
  <c r="AU18" i="34"/>
  <c r="AR18" i="34"/>
  <c r="AI37" i="34"/>
  <c r="AH37" i="34"/>
  <c r="AJ37" i="34"/>
  <c r="AK37" i="34"/>
  <c r="AL37" i="34"/>
  <c r="AJ25" i="34"/>
  <c r="AK25" i="34"/>
  <c r="AI25" i="34"/>
  <c r="AL25" i="34"/>
  <c r="AH25" i="34"/>
  <c r="AJ33" i="34"/>
  <c r="AI33" i="34"/>
  <c r="AH33" i="34"/>
  <c r="AL33" i="34"/>
  <c r="AK33" i="34"/>
  <c r="AJ34" i="34"/>
  <c r="AK34" i="34"/>
  <c r="AI34" i="34"/>
  <c r="AL34" i="34"/>
  <c r="AH34" i="34"/>
  <c r="BO34" i="34"/>
  <c r="BP34" i="34" s="1"/>
  <c r="AU31" i="34"/>
  <c r="AS31" i="34"/>
  <c r="AR31" i="34"/>
  <c r="AP31" i="34"/>
  <c r="AT31" i="34"/>
  <c r="AQ31" i="34"/>
  <c r="AS35" i="34"/>
  <c r="AR35" i="34"/>
  <c r="AT35" i="34"/>
  <c r="AQ35" i="34"/>
  <c r="AP35" i="34"/>
  <c r="AU35" i="34"/>
  <c r="AS22" i="34"/>
  <c r="AR22" i="34"/>
  <c r="AP22" i="34"/>
  <c r="AU22" i="34"/>
  <c r="AT22" i="34"/>
  <c r="AQ22" i="34"/>
  <c r="BO37" i="34"/>
  <c r="BP37" i="34" s="1"/>
  <c r="AI38" i="34"/>
  <c r="AJ38" i="34"/>
  <c r="AL38" i="34"/>
  <c r="AH38" i="34"/>
  <c r="AK38" i="34"/>
  <c r="BO38" i="34"/>
  <c r="BP38" i="34" s="1"/>
  <c r="AJ21" i="34"/>
  <c r="AH21" i="34"/>
  <c r="AL21" i="34"/>
  <c r="AI21" i="34"/>
  <c r="AK21" i="34"/>
  <c r="AJ23" i="34"/>
  <c r="AH23" i="34"/>
  <c r="AL23" i="34"/>
  <c r="AK23" i="34"/>
  <c r="AI23" i="34"/>
  <c r="AJ40" i="34"/>
  <c r="AL40" i="34"/>
  <c r="AK40" i="34"/>
  <c r="AI40" i="34"/>
  <c r="AH40" i="34"/>
  <c r="AU23" i="34"/>
  <c r="AR23" i="34"/>
  <c r="AQ23" i="34"/>
  <c r="AT23" i="34"/>
  <c r="AS23" i="34"/>
  <c r="AP23" i="34"/>
  <c r="AU27" i="34"/>
  <c r="AS27" i="34"/>
  <c r="AR27" i="34"/>
  <c r="AQ27" i="34"/>
  <c r="AP27" i="34"/>
  <c r="AT27" i="34"/>
  <c r="AT25" i="34"/>
  <c r="AS25" i="34"/>
  <c r="AQ25" i="34"/>
  <c r="AP25" i="34"/>
  <c r="AU25" i="34"/>
  <c r="AR25" i="34"/>
  <c r="AU40" i="34"/>
  <c r="AS40" i="34"/>
  <c r="AR40" i="34"/>
  <c r="AQ40" i="34"/>
  <c r="AP40" i="34"/>
  <c r="AT40" i="34"/>
  <c r="AU30" i="34"/>
  <c r="AT30" i="34"/>
  <c r="AR30" i="34"/>
  <c r="AQ30" i="34"/>
  <c r="AS30" i="34"/>
  <c r="AP30" i="34"/>
  <c r="AJ14" i="34"/>
  <c r="AI14" i="34"/>
  <c r="AL14" i="34"/>
  <c r="AK14" i="34"/>
  <c r="AH14" i="34"/>
  <c r="AJ22" i="34"/>
  <c r="AI22" i="34"/>
  <c r="AL22" i="34"/>
  <c r="AK22" i="34"/>
  <c r="AH22" i="34"/>
  <c r="R11" i="38"/>
  <c r="AL39" i="34"/>
  <c r="AJ39" i="34"/>
  <c r="AK39" i="34"/>
  <c r="AI39" i="34"/>
  <c r="AH39" i="34"/>
  <c r="BO10" i="34"/>
  <c r="AT28" i="34"/>
  <c r="AS28" i="34"/>
  <c r="AQ28" i="34"/>
  <c r="AP28" i="34"/>
  <c r="AU28" i="34"/>
  <c r="AR28" i="34"/>
  <c r="AU26" i="34"/>
  <c r="AT26" i="34"/>
  <c r="AR26" i="34"/>
  <c r="AQ26" i="34"/>
  <c r="AP26" i="34"/>
  <c r="AS26" i="34"/>
  <c r="AS14" i="34"/>
  <c r="AR14" i="34"/>
  <c r="AP14" i="34"/>
  <c r="AQ14" i="34"/>
  <c r="AU14" i="34"/>
  <c r="AT14" i="34"/>
  <c r="AJ16" i="34"/>
  <c r="AK16" i="34"/>
  <c r="AH16" i="34"/>
  <c r="AL16" i="34"/>
  <c r="AI16" i="34"/>
  <c r="AD9" i="34"/>
  <c r="BO9" i="34" s="1"/>
  <c r="AJ28" i="34"/>
  <c r="AK28" i="34"/>
  <c r="BA28" i="34" s="1"/>
  <c r="BG28" i="34" s="1"/>
  <c r="AI28" i="34"/>
  <c r="AL28" i="34"/>
  <c r="AH28" i="34"/>
  <c r="AJ26" i="34"/>
  <c r="AL26" i="34"/>
  <c r="AK26" i="34"/>
  <c r="AH26" i="34"/>
  <c r="AI26" i="34"/>
  <c r="AU20" i="34"/>
  <c r="AS20" i="34"/>
  <c r="AR20" i="34"/>
  <c r="AQ20" i="34"/>
  <c r="AP20" i="34"/>
  <c r="AT20" i="34"/>
  <c r="AQ33" i="34"/>
  <c r="AP33" i="34"/>
  <c r="AU33" i="34"/>
  <c r="AT33" i="34"/>
  <c r="AR33" i="34"/>
  <c r="AS33" i="34"/>
  <c r="AJ31" i="34"/>
  <c r="AL31" i="34"/>
  <c r="AK31" i="34"/>
  <c r="AH31" i="34"/>
  <c r="AI31" i="34"/>
  <c r="AJ19" i="34"/>
  <c r="AL19" i="34"/>
  <c r="AI19" i="34"/>
  <c r="AH19" i="34"/>
  <c r="AK19" i="34"/>
  <c r="AH36" i="34"/>
  <c r="AJ36" i="34"/>
  <c r="AL36" i="34"/>
  <c r="AK36" i="34"/>
  <c r="AI36" i="34"/>
  <c r="AJ27" i="34"/>
  <c r="AL27" i="34"/>
  <c r="AI27" i="34"/>
  <c r="AH27" i="34"/>
  <c r="AK27" i="34"/>
  <c r="BO27" i="34"/>
  <c r="BP27" i="34" s="1"/>
  <c r="AJ13" i="34"/>
  <c r="AL13" i="34"/>
  <c r="AI13" i="34"/>
  <c r="AH13" i="34"/>
  <c r="AK13" i="34"/>
  <c r="AU21" i="34"/>
  <c r="AS21" i="34"/>
  <c r="AR21" i="34"/>
  <c r="AQ21" i="34"/>
  <c r="AP21" i="34"/>
  <c r="AT21" i="34"/>
  <c r="AR36" i="34"/>
  <c r="AQ36" i="34"/>
  <c r="AT36" i="34"/>
  <c r="AS36" i="34"/>
  <c r="AP36" i="34"/>
  <c r="AU36" i="34"/>
  <c r="AS38" i="34"/>
  <c r="AR38" i="34"/>
  <c r="AU38" i="34"/>
  <c r="AP38" i="34"/>
  <c r="AT38" i="34"/>
  <c r="AQ38" i="34"/>
  <c r="AJ17" i="34"/>
  <c r="AI17" i="34"/>
  <c r="AH17" i="34"/>
  <c r="AL17" i="34"/>
  <c r="AK17" i="34"/>
  <c r="AJ15" i="34"/>
  <c r="AK15" i="34"/>
  <c r="AH15" i="34"/>
  <c r="AL15" i="34"/>
  <c r="AI15" i="34"/>
  <c r="AJ29" i="34"/>
  <c r="AL29" i="34"/>
  <c r="AK29" i="34"/>
  <c r="AH29" i="34"/>
  <c r="AI29" i="34"/>
  <c r="BO29" i="34"/>
  <c r="BP29" i="34" s="1"/>
  <c r="AL30" i="34"/>
  <c r="AJ30" i="34"/>
  <c r="AI30" i="34"/>
  <c r="AH30" i="34"/>
  <c r="AK30" i="34"/>
  <c r="Z10" i="38"/>
  <c r="Y10" i="38"/>
  <c r="X10" i="38"/>
  <c r="W10" i="38"/>
  <c r="V10" i="38"/>
  <c r="AA10" i="38"/>
  <c r="S10" i="38"/>
  <c r="AS37" i="34"/>
  <c r="AR37" i="34"/>
  <c r="AT37" i="34"/>
  <c r="AQ37" i="34"/>
  <c r="AU37" i="34"/>
  <c r="AP37" i="34"/>
  <c r="AP29" i="34"/>
  <c r="AU29" i="34"/>
  <c r="AT29" i="34"/>
  <c r="AR29" i="34"/>
  <c r="AQ29" i="34"/>
  <c r="AS29" i="34"/>
  <c r="BP20" i="34"/>
  <c r="W8" i="38"/>
  <c r="S8" i="38"/>
  <c r="AS17" i="34"/>
  <c r="AR17" i="34"/>
  <c r="AP17" i="34"/>
  <c r="AU17" i="34"/>
  <c r="AT17" i="34"/>
  <c r="AQ17" i="34"/>
  <c r="AJ24" i="34"/>
  <c r="AI24" i="34"/>
  <c r="AH24" i="34"/>
  <c r="AK24" i="34"/>
  <c r="AL24" i="34"/>
  <c r="BO24" i="34"/>
  <c r="BP24" i="34" s="1"/>
  <c r="AD11" i="34"/>
  <c r="BO11" i="34" s="1"/>
  <c r="AJ32" i="34"/>
  <c r="AL32" i="34"/>
  <c r="AK32" i="34"/>
  <c r="AH32" i="34"/>
  <c r="AI32" i="34"/>
  <c r="AZ41" i="38"/>
  <c r="BC11" i="8"/>
  <c r="BD11" i="8" s="1"/>
  <c r="AD11" i="8"/>
  <c r="AL11" i="8" s="1"/>
  <c r="AR11" i="8" s="1"/>
  <c r="AI11" i="8"/>
  <c r="AH11" i="8"/>
  <c r="AG11" i="8"/>
  <c r="AO11" i="8" s="1"/>
  <c r="AU11" i="8" s="1"/>
  <c r="AF11" i="8"/>
  <c r="AN11" i="8" s="1"/>
  <c r="AT11" i="8" s="1"/>
  <c r="AE11" i="8"/>
  <c r="AM11" i="8" s="1"/>
  <c r="AS11" i="8" s="1"/>
  <c r="AD6" i="34"/>
  <c r="AJ6" i="34" s="1"/>
  <c r="BP17" i="34"/>
  <c r="AZ41" i="8"/>
  <c r="AE15" i="34"/>
  <c r="AE13" i="34"/>
  <c r="Z6" i="8"/>
  <c r="AA6" i="8"/>
  <c r="AB6" i="8" s="1"/>
  <c r="BB8" i="8"/>
  <c r="S6" i="8"/>
  <c r="S10" i="8"/>
  <c r="S8" i="8"/>
  <c r="BB6" i="8"/>
  <c r="S9" i="8"/>
  <c r="BB9" i="8"/>
  <c r="BN8" i="34"/>
  <c r="BB10" i="8"/>
  <c r="BN5" i="34"/>
  <c r="BL41" i="34"/>
  <c r="BN6" i="34"/>
  <c r="AI8" i="34" l="1"/>
  <c r="AK8" i="34"/>
  <c r="AJ8" i="34"/>
  <c r="BO8" i="34"/>
  <c r="BP8" i="34" s="1"/>
  <c r="AL8" i="34"/>
  <c r="BP9" i="34"/>
  <c r="AH10" i="34"/>
  <c r="AK10" i="34"/>
  <c r="AJ10" i="34"/>
  <c r="BP12" i="34"/>
  <c r="BP11" i="34"/>
  <c r="AY28" i="34"/>
  <c r="BE28" i="34" s="1"/>
  <c r="AZ19" i="34"/>
  <c r="BF19" i="34" s="1"/>
  <c r="BA24" i="34"/>
  <c r="BG24" i="34" s="1"/>
  <c r="W5" i="8"/>
  <c r="R41" i="8"/>
  <c r="BP7" i="34"/>
  <c r="AA7" i="38"/>
  <c r="Z6" i="38"/>
  <c r="AA6" i="38"/>
  <c r="S6" i="38"/>
  <c r="AH6" i="38" s="1"/>
  <c r="X6" i="38"/>
  <c r="Y6" i="38"/>
  <c r="V6" i="38"/>
  <c r="Y5" i="38"/>
  <c r="BA30" i="34"/>
  <c r="BG30" i="34" s="1"/>
  <c r="Z5" i="8"/>
  <c r="Z41" i="8" s="1"/>
  <c r="X5" i="8"/>
  <c r="Y5" i="8"/>
  <c r="S5" i="8"/>
  <c r="AD5" i="8" s="1"/>
  <c r="AL5" i="8" s="1"/>
  <c r="AR5" i="8" s="1"/>
  <c r="AA5" i="8"/>
  <c r="BA39" i="34"/>
  <c r="BG39" i="34" s="1"/>
  <c r="V9" i="38"/>
  <c r="X9" i="38"/>
  <c r="Z9" i="38"/>
  <c r="Y8" i="38"/>
  <c r="AA9" i="38"/>
  <c r="Y9" i="38"/>
  <c r="Z8" i="38"/>
  <c r="AA8" i="38"/>
  <c r="X8" i="38"/>
  <c r="W9" i="38"/>
  <c r="Z5" i="38"/>
  <c r="AA5" i="38"/>
  <c r="S5" i="38"/>
  <c r="AH5" i="38" s="1"/>
  <c r="V5" i="38"/>
  <c r="W5" i="38"/>
  <c r="W7" i="38"/>
  <c r="Z7" i="38"/>
  <c r="S7" i="38"/>
  <c r="AH7" i="38" s="1"/>
  <c r="V7" i="38"/>
  <c r="X7" i="38"/>
  <c r="AZ24" i="34"/>
  <c r="BF24" i="34" s="1"/>
  <c r="BA34" i="34"/>
  <c r="BG34" i="34" s="1"/>
  <c r="BA22" i="34"/>
  <c r="BG22" i="34" s="1"/>
  <c r="AY37" i="34"/>
  <c r="BE37" i="34" s="1"/>
  <c r="BA32" i="34"/>
  <c r="BG32" i="34" s="1"/>
  <c r="AX18" i="34"/>
  <c r="BD18" i="34" s="1"/>
  <c r="AZ28" i="34"/>
  <c r="BF28" i="34" s="1"/>
  <c r="BP10" i="34"/>
  <c r="AX30" i="34"/>
  <c r="BD30" i="34" s="1"/>
  <c r="AY20" i="34"/>
  <c r="BE20" i="34" s="1"/>
  <c r="BA16" i="34"/>
  <c r="BG16" i="34" s="1"/>
  <c r="AZ39" i="34"/>
  <c r="BF39" i="34" s="1"/>
  <c r="AX22" i="34"/>
  <c r="BD22" i="34" s="1"/>
  <c r="BA19" i="34"/>
  <c r="BG19" i="34" s="1"/>
  <c r="AZ27" i="34"/>
  <c r="BF27" i="34" s="1"/>
  <c r="AZ30" i="34"/>
  <c r="BF30" i="34" s="1"/>
  <c r="AZ34" i="34"/>
  <c r="BF34" i="34" s="1"/>
  <c r="AZ16" i="34"/>
  <c r="BF16" i="34" s="1"/>
  <c r="AX36" i="34"/>
  <c r="BD36" i="34" s="1"/>
  <c r="AY38" i="34"/>
  <c r="BE38" i="34" s="1"/>
  <c r="AZ36" i="34"/>
  <c r="BF36" i="34" s="1"/>
  <c r="AZ26" i="34"/>
  <c r="BF26" i="34" s="1"/>
  <c r="AZ40" i="34"/>
  <c r="BF40" i="34" s="1"/>
  <c r="BA26" i="34"/>
  <c r="BG26" i="34" s="1"/>
  <c r="AX28" i="34"/>
  <c r="BD28" i="34" s="1"/>
  <c r="AZ32" i="34"/>
  <c r="BF32" i="34" s="1"/>
  <c r="BA29" i="34"/>
  <c r="BG29" i="34" s="1"/>
  <c r="BA17" i="34"/>
  <c r="BG17" i="34" s="1"/>
  <c r="AX19" i="34"/>
  <c r="BD19" i="34" s="1"/>
  <c r="AZ31" i="34"/>
  <c r="BF31" i="34" s="1"/>
  <c r="AY16" i="34"/>
  <c r="BE16" i="34" s="1"/>
  <c r="AX39" i="34"/>
  <c r="BD39" i="34" s="1"/>
  <c r="BA40" i="34"/>
  <c r="BG40" i="34" s="1"/>
  <c r="BA21" i="34"/>
  <c r="BG21" i="34" s="1"/>
  <c r="AZ33" i="34"/>
  <c r="BF33" i="34" s="1"/>
  <c r="AX25" i="34"/>
  <c r="BD25" i="34" s="1"/>
  <c r="AZ37" i="34"/>
  <c r="BF37" i="34" s="1"/>
  <c r="AX35" i="34"/>
  <c r="BD35" i="34" s="1"/>
  <c r="AJ12" i="34"/>
  <c r="AL12" i="34"/>
  <c r="AK12" i="34"/>
  <c r="AH12" i="34"/>
  <c r="AI12" i="34"/>
  <c r="AJ11" i="34"/>
  <c r="AI11" i="34"/>
  <c r="AH11" i="34"/>
  <c r="AL11" i="34"/>
  <c r="AK11" i="34"/>
  <c r="BC10" i="38"/>
  <c r="BD10" i="38" s="1"/>
  <c r="AI10" i="38"/>
  <c r="AH10" i="38"/>
  <c r="AG10" i="38"/>
  <c r="AO10" i="38" s="1"/>
  <c r="AU10" i="38" s="1"/>
  <c r="AF10" i="38"/>
  <c r="AN10" i="38" s="1"/>
  <c r="AT10" i="38" s="1"/>
  <c r="AE10" i="38"/>
  <c r="AM10" i="38" s="1"/>
  <c r="AS10" i="38" s="1"/>
  <c r="AD10" i="38"/>
  <c r="AL10" i="38" s="1"/>
  <c r="AR10" i="38" s="1"/>
  <c r="AY19" i="34"/>
  <c r="BE19" i="34" s="1"/>
  <c r="AY39" i="34"/>
  <c r="BE39" i="34" s="1"/>
  <c r="AY22" i="34"/>
  <c r="BE22" i="34" s="1"/>
  <c r="AY21" i="34"/>
  <c r="BE21" i="34" s="1"/>
  <c r="AZ38" i="34"/>
  <c r="BF38" i="34" s="1"/>
  <c r="AY34" i="34"/>
  <c r="BE34" i="34" s="1"/>
  <c r="AX37" i="34"/>
  <c r="BD37" i="34" s="1"/>
  <c r="AY35" i="34"/>
  <c r="BE35" i="34" s="1"/>
  <c r="AY30" i="34"/>
  <c r="BE30" i="34" s="1"/>
  <c r="AZ29" i="34"/>
  <c r="BF29" i="34" s="1"/>
  <c r="AX17" i="34"/>
  <c r="BD17" i="34" s="1"/>
  <c r="AY36" i="34"/>
  <c r="BE36" i="34" s="1"/>
  <c r="AZ22" i="34"/>
  <c r="BF22" i="34" s="1"/>
  <c r="AY25" i="34"/>
  <c r="BE25" i="34" s="1"/>
  <c r="AX16" i="34"/>
  <c r="BD16" i="34" s="1"/>
  <c r="AZ20" i="34"/>
  <c r="BF20" i="34" s="1"/>
  <c r="AY17" i="34"/>
  <c r="BE17" i="34" s="1"/>
  <c r="BA36" i="34"/>
  <c r="BG36" i="34" s="1"/>
  <c r="AD9" i="38"/>
  <c r="AI9" i="38"/>
  <c r="AH9" i="38"/>
  <c r="AG9" i="38"/>
  <c r="AF9" i="38"/>
  <c r="AN9" i="38" s="1"/>
  <c r="AT9" i="38" s="1"/>
  <c r="AE9" i="38"/>
  <c r="AX14" i="34"/>
  <c r="BD14" i="34" s="1"/>
  <c r="AY23" i="34"/>
  <c r="BE23" i="34" s="1"/>
  <c r="AX21" i="34"/>
  <c r="BD21" i="34" s="1"/>
  <c r="BA25" i="34"/>
  <c r="BG25" i="34" s="1"/>
  <c r="AY18" i="34"/>
  <c r="BE18" i="34" s="1"/>
  <c r="AJ7" i="34"/>
  <c r="AL7" i="34"/>
  <c r="AK7" i="34"/>
  <c r="AH7" i="34"/>
  <c r="AI7" i="34"/>
  <c r="AY32" i="34"/>
  <c r="BE32" i="34" s="1"/>
  <c r="AZ17" i="34"/>
  <c r="BF17" i="34" s="1"/>
  <c r="AY31" i="34"/>
  <c r="BE31" i="34" s="1"/>
  <c r="BA14" i="34"/>
  <c r="BG14" i="34" s="1"/>
  <c r="BA23" i="34"/>
  <c r="BG23" i="34" s="1"/>
  <c r="AZ21" i="34"/>
  <c r="BF21" i="34" s="1"/>
  <c r="BA33" i="34"/>
  <c r="BG33" i="34" s="1"/>
  <c r="AZ25" i="34"/>
  <c r="BF25" i="34" s="1"/>
  <c r="BA18" i="34"/>
  <c r="BG18" i="34" s="1"/>
  <c r="AU13" i="34"/>
  <c r="AS13" i="34"/>
  <c r="BA13" i="34" s="1"/>
  <c r="BG13" i="34" s="1"/>
  <c r="AR13" i="34"/>
  <c r="AZ13" i="34" s="1"/>
  <c r="BF13" i="34" s="1"/>
  <c r="AQ13" i="34"/>
  <c r="AY13" i="34" s="1"/>
  <c r="BE13" i="34" s="1"/>
  <c r="AT13" i="34"/>
  <c r="AP13" i="34"/>
  <c r="AX13" i="34" s="1"/>
  <c r="BD13" i="34" s="1"/>
  <c r="AX32" i="34"/>
  <c r="BD32" i="34" s="1"/>
  <c r="AX24" i="34"/>
  <c r="BD24" i="34" s="1"/>
  <c r="BC8" i="38"/>
  <c r="BD8" i="38" s="1"/>
  <c r="AG8" i="38"/>
  <c r="AF8" i="38"/>
  <c r="AE8" i="38"/>
  <c r="AM8" i="38" s="1"/>
  <c r="AS8" i="38" s="1"/>
  <c r="AD8" i="38"/>
  <c r="AL8" i="38" s="1"/>
  <c r="AR8" i="38" s="1"/>
  <c r="AI8" i="38"/>
  <c r="AH8" i="38"/>
  <c r="BA27" i="34"/>
  <c r="BG27" i="34" s="1"/>
  <c r="AX31" i="34"/>
  <c r="BD31" i="34" s="1"/>
  <c r="AY26" i="34"/>
  <c r="BE26" i="34" s="1"/>
  <c r="AA11" i="38"/>
  <c r="Z11" i="38"/>
  <c r="Y11" i="38"/>
  <c r="X11" i="38"/>
  <c r="W11" i="38"/>
  <c r="V11" i="38"/>
  <c r="S11" i="38"/>
  <c r="BC11" i="38" s="1"/>
  <c r="BD11" i="38" s="1"/>
  <c r="AZ18" i="34"/>
  <c r="BF18" i="34" s="1"/>
  <c r="AQ15" i="34"/>
  <c r="AY15" i="34" s="1"/>
  <c r="BE15" i="34" s="1"/>
  <c r="AP15" i="34"/>
  <c r="AX15" i="34" s="1"/>
  <c r="BD15" i="34" s="1"/>
  <c r="AU15" i="34"/>
  <c r="AT15" i="34"/>
  <c r="AS15" i="34"/>
  <c r="BA15" i="34" s="1"/>
  <c r="BG15" i="34" s="1"/>
  <c r="AR15" i="34"/>
  <c r="AZ15" i="34" s="1"/>
  <c r="BF15" i="34" s="1"/>
  <c r="AY24" i="34"/>
  <c r="BE24" i="34" s="1"/>
  <c r="AB10" i="38"/>
  <c r="AY29" i="34"/>
  <c r="BE29" i="34" s="1"/>
  <c r="AX27" i="34"/>
  <c r="BD27" i="34" s="1"/>
  <c r="BA31" i="34"/>
  <c r="BG31" i="34" s="1"/>
  <c r="AX26" i="34"/>
  <c r="BD26" i="34" s="1"/>
  <c r="AY14" i="34"/>
  <c r="BE14" i="34" s="1"/>
  <c r="AX40" i="34"/>
  <c r="BD40" i="34" s="1"/>
  <c r="AX23" i="34"/>
  <c r="BD23" i="34" s="1"/>
  <c r="BA38" i="34"/>
  <c r="BG38" i="34" s="1"/>
  <c r="AX33" i="34"/>
  <c r="BD33" i="34" s="1"/>
  <c r="BA35" i="34"/>
  <c r="BG35" i="34" s="1"/>
  <c r="BA20" i="34"/>
  <c r="BG20" i="34" s="1"/>
  <c r="AX29" i="34"/>
  <c r="BD29" i="34" s="1"/>
  <c r="AY27" i="34"/>
  <c r="BE27" i="34" s="1"/>
  <c r="AJ9" i="34"/>
  <c r="AI9" i="34"/>
  <c r="AK9" i="34"/>
  <c r="AL9" i="34"/>
  <c r="AH9" i="34"/>
  <c r="AZ14" i="34"/>
  <c r="BF14" i="34" s="1"/>
  <c r="AY40" i="34"/>
  <c r="BE40" i="34" s="1"/>
  <c r="AZ23" i="34"/>
  <c r="BF23" i="34" s="1"/>
  <c r="AX38" i="34"/>
  <c r="BD38" i="34" s="1"/>
  <c r="AX34" i="34"/>
  <c r="BD34" i="34" s="1"/>
  <c r="AY33" i="34"/>
  <c r="BE33" i="34" s="1"/>
  <c r="BA37" i="34"/>
  <c r="BG37" i="34" s="1"/>
  <c r="AZ35" i="34"/>
  <c r="BF35" i="34" s="1"/>
  <c r="AX20" i="34"/>
  <c r="BD20" i="34" s="1"/>
  <c r="BC8" i="8"/>
  <c r="BD8" i="8" s="1"/>
  <c r="AI8" i="8"/>
  <c r="AH8" i="8"/>
  <c r="AG8" i="8"/>
  <c r="AF8" i="8"/>
  <c r="AN8" i="8" s="1"/>
  <c r="AT8" i="8" s="1"/>
  <c r="AE8" i="8"/>
  <c r="AM8" i="8" s="1"/>
  <c r="AS8" i="8" s="1"/>
  <c r="AD8" i="8"/>
  <c r="AL8" i="8" s="1"/>
  <c r="AR8" i="8" s="1"/>
  <c r="AD6" i="8"/>
  <c r="AL6" i="8" s="1"/>
  <c r="AR6" i="8" s="1"/>
  <c r="AG6" i="8"/>
  <c r="AF6" i="8"/>
  <c r="AN6" i="8" s="1"/>
  <c r="AT6" i="8" s="1"/>
  <c r="AE6" i="8"/>
  <c r="AM6" i="8" s="1"/>
  <c r="BC10" i="8"/>
  <c r="BD10" i="8" s="1"/>
  <c r="AI10" i="8"/>
  <c r="AH10" i="8"/>
  <c r="AG10" i="8"/>
  <c r="AF10" i="8"/>
  <c r="AN10" i="8" s="1"/>
  <c r="AT10" i="8" s="1"/>
  <c r="AE10" i="8"/>
  <c r="AM10" i="8" s="1"/>
  <c r="AS10" i="8" s="1"/>
  <c r="AD10" i="8"/>
  <c r="AL10" i="8" s="1"/>
  <c r="AR10" i="8" s="1"/>
  <c r="BC9" i="8"/>
  <c r="BD9" i="8" s="1"/>
  <c r="AI9" i="8"/>
  <c r="AH9" i="8"/>
  <c r="AG9" i="8"/>
  <c r="AF9" i="8"/>
  <c r="AN9" i="8" s="1"/>
  <c r="AT9" i="8" s="1"/>
  <c r="AE9" i="8"/>
  <c r="AM9" i="8" s="1"/>
  <c r="AS9" i="8" s="1"/>
  <c r="AD9" i="8"/>
  <c r="AL9" i="8" s="1"/>
  <c r="AR9" i="8" s="1"/>
  <c r="AH6" i="34"/>
  <c r="AK6" i="34"/>
  <c r="AI6" i="34"/>
  <c r="AL5" i="34"/>
  <c r="AH5" i="34"/>
  <c r="AK5" i="34"/>
  <c r="AI5" i="34"/>
  <c r="AD41" i="34"/>
  <c r="AE5" i="34"/>
  <c r="AM5" i="34"/>
  <c r="AE10" i="34"/>
  <c r="AE6" i="34"/>
  <c r="AL6" i="34"/>
  <c r="AM6" i="34"/>
  <c r="AI6" i="8"/>
  <c r="AH6" i="8"/>
  <c r="AE11" i="34"/>
  <c r="AE7" i="34"/>
  <c r="AE8" i="34"/>
  <c r="AE9" i="34"/>
  <c r="AE12" i="34"/>
  <c r="BC6" i="8"/>
  <c r="BD6" i="8" s="1"/>
  <c r="S7" i="8"/>
  <c r="BB41" i="8"/>
  <c r="BN41" i="34"/>
  <c r="S41" i="8" l="1"/>
  <c r="AD6" i="38"/>
  <c r="AL6" i="38" s="1"/>
  <c r="AR6" i="38" s="1"/>
  <c r="AO8" i="38"/>
  <c r="AU8" i="38" s="1"/>
  <c r="BC6" i="38"/>
  <c r="BD6" i="38" s="1"/>
  <c r="AI6" i="38"/>
  <c r="AF6" i="38"/>
  <c r="AN6" i="38" s="1"/>
  <c r="AT6" i="38" s="1"/>
  <c r="AE6" i="38"/>
  <c r="AM6" i="38" s="1"/>
  <c r="AS6" i="38" s="1"/>
  <c r="AG6" i="38"/>
  <c r="AO6" i="38" s="1"/>
  <c r="AU6" i="38" s="1"/>
  <c r="BC5" i="8"/>
  <c r="BD5" i="8" s="1"/>
  <c r="AG5" i="8"/>
  <c r="AO5" i="8" s="1"/>
  <c r="AU5" i="8" s="1"/>
  <c r="AI5" i="8"/>
  <c r="AF5" i="8"/>
  <c r="AN5" i="8" s="1"/>
  <c r="AT5" i="8" s="1"/>
  <c r="AO10" i="8"/>
  <c r="AU10" i="8" s="1"/>
  <c r="AJ10" i="8"/>
  <c r="AP10" i="8" s="1"/>
  <c r="AV10" i="8" s="1"/>
  <c r="AO9" i="8"/>
  <c r="AU9" i="8" s="1"/>
  <c r="AJ9" i="8"/>
  <c r="AP9" i="8" s="1"/>
  <c r="AV9" i="8" s="1"/>
  <c r="AO8" i="8"/>
  <c r="AU8" i="8" s="1"/>
  <c r="AJ8" i="8"/>
  <c r="AP8" i="8" s="1"/>
  <c r="AV8" i="8" s="1"/>
  <c r="AH5" i="8"/>
  <c r="AO6" i="8"/>
  <c r="AU6" i="8" s="1"/>
  <c r="AJ6" i="8"/>
  <c r="AP6" i="8" s="1"/>
  <c r="AV6" i="8" s="1"/>
  <c r="AE5" i="8"/>
  <c r="AM5" i="8" s="1"/>
  <c r="AS5" i="8" s="1"/>
  <c r="AB6" i="38"/>
  <c r="AB7" i="38"/>
  <c r="AB5" i="8"/>
  <c r="AO9" i="38"/>
  <c r="AU9" i="38" s="1"/>
  <c r="AM9" i="38"/>
  <c r="AS9" i="38" s="1"/>
  <c r="AB9" i="38"/>
  <c r="V41" i="38"/>
  <c r="BC5" i="38"/>
  <c r="BD5" i="38" s="1"/>
  <c r="AL9" i="38"/>
  <c r="AR9" i="38" s="1"/>
  <c r="AF7" i="38"/>
  <c r="AN7" i="38" s="1"/>
  <c r="AT7" i="38" s="1"/>
  <c r="AB8" i="38"/>
  <c r="AG7" i="38"/>
  <c r="AO7" i="38" s="1"/>
  <c r="AU7" i="38" s="1"/>
  <c r="AI7" i="38"/>
  <c r="AB5" i="38"/>
  <c r="W41" i="38"/>
  <c r="AD7" i="38"/>
  <c r="AL7" i="38" s="1"/>
  <c r="AR7" i="38" s="1"/>
  <c r="X41" i="38"/>
  <c r="BC7" i="38"/>
  <c r="BD7" i="38" s="1"/>
  <c r="Y41" i="38"/>
  <c r="Z41" i="38"/>
  <c r="AA41" i="38"/>
  <c r="AN8" i="38"/>
  <c r="AT8" i="38" s="1"/>
  <c r="AE7" i="38"/>
  <c r="AM7" i="38" s="1"/>
  <c r="AS7" i="38" s="1"/>
  <c r="AE5" i="38"/>
  <c r="AM5" i="38" s="1"/>
  <c r="AS5" i="38" s="1"/>
  <c r="AI5" i="38"/>
  <c r="AF5" i="38"/>
  <c r="AN5" i="38" s="1"/>
  <c r="AT5" i="38" s="1"/>
  <c r="AG5" i="38"/>
  <c r="AO5" i="38" s="1"/>
  <c r="AU5" i="38" s="1"/>
  <c r="AD5" i="38"/>
  <c r="AL5" i="38" s="1"/>
  <c r="AR5" i="38" s="1"/>
  <c r="AT9" i="34"/>
  <c r="AS9" i="34"/>
  <c r="BA9" i="34" s="1"/>
  <c r="BG9" i="34" s="1"/>
  <c r="AR9" i="34"/>
  <c r="AZ9" i="34" s="1"/>
  <c r="BF9" i="34" s="1"/>
  <c r="AP9" i="34"/>
  <c r="AX9" i="34" s="1"/>
  <c r="BD9" i="34" s="1"/>
  <c r="AU9" i="34"/>
  <c r="AQ9" i="34"/>
  <c r="AY9" i="34" s="1"/>
  <c r="BE9" i="34" s="1"/>
  <c r="AB11" i="38"/>
  <c r="AS11" i="34"/>
  <c r="BA11" i="34" s="1"/>
  <c r="BG11" i="34" s="1"/>
  <c r="AR11" i="34"/>
  <c r="AZ11" i="34" s="1"/>
  <c r="BF11" i="34" s="1"/>
  <c r="AP11" i="34"/>
  <c r="AX11" i="34" s="1"/>
  <c r="BD11" i="34" s="1"/>
  <c r="AU11" i="34"/>
  <c r="AT11" i="34"/>
  <c r="AQ11" i="34"/>
  <c r="AY11" i="34" s="1"/>
  <c r="BE11" i="34" s="1"/>
  <c r="AJ10" i="38"/>
  <c r="AP10" i="38" s="1"/>
  <c r="AV10" i="38" s="1"/>
  <c r="AJ8" i="38"/>
  <c r="AP12" i="34"/>
  <c r="AX12" i="34" s="1"/>
  <c r="BD12" i="34" s="1"/>
  <c r="AU12" i="34"/>
  <c r="AT12" i="34"/>
  <c r="AR12" i="34"/>
  <c r="AZ12" i="34" s="1"/>
  <c r="BF12" i="34" s="1"/>
  <c r="AQ12" i="34"/>
  <c r="AY12" i="34" s="1"/>
  <c r="BE12" i="34" s="1"/>
  <c r="AS12" i="34"/>
  <c r="BA12" i="34" s="1"/>
  <c r="BG12" i="34" s="1"/>
  <c r="AE11" i="38"/>
  <c r="AM11" i="38" s="1"/>
  <c r="AD11" i="38"/>
  <c r="AL11" i="38" s="1"/>
  <c r="AI11" i="38"/>
  <c r="AH11" i="38"/>
  <c r="AH41" i="38" s="1"/>
  <c r="AG11" i="38"/>
  <c r="AF11" i="38"/>
  <c r="AN11" i="38" s="1"/>
  <c r="AT11" i="38" s="1"/>
  <c r="AR8" i="34"/>
  <c r="AZ8" i="34" s="1"/>
  <c r="BF8" i="34" s="1"/>
  <c r="AT8" i="34"/>
  <c r="AS8" i="34"/>
  <c r="BA8" i="34" s="1"/>
  <c r="BG8" i="34" s="1"/>
  <c r="AP8" i="34"/>
  <c r="AX8" i="34" s="1"/>
  <c r="BD8" i="34" s="1"/>
  <c r="AU8" i="34"/>
  <c r="AQ8" i="34"/>
  <c r="AY8" i="34" s="1"/>
  <c r="BE8" i="34" s="1"/>
  <c r="AP10" i="34"/>
  <c r="AX10" i="34" s="1"/>
  <c r="BD10" i="34" s="1"/>
  <c r="AU10" i="34"/>
  <c r="AT10" i="34"/>
  <c r="AR10" i="34"/>
  <c r="AZ10" i="34" s="1"/>
  <c r="BF10" i="34" s="1"/>
  <c r="AQ10" i="34"/>
  <c r="AY10" i="34" s="1"/>
  <c r="BE10" i="34" s="1"/>
  <c r="AS10" i="34"/>
  <c r="BA10" i="34" s="1"/>
  <c r="BG10" i="34" s="1"/>
  <c r="AJ9" i="38"/>
  <c r="AP7" i="34"/>
  <c r="AX7" i="34" s="1"/>
  <c r="BD7" i="34" s="1"/>
  <c r="AU7" i="34"/>
  <c r="AT7" i="34"/>
  <c r="AR7" i="34"/>
  <c r="AZ7" i="34" s="1"/>
  <c r="BF7" i="34" s="1"/>
  <c r="AQ7" i="34"/>
  <c r="AY7" i="34" s="1"/>
  <c r="BE7" i="34" s="1"/>
  <c r="AS7" i="34"/>
  <c r="BC7" i="8"/>
  <c r="BD7" i="8" s="1"/>
  <c r="AH7" i="8"/>
  <c r="AG7" i="8"/>
  <c r="AF7" i="8"/>
  <c r="AN7" i="8" s="1"/>
  <c r="AT7" i="8" s="1"/>
  <c r="AE7" i="8"/>
  <c r="AM7" i="8" s="1"/>
  <c r="AS7" i="8" s="1"/>
  <c r="AD7" i="8"/>
  <c r="AL7" i="8" s="1"/>
  <c r="AR7" i="8" s="1"/>
  <c r="AI7" i="8"/>
  <c r="AS6" i="34"/>
  <c r="AR6" i="34"/>
  <c r="AZ6" i="34" s="1"/>
  <c r="BF6" i="34" s="1"/>
  <c r="AQ6" i="34"/>
  <c r="AY6" i="34" s="1"/>
  <c r="BE6" i="34" s="1"/>
  <c r="AP6" i="34"/>
  <c r="AX6" i="34" s="1"/>
  <c r="BD6" i="34" s="1"/>
  <c r="AN6" i="34"/>
  <c r="AS5" i="34"/>
  <c r="BA5" i="34" s="1"/>
  <c r="AR5" i="34"/>
  <c r="AP5" i="34"/>
  <c r="AQ5" i="34"/>
  <c r="AJ41" i="34"/>
  <c r="AI41" i="34"/>
  <c r="AK41" i="34"/>
  <c r="AN5" i="34"/>
  <c r="AH41" i="34"/>
  <c r="BO6" i="34"/>
  <c r="BP6" i="34" s="1"/>
  <c r="AE41" i="34"/>
  <c r="AT5" i="34"/>
  <c r="AU5" i="34"/>
  <c r="BO5" i="34"/>
  <c r="BP5" i="34" s="1"/>
  <c r="AA41" i="8"/>
  <c r="AL41" i="34"/>
  <c r="AT6" i="34"/>
  <c r="AU6" i="34"/>
  <c r="AM41" i="34"/>
  <c r="Y41" i="8"/>
  <c r="AS6" i="8"/>
  <c r="AJ5" i="8" l="1"/>
  <c r="AP5" i="8" s="1"/>
  <c r="AV5" i="8" s="1"/>
  <c r="AJ6" i="38"/>
  <c r="AP6" i="38" s="1"/>
  <c r="AV6" i="38" s="1"/>
  <c r="BD41" i="8"/>
  <c r="AH41" i="8"/>
  <c r="BA7" i="34"/>
  <c r="BG7" i="34" s="1"/>
  <c r="AV7" i="34"/>
  <c r="BB7" i="34" s="1"/>
  <c r="BH7" i="34" s="1"/>
  <c r="AO7" i="8"/>
  <c r="AU7" i="8" s="1"/>
  <c r="AJ7" i="8"/>
  <c r="AP7" i="8" s="1"/>
  <c r="AV7" i="8" s="1"/>
  <c r="AI41" i="38"/>
  <c r="AP9" i="38"/>
  <c r="AV9" i="38" s="1"/>
  <c r="AJ7" i="38"/>
  <c r="AP7" i="38" s="1"/>
  <c r="AV7" i="38" s="1"/>
  <c r="AG41" i="38"/>
  <c r="AJ5" i="38"/>
  <c r="AP5" i="38" s="1"/>
  <c r="AV5" i="38" s="1"/>
  <c r="BC41" i="38"/>
  <c r="AP8" i="38"/>
  <c r="AV8" i="38" s="1"/>
  <c r="BD41" i="38"/>
  <c r="AF41" i="8"/>
  <c r="AE41" i="38"/>
  <c r="AM41" i="38"/>
  <c r="AS41" i="38" s="1"/>
  <c r="AL41" i="38"/>
  <c r="AR41" i="38" s="1"/>
  <c r="AD41" i="38"/>
  <c r="AF41" i="38"/>
  <c r="AJ11" i="38"/>
  <c r="AP11" i="38" s="1"/>
  <c r="AV11" i="38" s="1"/>
  <c r="AR11" i="38"/>
  <c r="AS11" i="38"/>
  <c r="AN41" i="38"/>
  <c r="AT41" i="38" s="1"/>
  <c r="AP41" i="34"/>
  <c r="AB41" i="38"/>
  <c r="AR41" i="34"/>
  <c r="AO11" i="38"/>
  <c r="AQ41" i="34"/>
  <c r="AU41" i="34"/>
  <c r="AV6" i="34"/>
  <c r="BB6" i="34" s="1"/>
  <c r="BH6" i="34" s="1"/>
  <c r="AT41" i="34"/>
  <c r="BA6" i="34"/>
  <c r="BG6" i="34" s="1"/>
  <c r="AY5" i="34"/>
  <c r="AY41" i="34" s="1"/>
  <c r="BE41" i="34" s="1"/>
  <c r="AX5" i="34"/>
  <c r="AX41" i="34" s="1"/>
  <c r="BD41" i="34" s="1"/>
  <c r="AZ5" i="34"/>
  <c r="AN41" i="34"/>
  <c r="BG5" i="34"/>
  <c r="AS41" i="34"/>
  <c r="AV5" i="34"/>
  <c r="AI41" i="8"/>
  <c r="BO41" i="34"/>
  <c r="BC41" i="8"/>
  <c r="AE41" i="8"/>
  <c r="AD41" i="8"/>
  <c r="AG41" i="8"/>
  <c r="BP41" i="34"/>
  <c r="AO41" i="38" l="1"/>
  <c r="AU41" i="38" s="1"/>
  <c r="AU11" i="38"/>
  <c r="AV41" i="34"/>
  <c r="BA41" i="34"/>
  <c r="BG41" i="34" s="1"/>
  <c r="BD5" i="34"/>
  <c r="BE5" i="34"/>
  <c r="BB5" i="34"/>
  <c r="AZ41" i="34"/>
  <c r="BF41" i="34" s="1"/>
  <c r="BF5" i="34"/>
  <c r="AJ41" i="38"/>
  <c r="AJ41" i="8"/>
  <c r="AB41" i="8"/>
  <c r="X41" i="8"/>
  <c r="BB41" i="34" l="1"/>
  <c r="BH41" i="34" s="1"/>
  <c r="BH5" i="34"/>
  <c r="AP41" i="38"/>
  <c r="AV41" i="38" s="1"/>
  <c r="AP41" i="8"/>
  <c r="AV41" i="8" s="1"/>
  <c r="AO41" i="8"/>
  <c r="AU41" i="8" s="1"/>
  <c r="V41" i="8"/>
  <c r="W41" i="8"/>
  <c r="AN41" i="8" l="1"/>
  <c r="AT41" i="8" s="1"/>
  <c r="AL41" i="8"/>
  <c r="AR41" i="8" s="1"/>
  <c r="AM41" i="8"/>
  <c r="AS4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Baker</author>
  </authors>
  <commentList>
    <comment ref="B28" authorId="0" shapeId="0" xr:uid="{D462D05B-445C-4501-9636-18BAF66FA3D9}">
      <text>
        <r>
          <rPr>
            <b/>
            <sz val="9"/>
            <color indexed="81"/>
            <rFont val="Tahoma"/>
            <family val="2"/>
          </rPr>
          <t>Example cell with "mouse over"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V2" authorId="0" shapeId="0" xr:uid="{836A94D4-EDD2-4550-89A3-193BCD8CB0A8}">
      <text>
        <r>
          <rPr>
            <b/>
            <sz val="9"/>
            <color indexed="81"/>
            <rFont val="Tahoma"/>
            <family val="2"/>
          </rPr>
          <t>Emissions are for stationary operation only. Calculator does not account for onroad operation.</t>
        </r>
      </text>
    </comment>
    <comment ref="AD2" authorId="0" shapeId="0" xr:uid="{07E2CA6D-896C-4634-BD54-8D5AF6BCEDF9}">
      <text>
        <r>
          <rPr>
            <b/>
            <sz val="9"/>
            <color indexed="81"/>
            <rFont val="Tahoma"/>
            <family val="2"/>
          </rPr>
          <t>Emissions are for stationary operation only. Calculator does not account for onroad operation.</t>
        </r>
      </text>
    </comment>
    <comment ref="AL2" authorId="0" shapeId="0" xr:uid="{6BDD8C66-3465-403A-884A-6F948CEA3EE4}">
      <text>
        <r>
          <rPr>
            <b/>
            <sz val="9"/>
            <color indexed="81"/>
            <rFont val="Tahoma"/>
            <family val="2"/>
          </rPr>
          <t>Emissions are for stationary operation only. Calculator does not account for onroad operation.</t>
        </r>
      </text>
    </comment>
    <comment ref="AR2" authorId="0" shapeId="0" xr:uid="{4741CE97-6C85-4609-B87F-F001C1D663E3}">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AB3" authorId="1" shapeId="0" xr:uid="{E2546A94-E97F-4D46-BB85-E25E5B4D1A37}">
      <text>
        <r>
          <rPr>
            <b/>
            <sz val="9"/>
            <color indexed="81"/>
            <rFont val="Tahoma"/>
            <family val="2"/>
          </rPr>
          <t xml:space="preserve">
= CO2 + 25 x CH4 + 298 x N2O</t>
        </r>
        <r>
          <rPr>
            <sz val="9"/>
            <color indexed="81"/>
            <rFont val="Tahoma"/>
            <family val="2"/>
          </rPr>
          <t xml:space="preserve">
</t>
        </r>
      </text>
    </comment>
    <comment ref="AJ3" authorId="1" shapeId="0" xr:uid="{6094A974-AC1B-41AA-9FF8-7F66CE9D8F8A}">
      <text>
        <r>
          <rPr>
            <b/>
            <sz val="9"/>
            <color indexed="81"/>
            <rFont val="Tahoma"/>
            <family val="2"/>
          </rPr>
          <t xml:space="preserve">
= CO2 + 25 x CH4 + 298 x N2O</t>
        </r>
        <r>
          <rPr>
            <sz val="9"/>
            <color indexed="81"/>
            <rFont val="Tahoma"/>
            <family val="2"/>
          </rPr>
          <t xml:space="preserve">
</t>
        </r>
      </text>
    </comment>
    <comment ref="AP3" authorId="1" shapeId="0" xr:uid="{716B3202-771D-4553-AB74-17DF4C0A9228}">
      <text>
        <r>
          <rPr>
            <b/>
            <sz val="9"/>
            <color indexed="81"/>
            <rFont val="Tahoma"/>
            <family val="2"/>
          </rPr>
          <t xml:space="preserve">
= CO2 + 25 x CH4 + 298 x N2O</t>
        </r>
        <r>
          <rPr>
            <sz val="9"/>
            <color indexed="81"/>
            <rFont val="Tahoma"/>
            <family val="2"/>
          </rPr>
          <t xml:space="preserve">
</t>
        </r>
      </text>
    </comment>
    <comment ref="AV3" authorId="1" shapeId="0" xr:uid="{23B16E79-9652-4ADD-A2FA-2E6B7769F6C8}">
      <text>
        <r>
          <rPr>
            <b/>
            <sz val="9"/>
            <color indexed="81"/>
            <rFont val="Tahoma"/>
            <family val="2"/>
          </rPr>
          <t xml:space="preserve">
= CO2 + 25 x CH4 + 298 x N2O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AH2" authorId="0" shapeId="0" xr:uid="{0F5B3E1D-F5C6-4B62-B39C-B2D9A8ED4A8F}">
      <text>
        <r>
          <rPr>
            <b/>
            <sz val="9"/>
            <color indexed="81"/>
            <rFont val="Tahoma"/>
            <family val="2"/>
          </rPr>
          <t>Emissions are for stationary operation only. Calculator does not account for onroad operation.</t>
        </r>
      </text>
    </comment>
    <comment ref="AP2" authorId="0" shapeId="0" xr:uid="{DD0B4A7F-70C3-4A65-8DE3-7F572BF69C9D}">
      <text>
        <r>
          <rPr>
            <b/>
            <sz val="9"/>
            <color indexed="81"/>
            <rFont val="Tahoma"/>
            <family val="2"/>
          </rPr>
          <t>Emissions are for stationary operation only. Calculator does not account for onroad operation.</t>
        </r>
      </text>
    </comment>
    <comment ref="AX2" authorId="0" shapeId="0" xr:uid="{E0A0C791-A0C0-4C3B-9608-5C4DFCFE842B}">
      <text>
        <r>
          <rPr>
            <b/>
            <sz val="9"/>
            <color indexed="81"/>
            <rFont val="Tahoma"/>
            <family val="2"/>
          </rPr>
          <t>Emissions are for stationary operation only. Calculator does not account for onroad operation.</t>
        </r>
      </text>
    </comment>
    <comment ref="BD2" authorId="0" shapeId="0" xr:uid="{EBB6A2F6-3DE2-40BF-894B-DBEB9A6045CE}">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J3" authorId="0" shapeId="0" xr:uid="{89B07579-8AF6-4EA5-9294-72077260F3AE}">
      <text>
        <r>
          <rPr>
            <b/>
            <sz val="9"/>
            <color indexed="81"/>
            <rFont val="Tahoma"/>
            <family val="2"/>
          </rPr>
          <t>Average fraction of rated power used (0.0 - 1.0)</t>
        </r>
      </text>
    </comment>
    <comment ref="Q3" authorId="0" shapeId="0" xr:uid="{820689DB-D7D9-464C-8907-17E282B63225}">
      <text>
        <r>
          <rPr>
            <b/>
            <sz val="9"/>
            <color indexed="81"/>
            <rFont val="Tahoma"/>
            <family val="2"/>
          </rPr>
          <t>Total number of eTRUs divided by total number of plugs. Numeric inputs should be &gt;= 1.0</t>
        </r>
      </text>
    </comment>
    <comment ref="AN3" authorId="1" shapeId="0" xr:uid="{3C3AB90C-FD15-414E-B84B-5F08D0718C7E}">
      <text>
        <r>
          <rPr>
            <b/>
            <sz val="9"/>
            <color indexed="81"/>
            <rFont val="Tahoma"/>
            <family val="2"/>
          </rPr>
          <t xml:space="preserve">
= CO2 + 25 x CH4 + 298 x N2O</t>
        </r>
        <r>
          <rPr>
            <sz val="9"/>
            <color indexed="81"/>
            <rFont val="Tahoma"/>
            <family val="2"/>
          </rPr>
          <t xml:space="preserve">
</t>
        </r>
      </text>
    </comment>
    <comment ref="AV3" authorId="1" shapeId="0" xr:uid="{1E386E91-E6AB-4E80-A99F-F96B39D3C55C}">
      <text>
        <r>
          <rPr>
            <b/>
            <sz val="9"/>
            <color indexed="81"/>
            <rFont val="Tahoma"/>
            <family val="2"/>
          </rPr>
          <t xml:space="preserve">
= CO2 + 25 x CH4 + 298 x N2O</t>
        </r>
        <r>
          <rPr>
            <sz val="9"/>
            <color indexed="81"/>
            <rFont val="Tahoma"/>
            <family val="2"/>
          </rPr>
          <t xml:space="preserve">
</t>
        </r>
      </text>
    </comment>
    <comment ref="BB3" authorId="1" shapeId="0" xr:uid="{5D3A7347-3C49-40A3-968B-34FF133481CA}">
      <text>
        <r>
          <rPr>
            <b/>
            <sz val="9"/>
            <color indexed="81"/>
            <rFont val="Tahoma"/>
            <family val="2"/>
          </rPr>
          <t xml:space="preserve">
= CO2 + 25 x CH4 + 298 x N2O</t>
        </r>
        <r>
          <rPr>
            <sz val="9"/>
            <color indexed="81"/>
            <rFont val="Tahoma"/>
            <family val="2"/>
          </rPr>
          <t xml:space="preserve">
</t>
        </r>
      </text>
    </comment>
    <comment ref="BH3" authorId="1" shapeId="0" xr:uid="{E28A6007-8FBC-4540-BD2B-DB062C9945B5}">
      <text>
        <r>
          <rPr>
            <b/>
            <sz val="9"/>
            <color indexed="81"/>
            <rFont val="Tahoma"/>
            <family val="2"/>
          </rPr>
          <t xml:space="preserve">
= CO2 + 25 x CH4 + 298 x N2O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V2" authorId="0" shapeId="0" xr:uid="{E1E7252A-4C25-4F49-B529-D474A34A9B6F}">
      <text>
        <r>
          <rPr>
            <b/>
            <sz val="9"/>
            <color indexed="81"/>
            <rFont val="Tahoma"/>
            <family val="2"/>
          </rPr>
          <t>Emissions are for stationary operation only. Calculator does not account for onroad operation.</t>
        </r>
      </text>
    </comment>
    <comment ref="AD2" authorId="0" shapeId="0" xr:uid="{2A2FFB2C-34AC-44EE-A897-C777DF4DF325}">
      <text>
        <r>
          <rPr>
            <b/>
            <sz val="9"/>
            <color indexed="81"/>
            <rFont val="Tahoma"/>
            <family val="2"/>
          </rPr>
          <t>Emissions are for stationary operation only. Calculator does not account for onroad operation.</t>
        </r>
      </text>
    </comment>
    <comment ref="AL2" authorId="0" shapeId="0" xr:uid="{D989FE06-9E71-4AD0-9DA9-4008F9C40F0C}">
      <text>
        <r>
          <rPr>
            <b/>
            <sz val="9"/>
            <color indexed="81"/>
            <rFont val="Tahoma"/>
            <family val="2"/>
          </rPr>
          <t>Emissions are for stationary operation only. Calculator does not account for onroad operation.</t>
        </r>
      </text>
    </comment>
    <comment ref="AR2" authorId="0" shapeId="0" xr:uid="{288F719B-2B3A-455E-9D48-C11F643BF9F6}">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AB3" authorId="1" shapeId="0" xr:uid="{4F6B5EA1-492B-4A32-9F33-84FBEBFF586B}">
      <text>
        <r>
          <rPr>
            <b/>
            <sz val="9"/>
            <color indexed="81"/>
            <rFont val="Tahoma"/>
            <family val="2"/>
          </rPr>
          <t xml:space="preserve">
= CO2 + 25 x CH4 + 298 x N2O</t>
        </r>
        <r>
          <rPr>
            <sz val="9"/>
            <color indexed="81"/>
            <rFont val="Tahoma"/>
            <family val="2"/>
          </rPr>
          <t xml:space="preserve">
</t>
        </r>
      </text>
    </comment>
    <comment ref="AJ3" authorId="1" shapeId="0" xr:uid="{F0114B4B-BEC6-4539-9412-2E30295772C2}">
      <text>
        <r>
          <rPr>
            <b/>
            <sz val="9"/>
            <color indexed="81"/>
            <rFont val="Tahoma"/>
            <family val="2"/>
          </rPr>
          <t xml:space="preserve">
= CO2 + 25 x CH4 + 298 x N2O</t>
        </r>
        <r>
          <rPr>
            <sz val="9"/>
            <color indexed="81"/>
            <rFont val="Tahoma"/>
            <family val="2"/>
          </rPr>
          <t xml:space="preserve">
</t>
        </r>
      </text>
    </comment>
    <comment ref="AP3" authorId="1" shapeId="0" xr:uid="{F1890290-CB2F-4079-822D-D0A273D9A1E0}">
      <text>
        <r>
          <rPr>
            <b/>
            <sz val="9"/>
            <color indexed="81"/>
            <rFont val="Tahoma"/>
            <family val="2"/>
          </rPr>
          <t xml:space="preserve">
= CO2 + 25 x CH4 + 298 x N2O</t>
        </r>
        <r>
          <rPr>
            <sz val="9"/>
            <color indexed="81"/>
            <rFont val="Tahoma"/>
            <family val="2"/>
          </rPr>
          <t xml:space="preserve">
</t>
        </r>
      </text>
    </comment>
    <comment ref="AV3" authorId="1" shapeId="0" xr:uid="{8DE4C93B-7224-44A0-A1E6-8D070147C8DB}">
      <text>
        <r>
          <rPr>
            <b/>
            <sz val="9"/>
            <color indexed="81"/>
            <rFont val="Tahoma"/>
            <family val="2"/>
          </rPr>
          <t xml:space="preserve">
= CO2 + 25 x CH4 + 298 x N2O</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Rick Baker</author>
  </authors>
  <commentList>
    <comment ref="A32" authorId="0" shapeId="0" xr:uid="{CE0F8651-38AD-4A97-B191-58A76162A605}">
      <text>
        <r>
          <rPr>
            <b/>
            <sz val="9"/>
            <color indexed="81"/>
            <rFont val="Tahoma"/>
            <family val="2"/>
          </rPr>
          <t>Example: 2015 price adjusted to 2020 $ by multiplying by 260.474/236.525</t>
        </r>
      </text>
    </comment>
  </commentList>
</comments>
</file>

<file path=xl/sharedStrings.xml><?xml version="1.0" encoding="utf-8"?>
<sst xmlns="http://schemas.openxmlformats.org/spreadsheetml/2006/main" count="1034" uniqueCount="421">
  <si>
    <t>Annual Region Emission Rate (g/kWh)</t>
  </si>
  <si>
    <t>eGRID Subregion</t>
  </si>
  <si>
    <t xml:space="preserve">Subregion Name </t>
  </si>
  <si>
    <t>AKGD</t>
  </si>
  <si>
    <t>ASCC Alaska Grid</t>
  </si>
  <si>
    <t>AKMS</t>
  </si>
  <si>
    <t>ASCC Miscellaneous</t>
  </si>
  <si>
    <t>ERCT</t>
  </si>
  <si>
    <t>ERCOT All</t>
  </si>
  <si>
    <t>FRCC</t>
  </si>
  <si>
    <t>FRCC All</t>
  </si>
  <si>
    <t>HIMS</t>
  </si>
  <si>
    <t>HICC Miscellaneous</t>
  </si>
  <si>
    <t>HIOA</t>
  </si>
  <si>
    <t>HICC Oahu</t>
  </si>
  <si>
    <t>MROE</t>
  </si>
  <si>
    <t>MRO East</t>
  </si>
  <si>
    <t>MROW</t>
  </si>
  <si>
    <t>MRO West</t>
  </si>
  <si>
    <t>NYLI</t>
  </si>
  <si>
    <t>NPCC Long Island</t>
  </si>
  <si>
    <t>NYCW</t>
  </si>
  <si>
    <t>NPCC NYC/Westchester</t>
  </si>
  <si>
    <t>NEWE</t>
  </si>
  <si>
    <t>NPCC New England</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</si>
  <si>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</si>
  <si>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</si>
  <si>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</si>
  <si>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</si>
  <si>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</si>
  <si>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</si>
  <si>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</si>
  <si>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</si>
  <si>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</si>
  <si>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</si>
  <si>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</si>
  <si>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</si>
  <si>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</si>
  <si>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</si>
  <si>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</si>
  <si>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</si>
  <si>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</si>
  <si>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</si>
  <si>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</si>
  <si>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</si>
  <si>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</si>
  <si>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</si>
  <si>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</si>
  <si>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</si>
  <si>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</si>
  <si>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</si>
  <si>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</si>
  <si>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</si>
  <si>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</si>
  <si>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</si>
  <si>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Dropdown</t>
  </si>
  <si>
    <t>Output</t>
  </si>
  <si>
    <t>MI</t>
  </si>
  <si>
    <t>NY</t>
  </si>
  <si>
    <t>CA</t>
  </si>
  <si>
    <t>TX</t>
  </si>
  <si>
    <t>KS</t>
  </si>
  <si>
    <t>HI</t>
  </si>
  <si>
    <t>OK</t>
  </si>
  <si>
    <t>AK</t>
  </si>
  <si>
    <t>MO</t>
  </si>
  <si>
    <t>WI</t>
  </si>
  <si>
    <t>FL</t>
  </si>
  <si>
    <t>MT</t>
  </si>
  <si>
    <t>Difference (MT)</t>
  </si>
  <si>
    <t>Percent Difference</t>
  </si>
  <si>
    <t>GGL</t>
  </si>
  <si>
    <t>USER DEFINED 1</t>
  </si>
  <si>
    <t>USER DEFINED 2</t>
  </si>
  <si>
    <t>GGL (%)</t>
  </si>
  <si>
    <t>Emissions Calculator: Transport Refrigeration Unit (TRU) - General Calculator</t>
  </si>
  <si>
    <t>TRU Type</t>
  </si>
  <si>
    <t>TRU Model Year</t>
  </si>
  <si>
    <t>Average Load Factor</t>
  </si>
  <si>
    <t>Total Annual Engine Hours</t>
  </si>
  <si>
    <t>Fraction Annual Engine Hours Stationary with Plug-in Access</t>
  </si>
  <si>
    <t>Average TRU Capital Cost ($)</t>
  </si>
  <si>
    <t>CARB 2019a</t>
  </si>
  <si>
    <t>CARB 2019b</t>
  </si>
  <si>
    <t>CARB 2011</t>
  </si>
  <si>
    <t>EPRI 2015</t>
  </si>
  <si>
    <t>2018 Manufacturer Quotes</t>
  </si>
  <si>
    <t>Phone contact with TRU Manufacturers, Various, 2018.</t>
  </si>
  <si>
    <t>PADD 2 (Midwest): Illinois, Indiana, Iowa, Kansas, Kentucky, Michigan, Minnesota, Missouri, Nebraska, North Dakota, Ohio, Oklahoma, South Dakota, Tennessee, Wisconsin.</t>
  </si>
  <si>
    <t>PADD 3 (Gulf Coast): Alabama, Arkansas, Louisiana, Mississippi, New Mexico, Texas.</t>
  </si>
  <si>
    <t>PADD 4 (Rocky Mountain): Colorado, Idaho, Montana, Utah, Wyoming.</t>
  </si>
  <si>
    <t>U.S. Average</t>
  </si>
  <si>
    <t>Year</t>
  </si>
  <si>
    <t>Data Status</t>
  </si>
  <si>
    <t>Final</t>
  </si>
  <si>
    <t>US</t>
  </si>
  <si>
    <t>Data Sources</t>
  </si>
  <si>
    <t>Average TRU Capital Cost: 2018 Manufacturer Quotes</t>
  </si>
  <si>
    <t>Average Maintenance Cost: 2018 Manufacturer Quotes</t>
  </si>
  <si>
    <t>Diesel TRU Average Maintenance Cost ($/Annual Engine Hour)</t>
  </si>
  <si>
    <t>eTRU Average Maintenance Cost Savings Compared to Diesel TRU</t>
  </si>
  <si>
    <t>Diesel TRU Emission Factors</t>
  </si>
  <si>
    <t>EPA MOVES3</t>
  </si>
  <si>
    <t>Data Source</t>
  </si>
  <si>
    <t>PADD 1A (New England): Connecticut, Maine, Massachusetts, New Hampshire, Rhode Island, Vermont.</t>
  </si>
  <si>
    <t>PADD 1B (Central Atlantic): Delaware, District of Columbia, Maryland, New Jersey, New York, Pennsylvania.</t>
  </si>
  <si>
    <t>PADD 1C (Lower Atlantic): Florida, Georgia, North Carolina, South Carolina, Virginia, West Virginia.</t>
  </si>
  <si>
    <r>
      <t>NO</t>
    </r>
    <r>
      <rPr>
        <b/>
        <vertAlign val="subscript"/>
        <sz val="11"/>
        <color rgb="FF000000"/>
        <rFont val="Calibri"/>
        <family val="2"/>
      </rPr>
      <t>x</t>
    </r>
  </si>
  <si>
    <r>
      <t>PM</t>
    </r>
    <r>
      <rPr>
        <b/>
        <vertAlign val="subscript"/>
        <sz val="11"/>
        <color rgb="FF000000"/>
        <rFont val="Calibri"/>
        <family val="2"/>
      </rPr>
      <t>2.5</t>
    </r>
  </si>
  <si>
    <t>User Type</t>
  </si>
  <si>
    <t>Agency Manager</t>
  </si>
  <si>
    <t>Vendor/Manufacturer</t>
  </si>
  <si>
    <t>Other</t>
  </si>
  <si>
    <t>Model Year</t>
  </si>
  <si>
    <t>Trailer TRU &lt; 25 hp</t>
  </si>
  <si>
    <t>Trailer TRU &gt; 25 hp</t>
  </si>
  <si>
    <t>Truck TRU</t>
  </si>
  <si>
    <t>Trailer Model Year</t>
  </si>
  <si>
    <t>Truck Model Year</t>
  </si>
  <si>
    <t>Number of TRUs</t>
  </si>
  <si>
    <t>Average Regional Electricity Price ($/kWh)</t>
  </si>
  <si>
    <t>Incremental Capital Cost per eTRU ($)</t>
  </si>
  <si>
    <t>Electric Infrastructure Capital Cost per eTRU ($)</t>
  </si>
  <si>
    <t>Annual eTRU Maintenance Savings ($)</t>
  </si>
  <si>
    <t>For lookup</t>
  </si>
  <si>
    <t>Diesel TRU Emissions (MT)</t>
  </si>
  <si>
    <t>eTRU Emissions (MT)</t>
  </si>
  <si>
    <t>Total Electric Infrastructure Cost ($)</t>
  </si>
  <si>
    <t>Total Capital Cost ($)</t>
  </si>
  <si>
    <t>Numeric Input</t>
  </si>
  <si>
    <t>Average Regional Diesel Fuel Price ($/gal)</t>
  </si>
  <si>
    <t>Fleet Manager</t>
  </si>
  <si>
    <t>States</t>
  </si>
  <si>
    <t>AZ, NM, NV</t>
  </si>
  <si>
    <t>IA, MN, ND, NE, SD</t>
  </si>
  <si>
    <t>CT, MA, ME, NH, RI, VT</t>
  </si>
  <si>
    <t>ID, MT, OR, UT, WA</t>
  </si>
  <si>
    <t>DC, DE, MD, NJ, PA</t>
  </si>
  <si>
    <t>IL, IN, OH, WI, WV</t>
  </si>
  <si>
    <t>CO, WY</t>
  </si>
  <si>
    <t>AR, LA, MS</t>
  </si>
  <si>
    <t>AL, GA</t>
  </si>
  <si>
    <t>KY, TN</t>
  </si>
  <si>
    <t>NC, SC</t>
  </si>
  <si>
    <t>PADD 5 Less California: Alaska, Arizona, California, Hawaii, Nevada, Oregon, Washington.</t>
  </si>
  <si>
    <t>PADD 5: California</t>
  </si>
  <si>
    <t> PADD 1B (Central Atlantic): Delaware, District of Columbia, Maryland, New Jersey, New York, Pennsylvania.</t>
  </si>
  <si>
    <t>PADD 4 (Rocky Mountain): Colorado, Idaho, Montana, Utah, Wyoming.
PADD 5 Less California: Alaska, Arizona, California, Hawaii, Nevada, Oregon, Washington.</t>
  </si>
  <si>
    <t>PADD 3 (Gulf Coast): Alabama, Arkansas, Louisiana, Mississippi, New Mexico, Texas.
PADD 5 Less California: Alaska, Arizona, California, Hawaii, Nevada, Oregon, Washington.</t>
  </si>
  <si>
    <t> PADD 1C (Lower Atlantic): Florida, Georgia, North Carolina, South Carolina, Virginia, West Virginia.
PADD 2 (Midwest): Illinois, Indiana, Iowa, Kansas, Kentucky, Michigan, Minnesota, Missouri, Nebraska, North Dakota, Ohio, Oklahoma, South Dakota, Tennessee, Wisconsin.</t>
  </si>
  <si>
    <t>PADD Region(s)</t>
  </si>
  <si>
    <t>PADD 1C (Lower Atlantic): Florida, Georgia, North Carolina, South Carolina, Virginia, West Virginia.
PADD 3 (Gulf Coast): Alabama, Arkansas, Louisiana, Mississippi, New Mexico, Texas.</t>
  </si>
  <si>
    <t>Max Engine Power (kW)*</t>
  </si>
  <si>
    <t>Default</t>
  </si>
  <si>
    <t>All U.S.</t>
  </si>
  <si>
    <t>User Guide for Shore Power Emissions Calculator</t>
  </si>
  <si>
    <t>General Calculator</t>
  </si>
  <si>
    <t>Footnotes</t>
  </si>
  <si>
    <t>Acronyms and Abbreviations</t>
  </si>
  <si>
    <r>
      <t>CO</t>
    </r>
    <r>
      <rPr>
        <vertAlign val="subscript"/>
        <sz val="12"/>
        <color theme="1"/>
        <rFont val="Arial"/>
        <family val="2"/>
      </rPr>
      <t>2</t>
    </r>
  </si>
  <si>
    <t>Carbon dioxide</t>
  </si>
  <si>
    <t>eGRID</t>
  </si>
  <si>
    <t>Emissions &amp; Generation Resource Integrated Database</t>
  </si>
  <si>
    <t>EPA</t>
  </si>
  <si>
    <t>United States Environmental Protection Agency</t>
  </si>
  <si>
    <t>g</t>
  </si>
  <si>
    <t>Grams</t>
  </si>
  <si>
    <t>Gross grid loss</t>
  </si>
  <si>
    <t>kW</t>
  </si>
  <si>
    <t>Kilowatt</t>
  </si>
  <si>
    <t>kWh</t>
  </si>
  <si>
    <t>Kilowatt-hour</t>
  </si>
  <si>
    <t>Nitrogen oxides</t>
  </si>
  <si>
    <r>
      <t>PM</t>
    </r>
    <r>
      <rPr>
        <vertAlign val="subscript"/>
        <sz val="12"/>
        <color theme="1"/>
        <rFont val="Arial"/>
        <family val="2"/>
      </rPr>
      <t>2.5</t>
    </r>
  </si>
  <si>
    <t>Particulate matter 2.5µm or smaller in diameter</t>
  </si>
  <si>
    <r>
      <t>SO</t>
    </r>
    <r>
      <rPr>
        <vertAlign val="subscript"/>
        <sz val="12"/>
        <color theme="1"/>
        <rFont val="Arial"/>
        <family val="2"/>
      </rPr>
      <t>2</t>
    </r>
  </si>
  <si>
    <t>Sulfur dioxide</t>
  </si>
  <si>
    <t>Go to General Calculator</t>
  </si>
  <si>
    <t>Grams To MT</t>
  </si>
  <si>
    <t>Annual Maintenance Savings per eTRU ($)</t>
  </si>
  <si>
    <t>Total eTRU Capital Cost ($)</t>
  </si>
  <si>
    <t>Annual eTRU Operating Savings ($)</t>
  </si>
  <si>
    <t>Total eTRU Savings ($)</t>
  </si>
  <si>
    <t>DO NOT EDIT</t>
  </si>
  <si>
    <t>User Guide: Transportation Refrigeration Unit (TRU) Emissions Calculator</t>
  </si>
  <si>
    <t>Facility Operator</t>
  </si>
  <si>
    <t>are listed at the bottom of this page.</t>
  </si>
  <si>
    <t>A list of acronyms and abbreviations used in this guide and in the TRU calculator can be found at the end of this document.</t>
  </si>
  <si>
    <t>Average TRU Load Factor</t>
  </si>
  <si>
    <t>2019 Average ULSD Eff-Adj ($/kWh)*</t>
  </si>
  <si>
    <t>efficiency improvement factor</t>
  </si>
  <si>
    <t>TRU Power Rating (kW)</t>
  </si>
  <si>
    <t>Percent of Annual Operating Hours Stationary with Plug-in Access</t>
  </si>
  <si>
    <t>Annual Diesel TRU Energy Consumption Displaced (kWh)</t>
  </si>
  <si>
    <t>Annual eTRU Energy Consumption (kWh)</t>
  </si>
  <si>
    <t>Annual Engine Hours Stationary with Plug-in Access per TRU</t>
  </si>
  <si>
    <t>Total Annual Operating Hours per TRU</t>
  </si>
  <si>
    <r>
      <t xml:space="preserve">Emissions rates for eTRU operation vary by eGRID subregion, and are shown on the </t>
    </r>
    <r>
      <rPr>
        <i/>
        <sz val="12"/>
        <color theme="1"/>
        <rFont val="Arial"/>
        <family val="2"/>
      </rPr>
      <t>eGRID Region</t>
    </r>
    <r>
      <rPr>
        <sz val="12"/>
        <color theme="1"/>
        <rFont val="Arial"/>
        <family val="2"/>
      </rPr>
      <t xml:space="preserve"> tab. eTRU emissions for each pollutant are calculated as:</t>
    </r>
  </si>
  <si>
    <r>
      <t xml:space="preserve">2. Select the </t>
    </r>
    <r>
      <rPr>
        <b/>
        <sz val="12"/>
        <color theme="1"/>
        <rFont val="Arial"/>
        <family val="2"/>
      </rPr>
      <t xml:space="preserve">User Type </t>
    </r>
    <r>
      <rPr>
        <sz val="12"/>
        <color theme="1"/>
        <rFont val="Arial"/>
        <family val="2"/>
      </rPr>
      <t>using the dropdown menu</t>
    </r>
    <r>
      <rPr>
        <b/>
        <sz val="12"/>
        <color theme="1"/>
        <rFont val="Arial"/>
        <family val="2"/>
      </rPr>
      <t xml:space="preserve"> </t>
    </r>
    <r>
      <rPr>
        <sz val="12"/>
        <color theme="1"/>
        <rFont val="Arial"/>
        <family val="2"/>
      </rPr>
      <t>that best describes your role/organization. Selections include Fleet Manager, Agency Manager, (equipment) Vendor/Manufacturer, Facility Operator (e.g. for distribution centers), or Other.</t>
    </r>
  </si>
  <si>
    <t>MOVES</t>
  </si>
  <si>
    <t>MOtor Vehicle Emissions Simulator</t>
  </si>
  <si>
    <t>TRU</t>
  </si>
  <si>
    <t>Transportation Refrigeration Unit</t>
  </si>
  <si>
    <t>eTRU</t>
  </si>
  <si>
    <t>Electric Transportation Refrigeration Unit</t>
  </si>
  <si>
    <t>hp</t>
  </si>
  <si>
    <t>Horsepower</t>
  </si>
  <si>
    <t>hph</t>
  </si>
  <si>
    <t>Horespower-hour</t>
  </si>
  <si>
    <t>gal</t>
  </si>
  <si>
    <t>Gallon</t>
  </si>
  <si>
    <t>Metric Tons</t>
  </si>
  <si>
    <t>Modeling and Processing Notes</t>
  </si>
  <si>
    <t>2019 Average ULSD Price ($/gal)^</t>
  </si>
  <si>
    <t>^Subregion price = average of PADD prices</t>
  </si>
  <si>
    <t>Price ($/kWh)*</t>
  </si>
  <si>
    <t>*Subregion price = average of EIA state prices</t>
  </si>
  <si>
    <t>References</t>
  </si>
  <si>
    <t>eGRID Subregion Emission Rates</t>
  </si>
  <si>
    <r>
      <t xml:space="preserve">1. Select the </t>
    </r>
    <r>
      <rPr>
        <i/>
        <sz val="12"/>
        <color theme="1"/>
        <rFont val="Arial"/>
        <family val="2"/>
      </rPr>
      <t>General Calculator</t>
    </r>
    <r>
      <rPr>
        <sz val="12"/>
        <color theme="1"/>
        <rFont val="Arial"/>
        <family val="2"/>
      </rPr>
      <t xml:space="preserve"> tab in the TRU Emissions Calculator Workbook.</t>
    </r>
  </si>
  <si>
    <t>SCC</t>
  </si>
  <si>
    <t>Source Classification Code</t>
  </si>
  <si>
    <t xml:space="preserve">MOVES activity parameter outputs were compiled separately to estimate hp-hrs per unit per year, also aggregated by hp bin and model year. </t>
  </si>
  <si>
    <t>g/hp-hr values were calculated by dividing annual grams by annual hp-hours for each hp and model year group. Values were converted to g/kWhr by multiplying by 1.34 hp/kW.</t>
  </si>
  <si>
    <r>
      <t>PM</t>
    </r>
    <r>
      <rPr>
        <b/>
        <vertAlign val="subscript"/>
        <sz val="12"/>
        <color theme="1"/>
        <rFont val="Calibri"/>
        <family val="2"/>
        <scheme val="minor"/>
      </rPr>
      <t>2.5</t>
    </r>
  </si>
  <si>
    <r>
      <t>CO</t>
    </r>
    <r>
      <rPr>
        <b/>
        <vertAlign val="subscript"/>
        <sz val="12"/>
        <color theme="1"/>
        <rFont val="Calibri"/>
        <family val="2"/>
        <scheme val="minor"/>
      </rPr>
      <t>2</t>
    </r>
  </si>
  <si>
    <r>
      <t>NO</t>
    </r>
    <r>
      <rPr>
        <b/>
        <vertAlign val="subscript"/>
        <sz val="12"/>
        <color theme="1"/>
        <rFont val="Calibri"/>
        <family val="2"/>
        <scheme val="minor"/>
      </rPr>
      <t>x</t>
    </r>
  </si>
  <si>
    <r>
      <t>SO</t>
    </r>
    <r>
      <rPr>
        <b/>
        <vertAlign val="subscript"/>
        <sz val="12"/>
        <color theme="1"/>
        <rFont val="Calibri"/>
        <family val="2"/>
        <scheme val="minor"/>
      </rPr>
      <t>2</t>
    </r>
  </si>
  <si>
    <r>
      <t>NO</t>
    </r>
    <r>
      <rPr>
        <b/>
        <vertAlign val="subscript"/>
        <sz val="11"/>
        <rFont val="Calibri"/>
        <family val="2"/>
      </rPr>
      <t>x</t>
    </r>
  </si>
  <si>
    <r>
      <t>SO</t>
    </r>
    <r>
      <rPr>
        <b/>
        <vertAlign val="subscript"/>
        <sz val="11"/>
        <rFont val="Calibri"/>
        <family val="2"/>
      </rPr>
      <t>2</t>
    </r>
  </si>
  <si>
    <r>
      <t>CO</t>
    </r>
    <r>
      <rPr>
        <b/>
        <vertAlign val="subscript"/>
        <sz val="11"/>
        <rFont val="Calibri"/>
        <family val="2"/>
      </rPr>
      <t>2</t>
    </r>
  </si>
  <si>
    <r>
      <t xml:space="preserve">5. Enter the </t>
    </r>
    <r>
      <rPr>
        <b/>
        <sz val="12"/>
        <color theme="1"/>
        <rFont val="Arial"/>
        <family val="2"/>
      </rPr>
      <t>Number of TRUs</t>
    </r>
    <r>
      <rPr>
        <sz val="12"/>
        <color theme="1"/>
        <rFont val="Arial"/>
        <family val="2"/>
      </rPr>
      <t xml:space="preserve"> for the selected TRU Type.</t>
    </r>
  </si>
  <si>
    <r>
      <t>CO</t>
    </r>
    <r>
      <rPr>
        <vertAlign val="subscript"/>
        <sz val="12"/>
        <color theme="1"/>
        <rFont val="Arial"/>
        <family val="2"/>
      </rPr>
      <t>2e</t>
    </r>
  </si>
  <si>
    <r>
      <t>N</t>
    </r>
    <r>
      <rPr>
        <vertAlign val="subscript"/>
        <sz val="12"/>
        <color theme="1"/>
        <rFont val="Arial"/>
        <family val="2"/>
      </rPr>
      <t>2</t>
    </r>
    <r>
      <rPr>
        <sz val="12"/>
        <color theme="1"/>
        <rFont val="Arial"/>
        <family val="2"/>
      </rPr>
      <t>O</t>
    </r>
  </si>
  <si>
    <t>Nitrous oxide</t>
  </si>
  <si>
    <r>
      <t>CH</t>
    </r>
    <r>
      <rPr>
        <vertAlign val="subscript"/>
        <sz val="12"/>
        <color theme="1"/>
        <rFont val="Arial"/>
        <family val="2"/>
      </rPr>
      <t>4</t>
    </r>
  </si>
  <si>
    <t>Methane</t>
  </si>
  <si>
    <r>
      <t>CO</t>
    </r>
    <r>
      <rPr>
        <b/>
        <vertAlign val="subscript"/>
        <sz val="12"/>
        <color theme="1"/>
        <rFont val="Calibri"/>
        <family val="2"/>
        <scheme val="minor"/>
      </rPr>
      <t>2e</t>
    </r>
  </si>
  <si>
    <r>
      <t>CO</t>
    </r>
    <r>
      <rPr>
        <b/>
        <vertAlign val="subscript"/>
        <sz val="11"/>
        <color rgb="FF000000"/>
        <rFont val="Calibri"/>
        <family val="2"/>
      </rPr>
      <t>2</t>
    </r>
  </si>
  <si>
    <r>
      <t>CH</t>
    </r>
    <r>
      <rPr>
        <b/>
        <vertAlign val="subscript"/>
        <sz val="11"/>
        <color rgb="FF000000"/>
        <rFont val="Calibri"/>
        <family val="2"/>
      </rPr>
      <t>4</t>
    </r>
  </si>
  <si>
    <t>Nonroad Engine Emission Rates (g/kWh)*</t>
  </si>
  <si>
    <t>Nonroad Engine Emission Rates (g/hp-hr)*</t>
  </si>
  <si>
    <r>
      <t>N</t>
    </r>
    <r>
      <rPr>
        <b/>
        <vertAlign val="subscript"/>
        <sz val="12"/>
        <color theme="1"/>
        <rFont val="Calibri"/>
        <family val="2"/>
        <scheme val="minor"/>
      </rPr>
      <t>2</t>
    </r>
    <r>
      <rPr>
        <b/>
        <sz val="12"/>
        <color theme="1"/>
        <rFont val="Calibri"/>
        <family val="2"/>
        <scheme val="minor"/>
      </rPr>
      <t>0 g/gal</t>
    </r>
  </si>
  <si>
    <r>
      <t>CH</t>
    </r>
    <r>
      <rPr>
        <b/>
        <vertAlign val="subscript"/>
        <sz val="12"/>
        <color theme="1"/>
        <rFont val="Calibri"/>
        <family val="2"/>
        <scheme val="minor"/>
      </rPr>
      <t>4</t>
    </r>
  </si>
  <si>
    <r>
      <t>N</t>
    </r>
    <r>
      <rPr>
        <b/>
        <vertAlign val="subscript"/>
        <sz val="12"/>
        <color theme="1"/>
        <rFont val="Calibri"/>
        <family val="2"/>
        <scheme val="minor"/>
      </rPr>
      <t>2</t>
    </r>
    <r>
      <rPr>
        <b/>
        <sz val="12"/>
        <color theme="1"/>
        <rFont val="Calibri"/>
        <family val="2"/>
        <scheme val="minor"/>
      </rPr>
      <t>O</t>
    </r>
  </si>
  <si>
    <r>
      <t>CH</t>
    </r>
    <r>
      <rPr>
        <b/>
        <vertAlign val="subscript"/>
        <sz val="11"/>
        <rFont val="Calibri"/>
        <family val="2"/>
      </rPr>
      <t>4</t>
    </r>
  </si>
  <si>
    <r>
      <t>N</t>
    </r>
    <r>
      <rPr>
        <b/>
        <vertAlign val="subscript"/>
        <sz val="11"/>
        <rFont val="Calibri"/>
        <family val="2"/>
      </rPr>
      <t>2</t>
    </r>
    <r>
      <rPr>
        <b/>
        <sz val="11"/>
        <rFont val="Calibri"/>
        <family val="2"/>
      </rPr>
      <t>O</t>
    </r>
  </si>
  <si>
    <t>(2) See https://www.epa.gov/moves.</t>
  </si>
  <si>
    <t>The calculator provides two primary data input modes:</t>
  </si>
  <si>
    <r>
      <t xml:space="preserve">3. Select the </t>
    </r>
    <r>
      <rPr>
        <b/>
        <sz val="12"/>
        <color theme="1"/>
        <rFont val="Arial"/>
        <family val="2"/>
      </rPr>
      <t xml:space="preserve">TRU Type </t>
    </r>
    <r>
      <rPr>
        <sz val="12"/>
        <color theme="1"/>
        <rFont val="Arial"/>
        <family val="2"/>
      </rPr>
      <t>using the dropdown menu. Selections include Trailer TRUs above and below 25 hp, and Truck TRUs (&lt; 16 hp).</t>
    </r>
  </si>
  <si>
    <t>The Annual Energy Consumption for eTRUs is calculated by dividing the diesel TRU energy consumption by the efficiency improvement factor (2.73, the ratio of electric motor efficiency (~90%) to diesel engine efficiency (~33%)).
The additional energy lost during electric transmission (gross grid loss, or GGL) varies by eGRID subregion and is shown as a percent of total electric power generation.</t>
  </si>
  <si>
    <r>
      <t>Diesel TRU emission rates vary by power rating and engine model year, and are calculated  for NO</t>
    </r>
    <r>
      <rPr>
        <vertAlign val="subscript"/>
        <sz val="12"/>
        <color theme="1"/>
        <rFont val="Arial"/>
        <family val="2"/>
      </rPr>
      <t>x</t>
    </r>
    <r>
      <rPr>
        <sz val="12"/>
        <color theme="1"/>
        <rFont val="Arial"/>
        <family val="2"/>
      </rPr>
      <t>, SO</t>
    </r>
    <r>
      <rPr>
        <vertAlign val="subscript"/>
        <sz val="12"/>
        <color theme="1"/>
        <rFont val="Arial"/>
        <family val="2"/>
      </rPr>
      <t>2</t>
    </r>
    <r>
      <rPr>
        <sz val="12"/>
        <color theme="1"/>
        <rFont val="Arial"/>
        <family val="2"/>
      </rPr>
      <t>, PM</t>
    </r>
    <r>
      <rPr>
        <vertAlign val="subscript"/>
        <sz val="12"/>
        <color theme="1"/>
        <rFont val="Arial"/>
        <family val="2"/>
      </rPr>
      <t>2.5</t>
    </r>
    <r>
      <rPr>
        <sz val="12"/>
        <color theme="1"/>
        <rFont val="Arial"/>
        <family val="2"/>
      </rPr>
      <t>, CH</t>
    </r>
    <r>
      <rPr>
        <vertAlign val="subscript"/>
        <sz val="12"/>
        <color theme="1"/>
        <rFont val="Arial"/>
        <family val="2"/>
      </rPr>
      <t>4</t>
    </r>
    <r>
      <rPr>
        <sz val="12"/>
        <color theme="1"/>
        <rFont val="Arial"/>
        <family val="2"/>
      </rPr>
      <t>, and CO</t>
    </r>
    <r>
      <rPr>
        <vertAlign val="subscript"/>
        <sz val="12"/>
        <color theme="1"/>
        <rFont val="Arial"/>
        <family val="2"/>
      </rPr>
      <t>2</t>
    </r>
    <r>
      <rPr>
        <sz val="12"/>
        <color theme="1"/>
        <rFont val="Arial"/>
        <family val="2"/>
      </rPr>
      <t xml:space="preserve"> using EPA's MOVES3 model. See the </t>
    </r>
    <r>
      <rPr>
        <i/>
        <sz val="12"/>
        <color theme="1"/>
        <rFont val="Arial"/>
        <family val="2"/>
      </rPr>
      <t>Diesel TRU Emission Factors</t>
    </r>
    <r>
      <rPr>
        <sz val="12"/>
        <color theme="1"/>
        <rFont val="Arial"/>
        <family val="2"/>
      </rPr>
      <t xml:space="preserve"> tab for details regarding model input assumptions and output processing steps.</t>
    </r>
  </si>
  <si>
    <t>Diesel TRU emissions are calculated for these pollutants as follows:</t>
  </si>
  <si>
    <r>
      <t>The MOVES3 model does not estimate N</t>
    </r>
    <r>
      <rPr>
        <vertAlign val="subscript"/>
        <sz val="12"/>
        <color theme="1"/>
        <rFont val="Arial"/>
        <family val="2"/>
      </rPr>
      <t>2</t>
    </r>
    <r>
      <rPr>
        <sz val="12"/>
        <color theme="1"/>
        <rFont val="Arial"/>
        <family val="2"/>
      </rPr>
      <t>O emission rates for diesel TRUs. The TRU Calculator assumes an N</t>
    </r>
    <r>
      <rPr>
        <vertAlign val="subscript"/>
        <sz val="12"/>
        <color theme="1"/>
        <rFont val="Arial"/>
        <family val="2"/>
      </rPr>
      <t>2</t>
    </r>
    <r>
      <rPr>
        <sz val="12"/>
        <color theme="1"/>
        <rFont val="Arial"/>
        <family val="2"/>
      </rPr>
      <t>O emission rate of 0.47 grams per gallon of diesel fuel, the value EPA assumes for Industrial/Commercial nonroad diesel engines. (3)</t>
    </r>
  </si>
  <si>
    <r>
      <t>N</t>
    </r>
    <r>
      <rPr>
        <vertAlign val="subscript"/>
        <sz val="12"/>
        <color theme="1"/>
        <rFont val="Arial"/>
        <family val="2"/>
      </rPr>
      <t>2</t>
    </r>
    <r>
      <rPr>
        <sz val="12"/>
        <color theme="1"/>
        <rFont val="Arial"/>
        <family val="2"/>
      </rPr>
      <t>O emissions for diesel TRUs are calculated as follows:</t>
    </r>
  </si>
  <si>
    <r>
      <t>CO</t>
    </r>
    <r>
      <rPr>
        <vertAlign val="subscript"/>
        <sz val="12"/>
        <color theme="1"/>
        <rFont val="Arial"/>
        <family val="2"/>
      </rPr>
      <t>2e</t>
    </r>
    <r>
      <rPr>
        <sz val="12"/>
        <color theme="1"/>
        <rFont val="Arial"/>
        <family val="2"/>
      </rPr>
      <t xml:space="preserve"> emissions are calculated as follows:</t>
    </r>
  </si>
  <si>
    <r>
      <t>NO</t>
    </r>
    <r>
      <rPr>
        <vertAlign val="subscript"/>
        <sz val="12"/>
        <color theme="1"/>
        <rFont val="Arial"/>
        <family val="2"/>
      </rPr>
      <t>x</t>
    </r>
  </si>
  <si>
    <t>* Matched to closest MOVES3 hp bin categories (12 kW = 16 hp, 19 kW = 25 hp, 30 kW = 40 hp)</t>
  </si>
  <si>
    <t>Diesel TRU Emission Factors Worksheet</t>
  </si>
  <si>
    <t>EPA GHG Inventory Guidance</t>
  </si>
  <si>
    <t>EPA, Latest Version of MOtor Vehicle Emissions Simulator (MOVES) MOVES3. See https://www.epa.gov/moves/latest-version-motor-vehicle-emission-simulator-moves.</t>
  </si>
  <si>
    <t>TRU Ops &amp; Costs Worksheet</t>
  </si>
  <si>
    <t>Diesel Fuel Prices Worksheet</t>
  </si>
  <si>
    <t>Electricity Prices Worksheet</t>
  </si>
  <si>
    <t>EPA 2020 Greenhouse Gas Inventory Guidance, Direct Emissions from Mobile Combustion Source, Table B-8 (diesel Industrial/Commercial equipment). See https://www.epa.gov/sites/production/files/2020-12/documents/mobileemissions.pdf.</t>
  </si>
  <si>
    <t>Market and Technology Assessment of Electric Transport Refrigeration Units, 2015 Technical Report, 3002006036, Electric Power Research Institute, Palo Alto, CA, December 2015, Table 2-7. See https://www.epri.com/research/products/000000003002006036.</t>
  </si>
  <si>
    <t>Transportation Refrigeration Unit Emissions Inventory and Preliminary Health Analyses Workshop, California Air Resources Board, Sacramento, California, October 31, 2019. Draft 2019 Update to Emissions Inventory for Transport Refrigeration Units. See https://ww2.arb.ca.gov/sites/default/files/classic//cc/cold-storage/documents/tru_healthanalysisslidesworkshop10312019.pdf.</t>
  </si>
  <si>
    <t>Draft 2019 Update to Emissions Inventory for Transport Refrigeration Units, DRAFT – DELIBERATIVE, California Air Resources Board, October 2019. See https://ww2.arb.ca.gov/sites/default/files/classic/cc/cold-storage/documents/hra_emissioninventory2019.pdf.</t>
  </si>
  <si>
    <t>Mobile Source Emissions Inventory (MSEI) - Documentation - Off-Road - Diesel Equipment, Transport Refrigeration Units, California Air Resources Board. See https://ww2.arb.ca.gov/our-work/programs/mobile-source-emissions-inventory/road-documentation/msei-documentation-road.</t>
  </si>
  <si>
    <t>Average Load Factor, Trailer TRUs: CARB 2011</t>
  </si>
  <si>
    <t>$/gal to $/kWh conversion factor*</t>
  </si>
  <si>
    <r>
      <t>CO</t>
    </r>
    <r>
      <rPr>
        <vertAlign val="subscript"/>
        <sz val="12"/>
        <color theme="1"/>
        <rFont val="Calibri"/>
        <family val="2"/>
      </rPr>
      <t>2</t>
    </r>
  </si>
  <si>
    <r>
      <t>CH</t>
    </r>
    <r>
      <rPr>
        <vertAlign val="subscript"/>
        <sz val="12"/>
        <color theme="1"/>
        <rFont val="Calibri"/>
        <family val="2"/>
      </rPr>
      <t>4</t>
    </r>
  </si>
  <si>
    <r>
      <t>N</t>
    </r>
    <r>
      <rPr>
        <vertAlign val="subscript"/>
        <sz val="12"/>
        <color theme="1"/>
        <rFont val="Calibri"/>
        <family val="2"/>
      </rPr>
      <t>2</t>
    </r>
    <r>
      <rPr>
        <sz val="12"/>
        <color theme="1"/>
        <rFont val="Calibri"/>
        <family val="2"/>
      </rPr>
      <t>O</t>
    </r>
  </si>
  <si>
    <t>EIA Gasoline and Diesel Prices (2019)</t>
  </si>
  <si>
    <t>Energy Information Administration, Petroleum and Other Liquids, Weekly Retail Gasoline and Diesel Prices for Ultra-low sulfur diesel (annual average for 2019). See https://www.eia.gov/dnav/pet/pet_pri_gnd_a_EPD2DXL0_pte_dpgal_a.htm.</t>
  </si>
  <si>
    <t>EIA Electricity Price (2019)</t>
  </si>
  <si>
    <t>Energy Information Administration Monthly Form EIA-861M (formerly EIA-826) detailed data, Commercial Rate. See https://www.eia.gov/electricity/data/eia861m/.</t>
  </si>
  <si>
    <t>Alternative Fuel Data Center</t>
  </si>
  <si>
    <t>diesel engine efficiency</t>
  </si>
  <si>
    <t>electric motor efficiency</t>
  </si>
  <si>
    <t>Btu/kWh</t>
  </si>
  <si>
    <t>US DOE, Alternative Fuels Data Center Fuel Properties Comparison. See https://afdc.energy.gov/files/u/publication/fuel_comparison_chart.pdf.</t>
  </si>
  <si>
    <t>Global Warming Potentials</t>
  </si>
  <si>
    <t>EPA 2020, The Emissions &amp; Generation Resource Integrated Database: Technical Support Document for eGRID with Year 2018 Data. Section 3.1.1.2, Table 3-1 (AR4 potentials). See https://www.epa.gov/sites/production/files/2020-01/documents/egrid2018_technical_support_document.pdf.</t>
  </si>
  <si>
    <t>Emission Calculations</t>
  </si>
  <si>
    <t>The Annual Energy Consumption Displaced from diesel TRUs is calculated as:</t>
  </si>
  <si>
    <t>where the weights (1, 25 and 298) are the AR4 potentials taken from EPA's Emissions Emissions &amp; Generation Resource Integrated Database. (See Global Warming Potential reference above).</t>
  </si>
  <si>
    <t>The TRU calculator assumes 0.027 gallons of diesel per kWh. See Alternative Fuels Data Center reference above.</t>
  </si>
  <si>
    <r>
      <t xml:space="preserve">The </t>
    </r>
    <r>
      <rPr>
        <i/>
        <sz val="12"/>
        <color theme="1"/>
        <rFont val="Arial"/>
        <family val="2"/>
      </rPr>
      <t>General Calculator_EXAMPLE</t>
    </r>
    <r>
      <rPr>
        <sz val="12"/>
        <color theme="1"/>
        <rFont val="Arial"/>
        <family val="2"/>
      </rPr>
      <t xml:space="preserve"> tab provides a read-only view of a completed General Calculator screen for reference.</t>
    </r>
  </si>
  <si>
    <t>eGRID2018</t>
  </si>
  <si>
    <t>Downloaded February 2021</t>
  </si>
  <si>
    <t>eGRID2018, downloaded February 2021</t>
  </si>
  <si>
    <t>EPA Emissions and Generation Resource Integrated Database (eGRID). See https://www.epa.gov/energy/egrid.</t>
  </si>
  <si>
    <t>Annual Emissions Results - Diesel TRU vs. eTRU</t>
  </si>
  <si>
    <t>User input is required in blue cells (via dropdown menus or numeric input); default parameters are shown in white cells; calculator output is shown in grey/brown cells. Non-user input cells are protected to avoid inadvertent changes. Cells may be unprotected if necessary by selecting “Unprotect Sheet” in the Excel "Review" ribbon. No password is required.</t>
  </si>
  <si>
    <t>Go to Detailed Calculator</t>
  </si>
  <si>
    <t>Emissions Calculator: Transport Refrigeration Unit (TRU) - Detailed Calculator</t>
  </si>
  <si>
    <t>Detailed Calculator</t>
  </si>
  <si>
    <t xml:space="preserve">The General Calculator is appropriate for users who will be using default values for diesel TRU, fuel, and electric grid parameters. The Detailed Calculator is appropriate for users who can supply inputs to specify TRU equipment and operating details, and/or electricity generation emission rates. </t>
  </si>
  <si>
    <r>
      <t xml:space="preserve">The </t>
    </r>
    <r>
      <rPr>
        <i/>
        <sz val="12"/>
        <color theme="1"/>
        <rFont val="Arial"/>
        <family val="2"/>
      </rPr>
      <t>Detailed Calculator</t>
    </r>
    <r>
      <rPr>
        <sz val="12"/>
        <color theme="1"/>
        <rFont val="Arial"/>
        <family val="2"/>
      </rPr>
      <t xml:space="preserve"> is similar in format to the </t>
    </r>
    <r>
      <rPr>
        <i/>
        <sz val="12"/>
        <color theme="1"/>
        <rFont val="Arial"/>
        <family val="2"/>
      </rPr>
      <t>General Calculator</t>
    </r>
    <r>
      <rPr>
        <sz val="12"/>
        <color theme="1"/>
        <rFont val="Arial"/>
        <family val="2"/>
      </rPr>
      <t>, with additional functionality allowing the user to specify alternate TRU characteristics and operating details, as well as specific electric generation emission rates.</t>
    </r>
  </si>
  <si>
    <r>
      <t xml:space="preserve">1. Select the </t>
    </r>
    <r>
      <rPr>
        <i/>
        <sz val="12"/>
        <color theme="1"/>
        <rFont val="Arial"/>
        <family val="2"/>
      </rPr>
      <t>Detailed Calculator</t>
    </r>
    <r>
      <rPr>
        <sz val="12"/>
        <color theme="1"/>
        <rFont val="Arial"/>
        <family val="2"/>
      </rPr>
      <t xml:space="preserve"> tab in the TRU Emissions Calculator Workbook.</t>
    </r>
  </si>
  <si>
    <r>
      <t>Carbon dioxide-equivalents (CO</t>
    </r>
    <r>
      <rPr>
        <vertAlign val="subscript"/>
        <sz val="12"/>
        <color theme="1"/>
        <rFont val="Arial"/>
        <family val="2"/>
      </rPr>
      <t>2</t>
    </r>
    <r>
      <rPr>
        <sz val="12"/>
        <color theme="1"/>
        <rFont val="Arial"/>
        <family val="2"/>
      </rPr>
      <t xml:space="preserve"> + 25 x CH</t>
    </r>
    <r>
      <rPr>
        <vertAlign val="subscript"/>
        <sz val="12"/>
        <color theme="1"/>
        <rFont val="Arial"/>
        <family val="2"/>
      </rPr>
      <t>4</t>
    </r>
    <r>
      <rPr>
        <sz val="12"/>
        <color theme="1"/>
        <rFont val="Arial"/>
        <family val="2"/>
      </rPr>
      <t xml:space="preserve"> + 298 x N</t>
    </r>
    <r>
      <rPr>
        <vertAlign val="subscript"/>
        <sz val="12"/>
        <color theme="1"/>
        <rFont val="Arial"/>
        <family val="2"/>
      </rPr>
      <t>2</t>
    </r>
    <r>
      <rPr>
        <sz val="12"/>
        <color theme="1"/>
        <rFont val="Arial"/>
        <family val="2"/>
      </rPr>
      <t>O)</t>
    </r>
  </si>
  <si>
    <t>TRU Power Rating (hp)</t>
  </si>
  <si>
    <t>Empty Model Year</t>
  </si>
  <si>
    <t>Unit</t>
  </si>
  <si>
    <t>TRU Power Rating Unit</t>
  </si>
  <si>
    <t>TRU Power Rating
(hp or kW)</t>
  </si>
  <si>
    <r>
      <t xml:space="preserve">2. Select the </t>
    </r>
    <r>
      <rPr>
        <b/>
        <sz val="12"/>
        <color theme="1"/>
        <rFont val="Arial"/>
        <family val="2"/>
      </rPr>
      <t xml:space="preserve">TRU Type </t>
    </r>
    <r>
      <rPr>
        <sz val="12"/>
        <color theme="1"/>
        <rFont val="Arial"/>
        <family val="2"/>
      </rPr>
      <t>using the dropdown menu. Selections include Trailer TRUs above and below 25 hp, and Truck TRUs (&lt; 16 hp).</t>
    </r>
  </si>
  <si>
    <r>
      <t>CO</t>
    </r>
    <r>
      <rPr>
        <b/>
        <vertAlign val="subscript"/>
        <sz val="11"/>
        <rFont val="Calibri"/>
        <family val="2"/>
      </rPr>
      <t>2e</t>
    </r>
  </si>
  <si>
    <t>Pre-1999</t>
  </si>
  <si>
    <t>Pre-2000</t>
  </si>
  <si>
    <r>
      <t xml:space="preserve">3. Enter the TRU engine </t>
    </r>
    <r>
      <rPr>
        <b/>
        <sz val="12"/>
        <color theme="1"/>
        <rFont val="Arial"/>
        <family val="2"/>
      </rPr>
      <t>Model Year</t>
    </r>
    <r>
      <rPr>
        <sz val="12"/>
        <color theme="1"/>
        <rFont val="Arial"/>
        <family val="2"/>
      </rPr>
      <t xml:space="preserve"> using the dropdown menu.</t>
    </r>
  </si>
  <si>
    <r>
      <t xml:space="preserve">4. Enter the </t>
    </r>
    <r>
      <rPr>
        <b/>
        <sz val="12"/>
        <color theme="1"/>
        <rFont val="Arial"/>
        <family val="2"/>
      </rPr>
      <t>Number of TRUs</t>
    </r>
    <r>
      <rPr>
        <sz val="12"/>
        <color theme="1"/>
        <rFont val="Arial"/>
        <family val="2"/>
      </rPr>
      <t xml:space="preserve"> for the selected TRU Type.</t>
    </r>
  </si>
  <si>
    <r>
      <t xml:space="preserve">4. Enter the TRU engine </t>
    </r>
    <r>
      <rPr>
        <b/>
        <sz val="12"/>
        <color theme="1"/>
        <rFont val="Arial"/>
        <family val="2"/>
      </rPr>
      <t>Model Year</t>
    </r>
    <r>
      <rPr>
        <sz val="12"/>
        <color theme="1"/>
        <rFont val="Arial"/>
        <family val="2"/>
      </rPr>
      <t xml:space="preserve"> using the dropdown menu.</t>
    </r>
  </si>
  <si>
    <t>eGRID2018 Subregion Worksheet</t>
  </si>
  <si>
    <t>Incremental Costs</t>
  </si>
  <si>
    <t>Incremental Cost/Savings - Diesel TRU vs. eTRU</t>
  </si>
  <si>
    <t>Incremental Costs/Savings - Diesel TRU vs. eTRU</t>
  </si>
  <si>
    <t>Operational Savings</t>
  </si>
  <si>
    <t>Engineering estimate for small electric motors - not specific to current eTRUs</t>
  </si>
  <si>
    <t>Example</t>
  </si>
  <si>
    <t>Emissions Calculator: Transport Refrigeration Unit (TRU) - EXAMPLE General Calculator Inputs</t>
  </si>
  <si>
    <t>See below for modeling and data processing notes</t>
  </si>
  <si>
    <t>Bureau of Labor Statistics 2021, Historical Consumer Price Index for All Urban Consumers (CPI-U): U.S. city average, all items, by month. See https://www.bls.gov/cpi/tables/supplemental-files/historical-cpi-u-202012.pdf.</t>
  </si>
  <si>
    <t>Consumer Price Index (December)</t>
  </si>
  <si>
    <t>Emission reductions and costs are for stationary operation only. Calculator does not
account for onroad operation.</t>
  </si>
  <si>
    <t>Placing a mouse over cells with red flags in the upper right corner displays definitions and additional information:</t>
  </si>
  <si>
    <t>The inputs on the Example tab reflect a typical (but hypothetical) project.</t>
  </si>
  <si>
    <r>
      <t>The Transportaion Refrigeration Unit (TRU) Emissions Calculator can calculate emissions of criteria and greenhouse gas pollutants based on equipment and fuel inputs, and the regional electricity grid mix. TRU emissions are estimated using emission factors from the United States Environmental Protection Agency’s (EPA) Emissions &amp; Generation Resource Integrated Database (eGRID) 2018 data,</t>
    </r>
    <r>
      <rPr>
        <vertAlign val="superscript"/>
        <sz val="12"/>
        <color theme="1"/>
        <rFont val="Arial"/>
        <family val="2"/>
      </rPr>
      <t>1</t>
    </r>
    <r>
      <rPr>
        <sz val="12"/>
        <color theme="1"/>
        <rFont val="Arial"/>
        <family val="2"/>
      </rPr>
      <t xml:space="preserve"> and diesel TRU emissions are estimated using outputs from EPA’s MOVES3 emissions model.</t>
    </r>
    <r>
      <rPr>
        <vertAlign val="superscript"/>
        <sz val="12"/>
        <color theme="1"/>
        <rFont val="Arial"/>
        <family val="2"/>
      </rPr>
      <t>2</t>
    </r>
    <r>
      <rPr>
        <sz val="12"/>
        <color theme="1"/>
        <rFont val="Arial"/>
        <family val="2"/>
      </rPr>
      <t xml:space="preserve"> 
</t>
    </r>
  </si>
  <si>
    <t xml:space="preserve">(3) Details regarding default values are provided in the eGRID2018 Subregion, Diesel TRU Emission Factors, </t>
  </si>
  <si>
    <t xml:space="preserve">      TRU Ops &amp; Costs, Diesel Fuel Prices, and Electricity Prices tabs at the bottom of the screen.</t>
  </si>
  <si>
    <t xml:space="preserve">      see https://www.epa.gov/egrid/egrid-related-materials.</t>
  </si>
  <si>
    <r>
      <t>(1) See https://www.epa.gov/egrid for emissions other than PM</t>
    </r>
    <r>
      <rPr>
        <vertAlign val="subscript"/>
        <sz val="12"/>
        <color theme="1"/>
        <rFont val="Arial"/>
        <family val="2"/>
      </rPr>
      <t>2.5</t>
    </r>
    <r>
      <rPr>
        <sz val="12"/>
        <color theme="1"/>
        <rFont val="Arial"/>
        <family val="2"/>
      </rPr>
      <t>. PM</t>
    </r>
    <r>
      <rPr>
        <vertAlign val="subscript"/>
        <sz val="12"/>
        <color theme="1"/>
        <rFont val="Arial"/>
        <family val="2"/>
      </rPr>
      <t>2.5</t>
    </r>
    <r>
      <rPr>
        <sz val="12"/>
        <color theme="1"/>
        <rFont val="Arial"/>
        <family val="2"/>
      </rPr>
      <t xml:space="preserve"> emission factors developed separately -</t>
    </r>
  </si>
  <si>
    <r>
      <t xml:space="preserve">The default values for these parameters are based on recent research, with sources documented on the </t>
    </r>
    <r>
      <rPr>
        <i/>
        <sz val="12"/>
        <color theme="1"/>
        <rFont val="Arial"/>
        <family val="2"/>
      </rPr>
      <t>References</t>
    </r>
    <r>
      <rPr>
        <sz val="12"/>
        <color theme="1"/>
        <rFont val="Arial"/>
        <family val="2"/>
      </rPr>
      <t xml:space="preserve"> tab. Defaults are shown in the Calculator in the first (white) column and are used if no value is entered. To use your own value instead of the default, enter it in the second (blue) column.</t>
    </r>
  </si>
  <si>
    <r>
      <t xml:space="preserve">9. Cost calculation results are presented at the far right of the screen. The number of TRUs are multiplied by incremental per unit costs/savings to obtain total eTRU capital and charging infrastructure costs, and total operation and maintenance savings. </t>
    </r>
    <r>
      <rPr>
        <sz val="12"/>
        <rFont val="Arial"/>
        <family val="2"/>
      </rPr>
      <t xml:space="preserve">All prices are adjusted to 2020 dollars using the Consumer Price Index (see </t>
    </r>
    <r>
      <rPr>
        <i/>
        <sz val="12"/>
        <rFont val="Arial"/>
        <family val="2"/>
      </rPr>
      <t>References</t>
    </r>
    <r>
      <rPr>
        <sz val="12"/>
        <rFont val="Arial"/>
        <family val="2"/>
      </rPr>
      <t xml:space="preserve"> tab).</t>
    </r>
  </si>
  <si>
    <r>
      <t>NO</t>
    </r>
    <r>
      <rPr>
        <b/>
        <vertAlign val="subscript"/>
        <sz val="12"/>
        <rFont val="Calibri"/>
        <family val="2"/>
        <scheme val="minor"/>
      </rPr>
      <t>x</t>
    </r>
  </si>
  <si>
    <r>
      <t>SO</t>
    </r>
    <r>
      <rPr>
        <b/>
        <vertAlign val="subscript"/>
        <sz val="12"/>
        <rFont val="Calibri"/>
        <family val="2"/>
        <scheme val="minor"/>
      </rPr>
      <t>2</t>
    </r>
  </si>
  <si>
    <r>
      <t>PM</t>
    </r>
    <r>
      <rPr>
        <b/>
        <vertAlign val="subscript"/>
        <sz val="12"/>
        <rFont val="Calibri"/>
        <family val="2"/>
        <scheme val="minor"/>
      </rPr>
      <t>2.5</t>
    </r>
  </si>
  <si>
    <r>
      <t>CO</t>
    </r>
    <r>
      <rPr>
        <b/>
        <vertAlign val="subscript"/>
        <sz val="12"/>
        <rFont val="Calibri"/>
        <family val="2"/>
        <scheme val="minor"/>
      </rPr>
      <t>2</t>
    </r>
  </si>
  <si>
    <r>
      <t>CH</t>
    </r>
    <r>
      <rPr>
        <b/>
        <vertAlign val="subscript"/>
        <sz val="12"/>
        <rFont val="Calibri"/>
        <family val="2"/>
        <scheme val="minor"/>
      </rPr>
      <t>4</t>
    </r>
  </si>
  <si>
    <r>
      <t>N</t>
    </r>
    <r>
      <rPr>
        <b/>
        <vertAlign val="subscript"/>
        <sz val="12"/>
        <rFont val="Calibri"/>
        <family val="2"/>
        <scheme val="minor"/>
      </rPr>
      <t>2</t>
    </r>
    <r>
      <rPr>
        <b/>
        <sz val="12"/>
        <rFont val="Calibri"/>
        <family val="2"/>
        <scheme val="minor"/>
      </rPr>
      <t>O</t>
    </r>
  </si>
  <si>
    <r>
      <t>CO</t>
    </r>
    <r>
      <rPr>
        <b/>
        <vertAlign val="subscript"/>
        <sz val="12"/>
        <rFont val="Calibri"/>
        <family val="2"/>
        <scheme val="minor"/>
      </rPr>
      <t>2e</t>
    </r>
  </si>
  <si>
    <t>2019 Diesel Fuel Price Defaults</t>
  </si>
  <si>
    <t>2019 Electricity Price Defaults</t>
  </si>
  <si>
    <t>TRU Operations and Cost Defaults</t>
  </si>
  <si>
    <r>
      <t xml:space="preserve">The General Calculator is found in the </t>
    </r>
    <r>
      <rPr>
        <i/>
        <sz val="12"/>
        <color theme="1"/>
        <rFont val="Arial"/>
        <family val="2"/>
      </rPr>
      <t xml:space="preserve">General Calculator </t>
    </r>
    <r>
      <rPr>
        <sz val="12"/>
        <color theme="1"/>
        <rFont val="Arial"/>
        <family val="2"/>
      </rPr>
      <t>tab and is available for users who will rely on default values</t>
    </r>
    <r>
      <rPr>
        <vertAlign val="superscript"/>
        <sz val="12"/>
        <color theme="1"/>
        <rFont val="Arial"/>
        <family val="2"/>
      </rPr>
      <t>3</t>
    </r>
    <r>
      <rPr>
        <sz val="12"/>
        <color theme="1"/>
        <rFont val="Arial"/>
        <family val="2"/>
      </rPr>
      <t xml:space="preserve"> for estimating TRU emissions.</t>
    </r>
  </si>
  <si>
    <r>
      <t xml:space="preserve">Fraction Annual Engine Hours Stationary with Plug-in Access, Truck TRUs: CARB 2011. </t>
    </r>
    <r>
      <rPr>
        <sz val="11"/>
        <color rgb="FFFF0000"/>
        <rFont val="Calibri"/>
        <family val="2"/>
        <scheme val="minor"/>
      </rPr>
      <t xml:space="preserve"> </t>
    </r>
    <r>
      <rPr>
        <sz val="11"/>
        <rFont val="Calibri"/>
        <family val="2"/>
        <scheme val="minor"/>
      </rPr>
      <t>(</t>
    </r>
    <r>
      <rPr>
        <b/>
        <sz val="11"/>
        <rFont val="Calibri"/>
        <family val="2"/>
        <scheme val="minor"/>
      </rPr>
      <t xml:space="preserve">NOTE: </t>
    </r>
    <r>
      <rPr>
        <sz val="11"/>
        <rFont val="Calibri"/>
        <family val="2"/>
        <scheme val="minor"/>
      </rPr>
      <t>Plug-in access times may have changed signficantly in the past decade. Value may be updated when new data sources become available.)</t>
    </r>
  </si>
  <si>
    <t>Load Factor**</t>
  </si>
  <si>
    <t>** CARB 2019b, Table 9</t>
  </si>
  <si>
    <t>^ CARB 2021, p 65</t>
  </si>
  <si>
    <t>* CARB 2019b, Table 3 (average Truck TRU hp = 17.2; 1 hp = 0.7457 kW)</t>
  </si>
  <si>
    <t>CARB 2021</t>
  </si>
  <si>
    <t>Diesel Engine Efficiency Estimate</t>
  </si>
  <si>
    <t>(gal/hr) / (gal/kWh)</t>
  </si>
  <si>
    <t>kW of fuel</t>
  </si>
  <si>
    <t>engine efficiency</t>
  </si>
  <si>
    <t>Proposed Amendments to the Airborne Toxic Control Measure for In-Use Diesel-Fueled Transport Refrigeration Units (TRU) and TRU Generator Sets, and Facilities where TRUs Operate: Standardized Regulatory Impact Assessment (SRIA), California Air Resources Board, Sacramento California, May 12, 2021.</t>
  </si>
  <si>
    <t>rated engine power (kW)*</t>
  </si>
  <si>
    <t>(rated power in kW x load factor) / (kW of fuel)</t>
  </si>
  <si>
    <t>fuel consumption (gal/hr)^</t>
  </si>
  <si>
    <t>gal diesel/kWh</t>
  </si>
  <si>
    <t>*Assumptions - gallons of diesel to electric kWh conversion</t>
  </si>
  <si>
    <t>Lower heating value (LHV) diesel in Btu/gal</t>
  </si>
  <si>
    <t>1 / [(LHV / Btu per kWh) * (electric efficiency / diesel efficiency)]</t>
  </si>
  <si>
    <t>gal deisel/kWhr electricity</t>
  </si>
  <si>
    <r>
      <t xml:space="preserve">CARB estimates for Truck TRUs - see </t>
    </r>
    <r>
      <rPr>
        <u/>
        <sz val="12"/>
        <rFont val="Calibri"/>
        <family val="2"/>
        <scheme val="minor"/>
      </rPr>
      <t>Diesel Engine Efficiency Estimate</t>
    </r>
    <r>
      <rPr>
        <sz val="12"/>
        <rFont val="Calibri"/>
        <family val="2"/>
        <scheme val="minor"/>
      </rPr>
      <t xml:space="preserve"> table below for details</t>
    </r>
  </si>
  <si>
    <t>Plug Location</t>
  </si>
  <si>
    <t>Yard</t>
  </si>
  <si>
    <t>Dock</t>
  </si>
  <si>
    <r>
      <t xml:space="preserve">5. Select the </t>
    </r>
    <r>
      <rPr>
        <b/>
        <sz val="12"/>
        <color theme="1"/>
        <rFont val="Arial"/>
        <family val="2"/>
      </rPr>
      <t>Plug Location</t>
    </r>
    <r>
      <rPr>
        <sz val="12"/>
        <color theme="1"/>
        <rFont val="Arial"/>
        <family val="2"/>
      </rPr>
      <t xml:space="preserve"> (dock or yard).</t>
    </r>
  </si>
  <si>
    <r>
      <t xml:space="preserve">6. Select the </t>
    </r>
    <r>
      <rPr>
        <b/>
        <sz val="12"/>
        <color theme="1"/>
        <rFont val="Arial"/>
        <family val="2"/>
      </rPr>
      <t xml:space="preserve">eGRID Subregion </t>
    </r>
    <r>
      <rPr>
        <sz val="12"/>
        <color theme="1"/>
        <rFont val="Arial"/>
        <family val="2"/>
      </rPr>
      <t xml:space="preserve">containing the electric charging area of interest using the dropdown menu. Select the "?" icon to identify the appropriate eGRID2018 subregion. Return to the </t>
    </r>
    <r>
      <rPr>
        <i/>
        <sz val="12"/>
        <color theme="1"/>
        <rFont val="Arial"/>
        <family val="2"/>
      </rPr>
      <t>General Calculator</t>
    </r>
    <r>
      <rPr>
        <sz val="12"/>
        <color theme="1"/>
        <rFont val="Arial"/>
        <family val="2"/>
      </rPr>
      <t xml:space="preserve"> using the link at the top of the screen.</t>
    </r>
  </si>
  <si>
    <r>
      <t xml:space="preserve">7. After specifying the required inputs, the </t>
    </r>
    <r>
      <rPr>
        <i/>
        <sz val="12"/>
        <color theme="1"/>
        <rFont val="Arial"/>
        <family val="2"/>
      </rPr>
      <t>General Calculator</t>
    </r>
    <r>
      <rPr>
        <sz val="12"/>
        <color theme="1"/>
        <rFont val="Arial"/>
        <family val="2"/>
      </rPr>
      <t xml:space="preserve"> displays the default values that will be used in the
emissions and cost calculations, including TRU power rating, annual operating hours, time with plug-in access, fuel
and electricity prices, and incremental eTRU capital and operation/maintenance costs. </t>
    </r>
  </si>
  <si>
    <r>
      <t>8. Energy and emissions outputs are displayed to the right. The Annual Energy Consumption displaced from diesel TRUs as well as the energy consumed by eTRUs are shown in kWhs. Differences in emissions are presented in absolute and percentage terms. Negative differences show reductions in emissions, positive differences show increases in emissions.</t>
    </r>
    <r>
      <rPr>
        <sz val="12"/>
        <rFont val="Arial"/>
        <family val="2"/>
      </rPr>
      <t xml:space="preserve"> The equations used to calculate emission reductions are provided on the </t>
    </r>
    <r>
      <rPr>
        <i/>
        <sz val="12"/>
        <rFont val="Arial"/>
        <family val="2"/>
      </rPr>
      <t>References</t>
    </r>
    <r>
      <rPr>
        <sz val="12"/>
        <rFont val="Arial"/>
        <family val="2"/>
      </rPr>
      <t xml:space="preserve"> tab. </t>
    </r>
  </si>
  <si>
    <r>
      <t xml:space="preserve">6. Select the </t>
    </r>
    <r>
      <rPr>
        <b/>
        <sz val="12"/>
        <color theme="1"/>
        <rFont val="Arial"/>
        <family val="2"/>
      </rPr>
      <t>Plug Location</t>
    </r>
    <r>
      <rPr>
        <sz val="12"/>
        <color theme="1"/>
        <rFont val="Arial"/>
        <family val="2"/>
      </rPr>
      <t xml:space="preserve"> (dock or yard).</t>
    </r>
  </si>
  <si>
    <r>
      <t xml:space="preserve">7. Select the </t>
    </r>
    <r>
      <rPr>
        <b/>
        <sz val="12"/>
        <color theme="1"/>
        <rFont val="Arial"/>
        <family val="2"/>
      </rPr>
      <t xml:space="preserve">eGRID Subregion </t>
    </r>
    <r>
      <rPr>
        <sz val="12"/>
        <color theme="1"/>
        <rFont val="Arial"/>
        <family val="2"/>
      </rPr>
      <t xml:space="preserve">containing the electric charging area of interest using the dropdown menu. Select the "?" icon to identify the appropriate eGRID2018 subregion. Return to the </t>
    </r>
    <r>
      <rPr>
        <i/>
        <sz val="12"/>
        <color theme="1"/>
        <rFont val="Arial"/>
        <family val="2"/>
      </rPr>
      <t>Detailed Calculator</t>
    </r>
    <r>
      <rPr>
        <sz val="12"/>
        <color theme="1"/>
        <rFont val="Arial"/>
        <family val="2"/>
      </rPr>
      <t xml:space="preserve"> using the link at the top of the screen. To input user-defined eGRID emissions rates, enter your own values at the bottom of the eGRID2018 Subregion tab.  Then select the "USER DEFINED" eGRID subregion in the drop-down list.</t>
    </r>
  </si>
  <si>
    <r>
      <t xml:space="preserve">9. </t>
    </r>
    <r>
      <rPr>
        <sz val="12"/>
        <rFont val="Arial"/>
        <family val="2"/>
      </rPr>
      <t>E</t>
    </r>
    <r>
      <rPr>
        <sz val="12"/>
        <color theme="1"/>
        <rFont val="Arial"/>
        <family val="2"/>
      </rPr>
      <t>nergy and emissions outputs are displayed to the right. The Annual Energy Consumption displaced from diesel TRUs as well as the energy consumed by eTRUs are shown in kWhs. Differences in emissions are presented in absolute and percentage terms. Negative differences show reductions in emissions, positive differences show increases in emissions.</t>
    </r>
    <r>
      <rPr>
        <sz val="12"/>
        <rFont val="Arial"/>
        <family val="2"/>
      </rPr>
      <t xml:space="preserve"> The equations used to calculate emission reductions are provided on the </t>
    </r>
    <r>
      <rPr>
        <i/>
        <sz val="12"/>
        <rFont val="Arial"/>
        <family val="2"/>
      </rPr>
      <t>References</t>
    </r>
    <r>
      <rPr>
        <sz val="12"/>
        <rFont val="Arial"/>
        <family val="2"/>
      </rPr>
      <t xml:space="preserve"> tab.</t>
    </r>
    <r>
      <rPr>
        <sz val="12"/>
        <color theme="1"/>
        <rFont val="Arial"/>
        <family val="2"/>
      </rPr>
      <t xml:space="preserve">
The Annual Energy Consumption Displaced by diesel TRUs is calculated as:
</t>
    </r>
  </si>
  <si>
    <t>Average Dock vs Yard Plug Infrastructure Cost Differential: EPRI 2015, Table 2-7</t>
  </si>
  <si>
    <t>Average Load Factor, Truck TRUs: CARB 2019b, Table 9</t>
  </si>
  <si>
    <t>Total Annual Engine Hours, Truck TRUs: CARB 2019a, page 19</t>
  </si>
  <si>
    <t>Total Annual Engine Hours, Trailer TRUs: CARB 2019b, Table 6</t>
  </si>
  <si>
    <t>Average Plug Infrastructure Cost, Trailer TRUs: EPRI 2015, Table 2-7 - Yard outlet cost + trailer wiring &amp; receptacle cost</t>
  </si>
  <si>
    <t>Incremental Costs - New Diesel TRU vs. eTRU^</t>
  </si>
  <si>
    <t>^ All costs converted to 2020 dollars using CPI - see References worksheet, rows 32-38</t>
  </si>
  <si>
    <t>Average Plug Infrastructure Cost, Truck TRUs: CARB 2021, Table C-14 - Level 2 charger + installation</t>
  </si>
  <si>
    <t>eTRU-to-Plug Ratio</t>
  </si>
  <si>
    <t xml:space="preserve">      Trailer eTRU capital = yard outlet + trailer wiring &amp; receptacle cost</t>
  </si>
  <si>
    <t>(4) Truck eTRU capital = Level 2 charger + installation</t>
  </si>
  <si>
    <r>
      <t>* MOVES3 does not estimate N</t>
    </r>
    <r>
      <rPr>
        <vertAlign val="subscript"/>
        <sz val="11"/>
        <color theme="1"/>
        <rFont val="Calibri"/>
        <family val="2"/>
        <scheme val="minor"/>
      </rPr>
      <t>2</t>
    </r>
    <r>
      <rPr>
        <sz val="11"/>
        <color theme="1"/>
        <rFont val="Calibri"/>
        <family val="2"/>
        <scheme val="minor"/>
      </rPr>
      <t>O emissions for TRUs or other nonroad sources. N</t>
    </r>
    <r>
      <rPr>
        <vertAlign val="subscript"/>
        <sz val="11"/>
        <color theme="1"/>
        <rFont val="Calibri"/>
        <family val="2"/>
        <scheme val="minor"/>
      </rPr>
      <t>2</t>
    </r>
    <r>
      <rPr>
        <sz val="11"/>
        <color theme="1"/>
        <rFont val="Calibri"/>
        <family val="2"/>
        <scheme val="minor"/>
      </rPr>
      <t>O is calculated separately on a g/gal basis. See value in cell P4.</t>
    </r>
  </si>
  <si>
    <t>MOVES3 was run at the national level for diesel TRUs (SCC = 2270003060). Daily mass emissions outputs for each month (in grams) were scaled to annual estimates and summed by hp bin and engine model year.</t>
  </si>
  <si>
    <t xml:space="preserve">MOVES3 was run for the 2021 calendar year to estimate emission rates for current TRU engines. However, MOVES3 applies default equipment scrappage rates to phase older equipment out of the modeled fleet over time. </t>
  </si>
  <si>
    <t>The diesel fuel specifications for the 2006 and 2007 calendar years were modified to be consistent with current year sulfur ppm levels (6 ppm).</t>
  </si>
  <si>
    <t>see below for gallon to kWh conversion assumptions</t>
  </si>
  <si>
    <t xml:space="preserve">As a result, the oldest trailer and truck TRU engine year modeled by MOVES3 for the 2021 calendar year is 2013. </t>
  </si>
  <si>
    <t>Therefore MOVES3 was run for the 2020, 2014, 2007 and 2006 calendar years in order to obtain fully deteriorated emission factor estimates for pre-2013 model years.</t>
  </si>
  <si>
    <t>NOTE: The final Tier 4 emission standards for nonroad diesel engines between 25 and 50 hp, which require a PM reduction of &gt; 90% compared to prior standards, commence in 2013.</t>
  </si>
  <si>
    <t>Under the TPEM program, a manufacturer may exempt to a cumulative total of eighty percent of their production over the first seven years in which a new emission standard applies.</t>
  </si>
  <si>
    <t xml:space="preserve">As a result, the PM2.5 emission factors shown in the table above increase slightly between the 2012 and 2013 model years and decrease slowly thereafter. </t>
  </si>
  <si>
    <t>However, EPA allows manufacturers flexibility to meet the final standards through the transition program for equipment manufacturers (TPEM) program.</t>
  </si>
  <si>
    <t>https://nepis.epa.gov/Exe/ZyPDF.cgi?Dockey=P1013KWQ.pdf</t>
  </si>
  <si>
    <t>See Section 2.3 of Exhaust and Crankcase Emission Factors for Nonroad Compression-Ignition Engines in MOVES3.0.2 for further details -</t>
  </si>
  <si>
    <t>Average Yard Plug Infrastructure Cost ($)*</t>
  </si>
  <si>
    <t>Average Dock Plug Infrastructure Cost ($)*</t>
  </si>
  <si>
    <t xml:space="preserve">“Yard outlets are more expensive due to the expense for excavation and trenching, and bollards and other protection to prevent damage to free-standing pedestals. </t>
  </si>
  <si>
    <t>Dock-side outlets are less costly since the electric runs are shorter, dockside mounting is simpler, wiring and conduit rarely need to be buried, and protection from vehicle damage is less expensive.”</t>
  </si>
  <si>
    <t>Truck TRU Infrastructure Cost Assumptions and Calculations</t>
  </si>
  <si>
    <t>EPRI (2015) provided infrastructure cost estimates for trailer TRUs for both yard and dock operations.</t>
  </si>
  <si>
    <t>Corresponding estimates identified for smaller capacity Truck TRU infrastruture (CARB 2021) were not differentiated for yard and dock operations.</t>
  </si>
  <si>
    <t>Note - all costs are presented in 2020 dollars.</t>
  </si>
  <si>
    <t>EPRI (2015) estimates a cost differential of $1,332 for yard vs dock plug equipment and installation. From p. 2-27:</t>
  </si>
  <si>
    <t xml:space="preserve">Accordingly, the incremental cost difference between yard and dock operations was assumed to be approximately the same for both truck and trailer TRU charging infrastructure. </t>
  </si>
  <si>
    <t>The following assumptions and calculations were used to differentiate the aggregated Truck TRU infrastructure cost estimate from CARB for yard and dock operations.</t>
  </si>
  <si>
    <t>In their most recent TRU evaluation (CARB 2021) CARB estimated an average installed cost per truck TRU charger to be $4,887.</t>
  </si>
  <si>
    <t xml:space="preserve">        (X + Y)/2 = $4,887</t>
  </si>
  <si>
    <t xml:space="preserve">        X – Y = $1,332</t>
  </si>
  <si>
    <r>
      <t xml:space="preserve">Based on the above assumptions, yard costs per truck TRU plug = </t>
    </r>
    <r>
      <rPr>
        <b/>
        <sz val="12"/>
        <color theme="1"/>
        <rFont val="Calibri"/>
        <family val="2"/>
        <scheme val="minor"/>
      </rPr>
      <t>$5,553</t>
    </r>
    <r>
      <rPr>
        <sz val="12"/>
        <color theme="1"/>
        <rFont val="Calibri"/>
        <family val="2"/>
        <scheme val="minor"/>
      </rPr>
      <t xml:space="preserve"> and dock costs = </t>
    </r>
    <r>
      <rPr>
        <b/>
        <sz val="12"/>
        <color theme="1"/>
        <rFont val="Calibri"/>
        <family val="2"/>
        <scheme val="minor"/>
      </rPr>
      <t>$4,221</t>
    </r>
    <r>
      <rPr>
        <sz val="12"/>
        <color theme="1"/>
        <rFont val="Calibri"/>
        <family val="2"/>
        <scheme val="minor"/>
      </rPr>
      <t>.</t>
    </r>
  </si>
  <si>
    <t>* See rows 77-92 in the References worksheet for details regarding assumptions and calculations for Truck TRU infrastructure costs.</t>
  </si>
  <si>
    <r>
      <rPr>
        <u/>
        <sz val="12"/>
        <color theme="1"/>
        <rFont val="Calibri"/>
        <family val="2"/>
      </rPr>
      <t>Assuming $4,887 is an unweighted (simple) average of dock and yard plug costs</t>
    </r>
    <r>
      <rPr>
        <sz val="12"/>
        <color theme="1"/>
        <rFont val="Calibri"/>
        <family val="2"/>
      </rPr>
      <t>, separate costs for yards (X) and docks (Y) are estimated using the following equations -</t>
    </r>
  </si>
  <si>
    <r>
      <t>PM</t>
    </r>
    <r>
      <rPr>
        <b/>
        <vertAlign val="subscript"/>
        <sz val="11"/>
        <rFont val="Calibri"/>
        <family val="2"/>
      </rPr>
      <t>2.5</t>
    </r>
  </si>
  <si>
    <r>
      <t xml:space="preserve">8. The </t>
    </r>
    <r>
      <rPr>
        <i/>
        <sz val="12"/>
        <rFont val="Arial"/>
        <family val="2"/>
      </rPr>
      <t>Detailed Calculator</t>
    </r>
    <r>
      <rPr>
        <sz val="12"/>
        <rFont val="Arial"/>
        <family val="2"/>
      </rPr>
      <t xml:space="preserve"> allows you to replace many off the default values</t>
    </r>
    <r>
      <rPr>
        <vertAlign val="superscript"/>
        <sz val="12"/>
        <rFont val="Arial"/>
        <family val="2"/>
      </rPr>
      <t>3</t>
    </r>
    <r>
      <rPr>
        <sz val="12"/>
        <rFont val="Arial"/>
        <family val="2"/>
      </rPr>
      <t xml:space="preserve"> used in the </t>
    </r>
    <r>
      <rPr>
        <i/>
        <sz val="12"/>
        <rFont val="Arial"/>
        <family val="2"/>
      </rPr>
      <t>General Calculator</t>
    </r>
    <r>
      <rPr>
        <sz val="12"/>
        <rFont val="Arial"/>
        <family val="2"/>
      </rPr>
      <t xml:space="preserve"> with alternative values. Parameters that may be replaced include:
    -  </t>
    </r>
    <r>
      <rPr>
        <b/>
        <sz val="12"/>
        <rFont val="Arial"/>
        <family val="2"/>
      </rPr>
      <t>TRU Power Rating</t>
    </r>
    <r>
      <rPr>
        <sz val="12"/>
        <rFont val="Arial"/>
        <family val="2"/>
      </rPr>
      <t xml:space="preserve"> (hp)
    -  </t>
    </r>
    <r>
      <rPr>
        <b/>
        <sz val="12"/>
        <rFont val="Arial"/>
        <family val="2"/>
      </rPr>
      <t>Average TRU Load Factor</t>
    </r>
    <r>
      <rPr>
        <sz val="12"/>
        <rFont val="Arial"/>
        <family val="2"/>
      </rPr>
      <t xml:space="preserve"> (average fraction of rated power used, &gt; 0 and &lt;= 1.0)
    -  </t>
    </r>
    <r>
      <rPr>
        <b/>
        <sz val="12"/>
        <rFont val="Arial"/>
        <family val="2"/>
      </rPr>
      <t>Total Annual Operating Hours per TRU</t>
    </r>
    <r>
      <rPr>
        <sz val="12"/>
        <rFont val="Arial"/>
        <family val="2"/>
      </rPr>
      <t xml:space="preserve"> (&gt;0 and &lt;= 8,760)
    -  </t>
    </r>
    <r>
      <rPr>
        <b/>
        <sz val="12"/>
        <rFont val="Arial"/>
        <family val="2"/>
      </rPr>
      <t>Annual Engine Hours Stationary with Plug-in Access per TRU</t>
    </r>
    <r>
      <rPr>
        <sz val="12"/>
        <rFont val="Arial"/>
        <family val="2"/>
      </rPr>
      <t xml:space="preserve"> (&gt;0 and &lt;= total hours per TRU)
</t>
    </r>
    <r>
      <rPr>
        <b/>
        <sz val="12"/>
        <rFont val="Arial"/>
        <family val="2"/>
      </rPr>
      <t xml:space="preserve">    </t>
    </r>
    <r>
      <rPr>
        <sz val="12"/>
        <rFont val="Arial"/>
        <family val="2"/>
      </rPr>
      <t xml:space="preserve">-  </t>
    </r>
    <r>
      <rPr>
        <b/>
        <sz val="12"/>
        <rFont val="Arial"/>
        <family val="2"/>
      </rPr>
      <t xml:space="preserve">eTRU-to-Plug Ratio </t>
    </r>
    <r>
      <rPr>
        <sz val="12"/>
        <rFont val="Arial"/>
        <family val="2"/>
      </rPr>
      <t xml:space="preserve">(total number of eTRUs divided by total number of plugs)
    -  </t>
    </r>
    <r>
      <rPr>
        <b/>
        <sz val="12"/>
        <rFont val="Arial"/>
        <family val="2"/>
      </rPr>
      <t xml:space="preserve">Average Regional Diesel Fuel Price </t>
    </r>
    <r>
      <rPr>
        <sz val="12"/>
        <rFont val="Arial"/>
        <family val="2"/>
      </rPr>
      <t xml:space="preserve">($/gal)
    -  </t>
    </r>
    <r>
      <rPr>
        <b/>
        <sz val="12"/>
        <rFont val="Arial"/>
        <family val="2"/>
      </rPr>
      <t>Average Regional Electricity Price</t>
    </r>
    <r>
      <rPr>
        <sz val="12"/>
        <rFont val="Arial"/>
        <family val="2"/>
      </rPr>
      <t xml:space="preserve"> ($/kWh)
    -  </t>
    </r>
    <r>
      <rPr>
        <b/>
        <sz val="12"/>
        <rFont val="Arial"/>
        <family val="2"/>
      </rPr>
      <t xml:space="preserve">Incremental Capital Cost per eTRU </t>
    </r>
    <r>
      <rPr>
        <sz val="12"/>
        <rFont val="Arial"/>
        <family val="2"/>
      </rPr>
      <t xml:space="preserve">($)
    -  </t>
    </r>
    <r>
      <rPr>
        <b/>
        <sz val="12"/>
        <rFont val="Arial"/>
        <family val="2"/>
      </rPr>
      <t>Electric Infrastructure Capital Cost per eTRU</t>
    </r>
    <r>
      <rPr>
        <sz val="12"/>
        <rFont val="Arial"/>
        <family val="2"/>
      </rPr>
      <t xml:space="preserve"> ($)</t>
    </r>
    <r>
      <rPr>
        <vertAlign val="superscript"/>
        <sz val="12"/>
        <rFont val="Arial"/>
        <family val="2"/>
      </rPr>
      <t>4</t>
    </r>
    <r>
      <rPr>
        <sz val="12"/>
        <rFont val="Arial"/>
        <family val="2"/>
      </rPr>
      <t xml:space="preserve">
    -  </t>
    </r>
    <r>
      <rPr>
        <b/>
        <sz val="12"/>
        <rFont val="Arial"/>
        <family val="2"/>
      </rPr>
      <t>Annual Maintenance Savings per eTRU</t>
    </r>
    <r>
      <rPr>
        <sz val="12"/>
        <rFont val="Arial"/>
        <family val="2"/>
      </rPr>
      <t xml:space="preserve"> ($) </t>
    </r>
  </si>
  <si>
    <r>
      <t xml:space="preserve">10. Cost calculation results are presented at the far right of the screen. Electric plug and installation costs are divided by the eTRU-to-Plug ratio to determine infrastructure costs per eTRU. The number of TRUs are multiplied by incremental per unit costs/savings to obtain total eTRU capital and charging infrastructure costs, and total operation and maintenance savings. All prices are adjusted to 2020 dollars using the Consumer Price Index (see </t>
    </r>
    <r>
      <rPr>
        <i/>
        <sz val="12"/>
        <rFont val="Arial"/>
        <family val="2"/>
      </rPr>
      <t>References</t>
    </r>
    <r>
      <rPr>
        <sz val="12"/>
        <rFont val="Arial"/>
        <family val="2"/>
      </rPr>
      <t xml:space="preserve"> tab).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</si>
</sst>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_(* \(#,##0.00\);_(* &quot;-&quot;??_);_(@_)"/>
    <numFmt numFmtId="164" formatCode="#,##0.000"/>
    <numFmt numFmtId="165" formatCode="0.0000"/>
    <numFmt numFmtId="166" formatCode="0.0%"/>
    <numFmt numFmtId="167" formatCode="&quot;$&quot;#,##0.00"/>
    <numFmt numFmtId="168" formatCode="&quot;$&quot;#,##0"/>
    <numFmt numFmtId="169" formatCode="0.000000000000000000000"/>
    <numFmt numFmtId="170" formatCode="&quot;$&quot;#,##0.000"/>
    <numFmt numFmtId="171" formatCode="#,##0.00000"/>
    <numFmt numFmtId="172" formatCode="0.00000"/>
    <numFmt numFmtId="173" formatCode="0.000"/>
    <numFmt numFmtId="174" formatCode="#,##0.0"/>
    <numFmt numFmtId="175" formatCode="0.0"/>
  </numFmts>
  <fonts count="8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2"/>
      <color rgb="FF000000"/>
      <name val="Calibri"/>
      <family val="2"/>
      <scheme val="minor"/>
    </font>
    <font>
      <sz val="10"/>
      <name val="Arial"/>
      <family val="2"/>
    </font>
    <font>
      <sz val="11"/>
      <color theme="1"/>
      <name val="Calibri"/>
      <family val="2"/>
      <scheme val="minor"/>
    </font>
    <font>
      <sz val="10"/>
      <name val="MS Sans Serif"/>
      <family val="2"/>
    </font>
    <font>
      <b/>
      <sz val="12"/>
      <name val="Calibri"/>
      <family val="2"/>
    </font>
    <font>
      <sz val="12"/>
      <color theme="1"/>
      <name val="Calibri"/>
      <family val="2"/>
    </font>
    <font>
      <sz val="12"/>
      <name val="Calibri"/>
      <family val="2"/>
    </font>
    <font>
      <sz val="8"/>
      <name val="Calibri"/>
      <family val="2"/>
      <scheme val="minor"/>
    </font>
    <font>
      <b/>
      <sz val="12"/>
      <color theme="1"/>
      <name val="Calibri"/>
      <family val="2"/>
    </font>
    <font>
      <b/>
      <sz val="11"/>
      <color theme="1"/>
      <name val="Calibri"/>
      <family val="2"/>
      <scheme val="minor"/>
    </font>
    <font>
      <sz val="11"/>
      <name val="Calibri"/>
      <family val="2"/>
      <scheme val="minor"/>
    </font>
    <font>
      <u/>
      <sz val="11"/>
      <color theme="10"/>
      <name val="Calibri"/>
      <family val="2"/>
      <scheme val="minor"/>
    </font>
    <font>
      <sz val="11"/>
      <color rgb="FF000000"/>
      <name val="Calibri"/>
      <family val="2"/>
      <scheme val="minor"/>
    </font>
    <font>
      <b/>
      <sz val="11"/>
      <name val="Calibri"/>
      <family val="2"/>
    </font>
    <font>
      <sz val="11"/>
      <color theme="1"/>
      <name val="Calibri"/>
      <family val="2"/>
    </font>
    <font>
      <b/>
      <sz val="11"/>
      <color rgb="FF000000"/>
      <name val="Calibri"/>
      <family val="2"/>
    </font>
    <font>
      <b/>
      <vertAlign val="subscript"/>
      <sz val="11"/>
      <color rgb="FF000000"/>
      <name val="Calibri"/>
      <family val="2"/>
    </font>
    <font>
      <b/>
      <u/>
      <sz val="12"/>
      <color theme="1"/>
      <name val="Calibri"/>
      <family val="2"/>
    </font>
    <font>
      <b/>
      <sz val="11"/>
      <color indexed="8"/>
      <name val="Calibri"/>
      <family val="2"/>
      <scheme val="minor"/>
    </font>
    <font>
      <b/>
      <sz val="14"/>
      <color theme="1"/>
      <name val="Calibri"/>
      <family val="2"/>
      <scheme val="minor"/>
    </font>
    <font>
      <i/>
      <sz val="11"/>
      <color rgb="FF808080"/>
      <name val="Calibri"/>
      <family val="2"/>
      <scheme val="minor"/>
    </font>
    <font>
      <sz val="12"/>
      <name val="Calibri"/>
      <family val="2"/>
      <scheme val="minor"/>
    </font>
    <font>
      <sz val="10"/>
      <color theme="1"/>
      <name val="Calibri"/>
      <family val="2"/>
      <scheme val="minor"/>
    </font>
    <font>
      <b/>
      <sz val="12"/>
      <color rgb="FFFF0000"/>
      <name val="Calibri"/>
      <family val="2"/>
      <scheme val="minor"/>
    </font>
    <font>
      <sz val="12"/>
      <color theme="0"/>
      <name val="Calibri (Body)"/>
    </font>
    <font>
      <b/>
      <sz val="18"/>
      <color theme="1"/>
      <name val="Arial"/>
      <family val="2"/>
    </font>
    <font>
      <sz val="12"/>
      <color theme="1"/>
      <name val="Arial"/>
      <family val="2"/>
    </font>
    <font>
      <u/>
      <sz val="12"/>
      <color theme="10"/>
      <name val="Arial"/>
      <family val="2"/>
    </font>
    <font>
      <b/>
      <sz val="16"/>
      <color theme="1"/>
      <name val="Arial"/>
      <family val="2"/>
    </font>
    <font>
      <i/>
      <sz val="12"/>
      <color theme="1"/>
      <name val="Arial"/>
      <family val="2"/>
    </font>
    <font>
      <sz val="12"/>
      <color theme="1"/>
      <name val="Arial"/>
      <family val="1"/>
    </font>
    <font>
      <b/>
      <sz val="12"/>
      <color theme="1"/>
      <name val="Arial"/>
      <family val="2"/>
    </font>
    <font>
      <vertAlign val="subscript"/>
      <sz val="12"/>
      <color theme="1"/>
      <name val="Arial"/>
      <family val="2"/>
    </font>
    <font>
      <b/>
      <u/>
      <sz val="12"/>
      <color theme="1"/>
      <name val="Calibri"/>
      <family val="2"/>
      <scheme val="minor"/>
    </font>
    <font>
      <b/>
      <sz val="11"/>
      <name val="Calibri"/>
      <family val="2"/>
      <scheme val="minor"/>
    </font>
    <font>
      <i/>
      <sz val="11"/>
      <color theme="1"/>
      <name val="Calibri"/>
      <family val="2"/>
      <scheme val="minor"/>
    </font>
    <font>
      <b/>
      <vertAlign val="subscript"/>
      <sz val="12"/>
      <color theme="1"/>
      <name val="Calibri"/>
      <family val="2"/>
      <scheme val="minor"/>
    </font>
    <font>
      <b/>
      <vertAlign val="subscript"/>
      <sz val="11"/>
      <name val="Calibri"/>
      <family val="2"/>
    </font>
    <font>
      <vertAlign val="subscript"/>
      <sz val="11"/>
      <color theme="1"/>
      <name val="Calibri"/>
      <family val="2"/>
      <scheme val="minor"/>
    </font>
    <font>
      <vertAlign val="subscript"/>
      <sz val="12"/>
      <color theme="1"/>
      <name val="Calibri"/>
      <family val="2"/>
    </font>
    <font>
      <b/>
      <sz val="14"/>
      <color theme="1"/>
      <name val="Calibri"/>
      <family val="2"/>
    </font>
    <font>
      <b/>
      <u/>
      <sz val="14"/>
      <color theme="10"/>
      <name val="Calibri"/>
      <family val="2"/>
      <scheme val="minor"/>
    </font>
    <font>
      <sz val="9"/>
      <color indexed="81"/>
      <name val="Tahoma"/>
      <family val="2"/>
    </font>
    <font>
      <b/>
      <sz val="9"/>
      <color indexed="81"/>
      <name val="Tahoma"/>
      <family val="2"/>
    </font>
    <font>
      <sz val="12"/>
      <color theme="8" tint="0.79998168889431442"/>
      <name val="Calibri"/>
      <family val="2"/>
      <scheme val="minor"/>
    </font>
    <font>
      <sz val="12"/>
      <color rgb="FFEEFBFF"/>
      <name val="Calibri"/>
      <family val="2"/>
      <scheme val="minor"/>
    </font>
    <font>
      <sz val="11"/>
      <color rgb="FFFF0000"/>
      <name val="Calibri"/>
      <family val="2"/>
      <scheme val="minor"/>
    </font>
    <font>
      <b/>
      <i/>
      <u/>
      <sz val="12"/>
      <color rgb="FFFF0000"/>
      <name val="Arial"/>
      <family val="2"/>
    </font>
    <font>
      <sz val="12"/>
      <color rgb="FFFF0000"/>
      <name val="Arial"/>
      <family val="2"/>
    </font>
    <font>
      <b/>
      <sz val="12"/>
      <name val="Calibri"/>
      <family val="2"/>
      <scheme val="minor"/>
    </font>
    <font>
      <sz val="12"/>
      <name val="Arial"/>
      <family val="2"/>
    </font>
    <font>
      <sz val="10"/>
      <color rgb="FFFF0000"/>
      <name val="Arial"/>
      <family val="2"/>
    </font>
    <font>
      <vertAlign val="superscript"/>
      <sz val="12"/>
      <color theme="1"/>
      <name val="Arial"/>
      <family val="2"/>
    </font>
    <font>
      <b/>
      <i/>
      <sz val="12"/>
      <name val="Arial"/>
      <family val="2"/>
    </font>
    <font>
      <b/>
      <sz val="10"/>
      <name val="Arial"/>
      <family val="2"/>
    </font>
    <font>
      <i/>
      <sz val="12"/>
      <name val="Arial"/>
      <family val="2"/>
    </font>
    <font>
      <b/>
      <sz val="14"/>
      <name val="Calibri"/>
      <family val="2"/>
      <scheme val="minor"/>
    </font>
    <font>
      <b/>
      <vertAlign val="subscript"/>
      <sz val="12"/>
      <name val="Calibri"/>
      <family val="2"/>
      <scheme val="minor"/>
    </font>
    <font>
      <b/>
      <u/>
      <sz val="12"/>
      <name val="Calibri"/>
      <family val="2"/>
    </font>
    <font>
      <i/>
      <sz val="11"/>
      <name val="Calibri"/>
      <family val="2"/>
      <scheme val="minor"/>
    </font>
    <font>
      <b/>
      <u/>
      <sz val="12"/>
      <name val="Calibri"/>
      <family val="2"/>
      <scheme val="minor"/>
    </font>
    <font>
      <u/>
      <sz val="11"/>
      <color theme="1"/>
      <name val="Calibri"/>
      <family val="2"/>
      <scheme val="minor"/>
    </font>
    <font>
      <u/>
      <sz val="12"/>
      <name val="Calibri"/>
      <family val="2"/>
      <scheme val="minor"/>
    </font>
    <font>
      <u/>
      <sz val="12"/>
      <color theme="1"/>
      <name val="Calibri"/>
      <family val="2"/>
    </font>
    <font>
      <vertAlign val="superscript"/>
      <sz val="12"/>
      <name val="Arial"/>
      <family val="2"/>
    </font>
    <font>
      <b/>
      <sz val="12"/>
      <name val="Arial"/>
      <family val="2"/>
    </font>
  </fonts>
  <fills count="1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EEFBFF"/>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s>
  <borders count="40">
    <border>
      <left/>
      <right/>
      <top/>
      <bottom/>
      <diagonal/>
    </border>
    <border>
      <left/>
      <right/>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thin">
        <color indexed="0"/>
      </right>
      <top style="thin">
        <color indexed="0"/>
      </top>
      <bottom/>
      <diagonal/>
    </border>
    <border>
      <left style="thin">
        <color indexed="0"/>
      </left>
      <right style="thin">
        <color indexed="0"/>
      </right>
      <top style="thin">
        <color indexed="0"/>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bottom/>
      <diagonal/>
    </border>
    <border>
      <left style="thin">
        <color auto="1"/>
      </left>
      <right style="medium">
        <color indexed="64"/>
      </right>
      <top/>
      <bottom/>
      <diagonal/>
    </border>
  </borders>
  <cellStyleXfs count="185">
    <xf numFmtId="0" fontId="0" fillId="0" borderId="0"/>
    <xf numFmtId="9" fontId="12"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8"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0"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1" fillId="0" borderId="0"/>
    <xf numFmtId="43" fontId="11" fillId="0" borderId="0" applyFont="0" applyFill="0" applyBorder="0" applyAlignment="0" applyProtection="0"/>
    <xf numFmtId="43" fontId="12" fillId="0" borderId="0" applyFont="0" applyFill="0" applyBorder="0" applyAlignment="0" applyProtection="0"/>
    <xf numFmtId="0" fontId="28" fillId="0" borderId="0" applyNumberFormat="0" applyFill="0" applyBorder="0" applyAlignment="0" applyProtection="0"/>
    <xf numFmtId="0" fontId="12" fillId="0" borderId="0"/>
    <xf numFmtId="9" fontId="11" fillId="0" borderId="0" applyFont="0" applyFill="0" applyBorder="0" applyAlignment="0" applyProtection="0"/>
    <xf numFmtId="0" fontId="14" fillId="0" borderId="0" applyNumberFormat="0" applyFill="0" applyBorder="0" applyAlignment="0" applyProtection="0"/>
  </cellStyleXfs>
  <cellXfs count="482">
    <xf numFmtId="0" fontId="0" fillId="0" borderId="0" xfId="0"/>
    <xf numFmtId="0" fontId="0" fillId="0" borderId="0" xfId="0" applyBorder="1"/>
    <xf numFmtId="0" fontId="0" fillId="0" borderId="0" xfId="0" applyBorder="1" applyAlignment="1">
      <alignment wrapText="1"/>
    </xf>
    <xf numFmtId="0" fontId="13" fillId="0" borderId="1" xfId="0" applyFont="1" applyBorder="1" applyAlignment="1">
      <alignment wrapText="1"/>
    </xf>
    <xf numFmtId="0" fontId="13" fillId="0" borderId="1" xfId="0" applyFont="1" applyBorder="1" applyAlignment="1">
      <alignment horizontal="center" wrapText="1"/>
    </xf>
    <xf numFmtId="4" fontId="0" fillId="0" borderId="0" xfId="0" applyNumberFormat="1" applyFill="1" applyBorder="1" applyAlignment="1">
      <alignment horizontal="center"/>
    </xf>
    <xf numFmtId="0" fontId="0" fillId="0" borderId="0" xfId="0" applyFill="1" applyBorder="1"/>
    <xf numFmtId="0" fontId="13" fillId="0" borderId="0" xfId="0" applyFont="1" applyFill="1" applyBorder="1" applyAlignment="1">
      <alignment horizontal="center" vertical="center" wrapText="1"/>
    </xf>
    <xf numFmtId="2" fontId="13" fillId="0" borderId="0" xfId="1" applyNumberFormat="1" applyFont="1" applyFill="1" applyBorder="1" applyAlignment="1">
      <alignment horizontal="center"/>
    </xf>
    <xf numFmtId="0" fontId="13" fillId="0" borderId="0" xfId="0" applyFont="1" applyFill="1" applyBorder="1" applyAlignment="1">
      <alignment horizontal="center" wrapText="1"/>
    </xf>
    <xf numFmtId="0" fontId="22" fillId="0" borderId="0" xfId="0" applyFont="1"/>
    <xf numFmtId="0" fontId="21" fillId="0" borderId="0" xfId="0" applyFont="1" applyAlignment="1">
      <alignment horizontal="left" wrapText="1"/>
    </xf>
    <xf numFmtId="0" fontId="23" fillId="0" borderId="0" xfId="0" applyFont="1"/>
    <xf numFmtId="3" fontId="0" fillId="0" borderId="0" xfId="0" applyNumberFormat="1" applyFill="1" applyBorder="1"/>
    <xf numFmtId="3" fontId="13" fillId="0" borderId="0" xfId="0" applyNumberFormat="1" applyFont="1" applyFill="1" applyBorder="1" applyAlignment="1">
      <alignment wrapText="1"/>
    </xf>
    <xf numFmtId="3" fontId="13" fillId="0" borderId="0" xfId="0" applyNumberFormat="1" applyFont="1" applyFill="1" applyBorder="1" applyAlignment="1">
      <alignment horizontal="right"/>
    </xf>
    <xf numFmtId="0" fontId="16" fillId="0" borderId="0" xfId="0" applyFont="1" applyAlignment="1">
      <alignment horizontal="left"/>
    </xf>
    <xf numFmtId="43" fontId="22" fillId="0" borderId="0" xfId="180" applyNumberFormat="1" applyFont="1"/>
    <xf numFmtId="0" fontId="13" fillId="0" borderId="0" xfId="0" applyFont="1"/>
    <xf numFmtId="0" fontId="23" fillId="4" borderId="0" xfId="0" applyFont="1" applyFill="1" applyBorder="1"/>
    <xf numFmtId="0" fontId="22" fillId="0" borderId="0" xfId="178" applyFont="1"/>
    <xf numFmtId="0" fontId="26" fillId="0" borderId="0" xfId="178" applyFont="1"/>
    <xf numFmtId="0" fontId="11" fillId="0" borderId="0" xfId="178"/>
    <xf numFmtId="0" fontId="26" fillId="0" borderId="3" xfId="178" applyFont="1" applyBorder="1" applyAlignment="1">
      <alignment horizontal="center" wrapText="1"/>
    </xf>
    <xf numFmtId="0" fontId="11" fillId="0" borderId="3" xfId="178" applyBorder="1" applyAlignment="1">
      <alignment vertical="top"/>
    </xf>
    <xf numFmtId="0" fontId="11" fillId="0" borderId="0" xfId="178" applyAlignment="1">
      <alignment vertical="top"/>
    </xf>
    <xf numFmtId="0" fontId="11" fillId="0" borderId="0" xfId="178" applyAlignment="1">
      <alignment horizontal="left" vertical="center" indent="1"/>
    </xf>
    <xf numFmtId="0" fontId="26" fillId="0" borderId="0" xfId="178" applyFont="1" applyAlignment="1">
      <alignment vertical="top"/>
    </xf>
    <xf numFmtId="0" fontId="27" fillId="0" borderId="0" xfId="178" applyFont="1"/>
    <xf numFmtId="0" fontId="28" fillId="0" borderId="0" xfId="181" applyFill="1" applyAlignment="1">
      <alignment vertical="center"/>
    </xf>
    <xf numFmtId="0" fontId="28" fillId="0" borderId="0" xfId="181"/>
    <xf numFmtId="166" fontId="0" fillId="0" borderId="0" xfId="183" applyNumberFormat="1" applyFont="1"/>
    <xf numFmtId="0" fontId="11" fillId="0" borderId="3" xfId="178" applyBorder="1" applyAlignment="1">
      <alignment vertical="center"/>
    </xf>
    <xf numFmtId="0" fontId="13" fillId="0" borderId="0" xfId="178" applyFont="1"/>
    <xf numFmtId="0" fontId="26" fillId="0" borderId="5" xfId="178" applyFont="1" applyBorder="1" applyAlignment="1">
      <alignment horizontal="center" wrapText="1"/>
    </xf>
    <xf numFmtId="0" fontId="26" fillId="0" borderId="9" xfId="178" applyFont="1" applyBorder="1" applyAlignment="1">
      <alignment horizontal="center" wrapText="1"/>
    </xf>
    <xf numFmtId="0" fontId="11" fillId="0" borderId="5" xfId="178" applyBorder="1" applyAlignment="1">
      <alignment vertical="center"/>
    </xf>
    <xf numFmtId="0" fontId="11" fillId="0" borderId="5" xfId="178" applyBorder="1" applyAlignment="1">
      <alignment vertical="top"/>
    </xf>
    <xf numFmtId="0" fontId="26" fillId="0" borderId="9" xfId="178" applyFont="1" applyBorder="1"/>
    <xf numFmtId="0" fontId="11" fillId="0" borderId="10" xfId="178" applyBorder="1" applyAlignment="1">
      <alignment horizontal="center"/>
    </xf>
    <xf numFmtId="0" fontId="26" fillId="0" borderId="12" xfId="178" applyFont="1" applyBorder="1" applyAlignment="1">
      <alignment horizontal="center" wrapText="1"/>
    </xf>
    <xf numFmtId="0" fontId="26" fillId="0" borderId="9" xfId="178" applyFont="1" applyBorder="1" applyAlignment="1"/>
    <xf numFmtId="0" fontId="30" fillId="0" borderId="3" xfId="182" applyFont="1" applyBorder="1" applyAlignment="1">
      <alignment horizontal="left" wrapText="1"/>
    </xf>
    <xf numFmtId="167" fontId="11" fillId="0" borderId="12" xfId="178" applyNumberFormat="1" applyBorder="1" applyAlignment="1">
      <alignment horizontal="center" vertical="center"/>
    </xf>
    <xf numFmtId="167" fontId="11" fillId="0" borderId="3" xfId="178" applyNumberFormat="1" applyBorder="1" applyAlignment="1">
      <alignment horizontal="center" vertical="center"/>
    </xf>
    <xf numFmtId="0" fontId="11" fillId="0" borderId="3" xfId="178" applyBorder="1" applyAlignment="1">
      <alignment vertical="center" wrapText="1"/>
    </xf>
    <xf numFmtId="0" fontId="11" fillId="0" borderId="9" xfId="178" applyBorder="1" applyAlignment="1">
      <alignment vertical="center"/>
    </xf>
    <xf numFmtId="0" fontId="11" fillId="0" borderId="4" xfId="178" applyBorder="1" applyAlignment="1">
      <alignment vertical="center" wrapText="1"/>
    </xf>
    <xf numFmtId="0" fontId="29" fillId="0" borderId="9" xfId="178" applyFont="1" applyBorder="1" applyAlignment="1">
      <alignment vertical="center" wrapText="1"/>
    </xf>
    <xf numFmtId="0" fontId="11" fillId="0" borderId="11" xfId="178" applyBorder="1" applyAlignment="1">
      <alignment vertical="center" wrapText="1"/>
    </xf>
    <xf numFmtId="0" fontId="27" fillId="0" borderId="11" xfId="178" applyFont="1" applyBorder="1" applyAlignment="1">
      <alignment vertical="center"/>
    </xf>
    <xf numFmtId="0" fontId="11" fillId="0" borderId="11" xfId="178" applyBorder="1" applyAlignment="1">
      <alignment vertical="center"/>
    </xf>
    <xf numFmtId="0" fontId="11" fillId="0" borderId="5" xfId="178" applyBorder="1" applyAlignment="1">
      <alignment vertical="center" wrapText="1"/>
    </xf>
    <xf numFmtId="0" fontId="11" fillId="0" borderId="9" xfId="178" applyBorder="1" applyAlignment="1">
      <alignment vertical="center" wrapText="1"/>
    </xf>
    <xf numFmtId="0" fontId="31" fillId="0" borderId="0" xfId="0" applyFont="1"/>
    <xf numFmtId="0" fontId="30" fillId="0" borderId="0" xfId="0" applyFont="1" applyAlignment="1">
      <alignment horizontal="left" wrapText="1"/>
    </xf>
    <xf numFmtId="0" fontId="11" fillId="0" borderId="0" xfId="178" applyFont="1"/>
    <xf numFmtId="0" fontId="34" fillId="0" borderId="0" xfId="0" applyFont="1"/>
    <xf numFmtId="0" fontId="0" fillId="0" borderId="0" xfId="0" applyFill="1"/>
    <xf numFmtId="0" fontId="30" fillId="0" borderId="3" xfId="182" applyFont="1" applyBorder="1" applyAlignment="1">
      <alignment wrapText="1"/>
    </xf>
    <xf numFmtId="0" fontId="11" fillId="0" borderId="8" xfId="178" applyBorder="1" applyAlignment="1">
      <alignment horizontal="center"/>
    </xf>
    <xf numFmtId="0" fontId="35" fillId="7" borderId="6" xfId="178" applyFont="1" applyFill="1" applyBorder="1" applyAlignment="1">
      <alignment horizontal="center" vertical="center" wrapText="1"/>
    </xf>
    <xf numFmtId="0" fontId="35" fillId="7" borderId="7" xfId="178" applyFont="1" applyFill="1" applyBorder="1" applyAlignment="1">
      <alignment horizontal="center" vertical="center" wrapText="1"/>
    </xf>
    <xf numFmtId="4" fontId="35" fillId="0" borderId="7" xfId="178" applyNumberFormat="1" applyFont="1" applyBorder="1" applyAlignment="1">
      <alignment horizontal="center" vertical="center" wrapText="1"/>
    </xf>
    <xf numFmtId="0" fontId="0" fillId="0" borderId="9" xfId="0" applyBorder="1"/>
    <xf numFmtId="9" fontId="0" fillId="0" borderId="0" xfId="0" applyNumberFormat="1" applyFill="1" applyBorder="1"/>
    <xf numFmtId="2" fontId="0" fillId="0" borderId="0" xfId="0" applyNumberFormat="1" applyFill="1" applyBorder="1"/>
    <xf numFmtId="0" fontId="37" fillId="0" borderId="0" xfId="178" applyFont="1"/>
    <xf numFmtId="0" fontId="27" fillId="0" borderId="8" xfId="178" applyFont="1" applyBorder="1"/>
    <xf numFmtId="0" fontId="27" fillId="0" borderId="8" xfId="178" applyFont="1" applyBorder="1" applyAlignment="1">
      <alignment wrapText="1"/>
    </xf>
    <xf numFmtId="167" fontId="0" fillId="0" borderId="0" xfId="1" applyNumberFormat="1" applyFont="1" applyFill="1" applyBorder="1"/>
    <xf numFmtId="168" fontId="0" fillId="0" borderId="0" xfId="0" applyNumberFormat="1" applyFill="1" applyBorder="1"/>
    <xf numFmtId="4" fontId="13" fillId="0" borderId="0" xfId="1" applyNumberFormat="1" applyFont="1" applyFill="1" applyBorder="1" applyAlignment="1">
      <alignment horizontal="center"/>
    </xf>
    <xf numFmtId="0" fontId="11" fillId="0" borderId="0" xfId="178" applyBorder="1" applyAlignment="1">
      <alignment vertical="top"/>
    </xf>
    <xf numFmtId="3" fontId="11" fillId="0" borderId="0" xfId="178" applyNumberFormat="1" applyBorder="1" applyAlignment="1">
      <alignment vertical="top"/>
    </xf>
    <xf numFmtId="2" fontId="11" fillId="0" borderId="0" xfId="178" applyNumberFormat="1" applyBorder="1" applyAlignment="1">
      <alignment vertical="top" wrapText="1"/>
    </xf>
    <xf numFmtId="3" fontId="11" fillId="0" borderId="0" xfId="178" applyNumberFormat="1" applyBorder="1" applyAlignment="1">
      <alignment vertical="top" wrapText="1"/>
    </xf>
    <xf numFmtId="9" fontId="11" fillId="0" borderId="0" xfId="178" quotePrefix="1" applyNumberFormat="1" applyBorder="1" applyAlignment="1">
      <alignment vertical="top" wrapText="1"/>
    </xf>
    <xf numFmtId="0" fontId="13" fillId="0" borderId="1" xfId="0" applyFont="1" applyBorder="1" applyAlignment="1">
      <alignment horizontal="center" wrapText="1"/>
    </xf>
    <xf numFmtId="167" fontId="11" fillId="0" borderId="0" xfId="178" applyNumberFormat="1"/>
    <xf numFmtId="169" fontId="11" fillId="0" borderId="0" xfId="178" applyNumberFormat="1"/>
    <xf numFmtId="0" fontId="10" fillId="0" borderId="3" xfId="178" quotePrefix="1" applyFont="1" applyBorder="1" applyAlignment="1">
      <alignment vertical="top"/>
    </xf>
    <xf numFmtId="0" fontId="10" fillId="0" borderId="8" xfId="178" applyFont="1" applyBorder="1" applyAlignment="1">
      <alignment horizontal="center"/>
    </xf>
    <xf numFmtId="170" fontId="11" fillId="0" borderId="8" xfId="178" applyNumberFormat="1" applyBorder="1"/>
    <xf numFmtId="0" fontId="27" fillId="0" borderId="8" xfId="178" applyFont="1" applyFill="1" applyBorder="1"/>
    <xf numFmtId="0" fontId="27" fillId="0" borderId="8" xfId="178" applyFont="1" applyFill="1" applyBorder="1" applyAlignment="1">
      <alignment wrapText="1"/>
    </xf>
    <xf numFmtId="0" fontId="10" fillId="0" borderId="9" xfId="178" applyFont="1" applyBorder="1" applyAlignment="1">
      <alignment vertical="center" wrapText="1"/>
    </xf>
    <xf numFmtId="49" fontId="30" fillId="0" borderId="0" xfId="0" quotePrefix="1" applyNumberFormat="1" applyFont="1" applyFill="1" applyAlignment="1">
      <alignment horizontal="center" wrapText="1"/>
    </xf>
    <xf numFmtId="49" fontId="30" fillId="0" borderId="0" xfId="0" quotePrefix="1" applyNumberFormat="1" applyFont="1" applyAlignment="1">
      <alignment horizontal="center" wrapText="1"/>
    </xf>
    <xf numFmtId="49" fontId="30" fillId="0" borderId="0" xfId="0" applyNumberFormat="1" applyFont="1" applyAlignment="1">
      <alignment horizontal="center" wrapText="1"/>
    </xf>
    <xf numFmtId="0" fontId="21" fillId="0" borderId="0" xfId="0" applyFont="1" applyAlignment="1">
      <alignment horizontal="center" wrapText="1"/>
    </xf>
    <xf numFmtId="164" fontId="23" fillId="0" borderId="0" xfId="0" applyNumberFormat="1" applyFont="1" applyAlignment="1">
      <alignment horizontal="center"/>
    </xf>
    <xf numFmtId="0" fontId="39" fillId="0" borderId="0" xfId="178" applyFont="1"/>
    <xf numFmtId="0" fontId="13" fillId="0" borderId="1" xfId="0" applyFont="1" applyBorder="1" applyAlignment="1">
      <alignment horizontal="left" wrapText="1"/>
    </xf>
    <xf numFmtId="0" fontId="0" fillId="0" borderId="0" xfId="0" applyFill="1" applyBorder="1" applyAlignment="1">
      <alignment horizontal="left"/>
    </xf>
    <xf numFmtId="0" fontId="30" fillId="0" borderId="0" xfId="0" applyFont="1" applyAlignment="1"/>
    <xf numFmtId="0" fontId="11" fillId="0" borderId="9" xfId="178" applyBorder="1"/>
    <xf numFmtId="0" fontId="0" fillId="0" borderId="0" xfId="0" applyBorder="1" applyAlignment="1">
      <alignment horizontal="center"/>
    </xf>
    <xf numFmtId="3" fontId="0" fillId="6" borderId="0" xfId="0" applyNumberFormat="1" applyFill="1" applyBorder="1" applyAlignment="1">
      <alignment horizontal="center"/>
    </xf>
    <xf numFmtId="3" fontId="17" fillId="6" borderId="0" xfId="0" applyNumberFormat="1" applyFont="1" applyFill="1" applyAlignment="1">
      <alignment horizontal="center"/>
    </xf>
    <xf numFmtId="3" fontId="0" fillId="0" borderId="0" xfId="0" applyNumberFormat="1" applyFill="1" applyBorder="1" applyAlignment="1">
      <alignment horizontal="center"/>
    </xf>
    <xf numFmtId="0" fontId="0" fillId="0" borderId="0" xfId="0" applyFill="1" applyBorder="1" applyAlignment="1">
      <alignment horizontal="center"/>
    </xf>
    <xf numFmtId="3" fontId="0" fillId="0" borderId="0" xfId="0" applyNumberFormat="1" applyFont="1" applyFill="1" applyBorder="1"/>
    <xf numFmtId="0" fontId="0" fillId="2" borderId="0" xfId="0" applyFill="1" applyBorder="1" applyProtection="1">
      <protection locked="0"/>
    </xf>
    <xf numFmtId="3" fontId="0" fillId="2" borderId="0" xfId="0" applyNumberFormat="1" applyFill="1" applyBorder="1" applyAlignment="1" applyProtection="1">
      <alignment horizontal="right" indent="1"/>
      <protection locked="0"/>
    </xf>
    <xf numFmtId="0" fontId="0" fillId="5" borderId="0" xfId="0" applyFill="1" applyBorder="1" applyProtection="1">
      <protection locked="0"/>
    </xf>
    <xf numFmtId="3" fontId="0" fillId="5" borderId="0" xfId="0" applyNumberFormat="1" applyFill="1" applyBorder="1" applyAlignment="1" applyProtection="1">
      <alignment horizontal="right" indent="1"/>
      <protection locked="0"/>
    </xf>
    <xf numFmtId="0" fontId="22" fillId="4" borderId="0" xfId="0" applyFont="1" applyFill="1" applyBorder="1" applyAlignment="1" applyProtection="1">
      <alignment horizontal="center"/>
      <protection locked="0"/>
    </xf>
    <xf numFmtId="0" fontId="0" fillId="0" borderId="0" xfId="0" applyBorder="1" applyAlignment="1">
      <alignment horizontal="center" wrapText="1"/>
    </xf>
    <xf numFmtId="0" fontId="0" fillId="0" borderId="0" xfId="0" applyFont="1"/>
    <xf numFmtId="9" fontId="12" fillId="0" borderId="0" xfId="1" applyFont="1" applyFill="1" applyBorder="1" applyAlignment="1">
      <alignment horizontal="center"/>
    </xf>
    <xf numFmtId="11" fontId="10" fillId="0" borderId="9" xfId="0" applyNumberFormat="1" applyFont="1" applyBorder="1"/>
    <xf numFmtId="0" fontId="50" fillId="0" borderId="0" xfId="0" applyFont="1"/>
    <xf numFmtId="171" fontId="0" fillId="0" borderId="0" xfId="0" applyNumberFormat="1" applyFill="1" applyBorder="1" applyAlignment="1">
      <alignment horizontal="center"/>
    </xf>
    <xf numFmtId="171" fontId="13" fillId="0" borderId="0" xfId="1" applyNumberFormat="1" applyFont="1" applyFill="1" applyBorder="1" applyAlignment="1">
      <alignment horizontal="center"/>
    </xf>
    <xf numFmtId="0" fontId="43" fillId="8" borderId="0" xfId="0" applyFont="1" applyFill="1" applyAlignment="1">
      <alignment horizontal="left" vertical="top" wrapText="1"/>
    </xf>
    <xf numFmtId="0" fontId="0" fillId="8" borderId="0" xfId="0" applyFill="1"/>
    <xf numFmtId="0" fontId="13" fillId="0" borderId="1" xfId="0" applyFont="1" applyBorder="1" applyAlignment="1">
      <alignment horizontal="center" wrapText="1"/>
    </xf>
    <xf numFmtId="0" fontId="51" fillId="0" borderId="0" xfId="178" applyFont="1"/>
    <xf numFmtId="0" fontId="32" fillId="0" borderId="9" xfId="0" applyFont="1" applyFill="1" applyBorder="1" applyAlignment="1">
      <alignment horizontal="center" vertical="center" wrapText="1"/>
    </xf>
    <xf numFmtId="49" fontId="30" fillId="0" borderId="9" xfId="182" quotePrefix="1"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26" fillId="0" borderId="21" xfId="178" applyFont="1" applyBorder="1"/>
    <xf numFmtId="0" fontId="11" fillId="0" borderId="22" xfId="178" applyBorder="1" applyAlignment="1">
      <alignment vertical="center"/>
    </xf>
    <xf numFmtId="0" fontId="11" fillId="0" borderId="23" xfId="178" applyBorder="1" applyAlignment="1">
      <alignment vertical="center"/>
    </xf>
    <xf numFmtId="0" fontId="13" fillId="0" borderId="1" xfId="0" applyFont="1" applyBorder="1" applyAlignment="1">
      <alignment horizontal="center" wrapText="1"/>
    </xf>
    <xf numFmtId="3" fontId="0" fillId="3" borderId="0" xfId="0" quotePrefix="1" applyNumberFormat="1" applyFill="1" applyBorder="1"/>
    <xf numFmtId="3" fontId="0" fillId="6" borderId="0" xfId="0" quotePrefix="1" applyNumberFormat="1" applyFill="1" applyBorder="1"/>
    <xf numFmtId="0" fontId="25" fillId="0" borderId="0" xfId="0" applyFont="1"/>
    <xf numFmtId="3" fontId="0" fillId="0" borderId="0" xfId="0" applyNumberFormat="1" applyAlignment="1">
      <alignment horizontal="right"/>
    </xf>
    <xf numFmtId="0" fontId="52" fillId="0" borderId="0" xfId="178" applyFont="1"/>
    <xf numFmtId="0" fontId="0" fillId="0" borderId="0" xfId="0" applyFont="1" applyAlignment="1">
      <alignment horizontal="left"/>
    </xf>
    <xf numFmtId="165" fontId="0" fillId="0" borderId="0" xfId="0" applyNumberFormat="1" applyFont="1" applyBorder="1" applyAlignment="1">
      <alignment horizontal="left"/>
    </xf>
    <xf numFmtId="0" fontId="0" fillId="0" borderId="0" xfId="0" applyAlignment="1">
      <alignment horizontal="left"/>
    </xf>
    <xf numFmtId="0" fontId="9" fillId="0" borderId="0" xfId="178" applyFont="1" applyAlignment="1">
      <alignment horizontal="left"/>
    </xf>
    <xf numFmtId="0" fontId="0" fillId="0" borderId="0" xfId="0" quotePrefix="1" applyAlignment="1">
      <alignment horizontal="left"/>
    </xf>
    <xf numFmtId="165" fontId="0" fillId="0" borderId="0" xfId="0" applyNumberFormat="1" applyFont="1" applyBorder="1" applyAlignment="1">
      <alignment horizontal="right"/>
    </xf>
    <xf numFmtId="0" fontId="26" fillId="0" borderId="21" xfId="178" applyFont="1" applyBorder="1" applyAlignment="1">
      <alignment horizontal="center" wrapText="1"/>
    </xf>
    <xf numFmtId="0" fontId="12" fillId="0" borderId="0" xfId="178" applyFont="1" applyAlignment="1">
      <alignment vertical="top"/>
    </xf>
    <xf numFmtId="0" fontId="12" fillId="0" borderId="0" xfId="178" applyFont="1"/>
    <xf numFmtId="0" fontId="43" fillId="8" borderId="0" xfId="0" applyFont="1" applyFill="1" applyAlignment="1">
      <alignment horizontal="left" vertical="top" wrapText="1"/>
    </xf>
    <xf numFmtId="0" fontId="43" fillId="8" borderId="0" xfId="0" applyFont="1" applyFill="1" applyAlignment="1">
      <alignment wrapText="1"/>
    </xf>
    <xf numFmtId="0" fontId="43" fillId="8" borderId="0" xfId="0" applyFont="1" applyFill="1" applyAlignment="1">
      <alignment horizontal="left" wrapText="1"/>
    </xf>
    <xf numFmtId="0" fontId="13" fillId="0" borderId="1" xfId="0" applyFont="1" applyBorder="1" applyAlignment="1">
      <alignment horizontal="center" wrapText="1"/>
    </xf>
    <xf numFmtId="173" fontId="22" fillId="4" borderId="0" xfId="0" applyNumberFormat="1" applyFont="1" applyFill="1" applyBorder="1" applyAlignment="1" applyProtection="1">
      <alignment horizontal="center"/>
      <protection locked="0"/>
    </xf>
    <xf numFmtId="164" fontId="22" fillId="4" borderId="0" xfId="0" applyNumberFormat="1" applyFont="1" applyFill="1" applyBorder="1" applyAlignment="1" applyProtection="1">
      <alignment horizontal="center"/>
      <protection locked="0"/>
    </xf>
    <xf numFmtId="0" fontId="8" fillId="0" borderId="0" xfId="178" applyFont="1"/>
    <xf numFmtId="0" fontId="32" fillId="0" borderId="11" xfId="0" applyFont="1" applyFill="1" applyBorder="1" applyAlignment="1">
      <alignment horizontal="center" vertical="center" wrapText="1"/>
    </xf>
    <xf numFmtId="172" fontId="11" fillId="0" borderId="16" xfId="178" applyNumberFormat="1" applyFill="1" applyBorder="1" applyAlignment="1">
      <alignment horizontal="center" vertical="center"/>
    </xf>
    <xf numFmtId="172" fontId="11" fillId="0" borderId="9" xfId="178" applyNumberFormat="1" applyFill="1" applyBorder="1" applyAlignment="1">
      <alignment horizontal="center" vertical="center"/>
    </xf>
    <xf numFmtId="1" fontId="11" fillId="0" borderId="9" xfId="178" applyNumberFormat="1" applyFill="1" applyBorder="1" applyAlignment="1">
      <alignment horizontal="center" vertical="center"/>
    </xf>
    <xf numFmtId="172" fontId="11" fillId="0" borderId="24" xfId="178" applyNumberFormat="1" applyFill="1" applyBorder="1" applyAlignment="1">
      <alignment horizontal="center" vertical="center"/>
    </xf>
    <xf numFmtId="172" fontId="11" fillId="0" borderId="17" xfId="178" applyNumberFormat="1" applyFill="1" applyBorder="1" applyAlignment="1">
      <alignment horizontal="center" vertical="center"/>
    </xf>
    <xf numFmtId="172" fontId="11" fillId="0" borderId="18" xfId="178" applyNumberFormat="1" applyFill="1" applyBorder="1" applyAlignment="1">
      <alignment horizontal="center" vertical="center"/>
    </xf>
    <xf numFmtId="172" fontId="11" fillId="0" borderId="20" xfId="178" applyNumberFormat="1" applyFill="1" applyBorder="1" applyAlignment="1">
      <alignment horizontal="center" vertical="center"/>
    </xf>
    <xf numFmtId="1" fontId="11" fillId="0" borderId="20" xfId="178" applyNumberFormat="1" applyFill="1" applyBorder="1" applyAlignment="1">
      <alignment horizontal="center" vertical="center"/>
    </xf>
    <xf numFmtId="172" fontId="11" fillId="0" borderId="25" xfId="178" applyNumberFormat="1" applyFill="1" applyBorder="1" applyAlignment="1">
      <alignment horizontal="center" vertical="center"/>
    </xf>
    <xf numFmtId="172" fontId="11" fillId="0" borderId="19" xfId="178" applyNumberFormat="1" applyFill="1" applyBorder="1" applyAlignment="1">
      <alignment horizontal="center" vertical="center"/>
    </xf>
    <xf numFmtId="172" fontId="11" fillId="0" borderId="11" xfId="178" applyNumberFormat="1" applyFill="1" applyBorder="1" applyAlignment="1">
      <alignment horizontal="center" vertical="center"/>
    </xf>
    <xf numFmtId="172" fontId="11" fillId="0" borderId="27" xfId="178" applyNumberFormat="1" applyFill="1" applyBorder="1" applyAlignment="1">
      <alignment horizontal="center" vertical="center"/>
    </xf>
    <xf numFmtId="3" fontId="13" fillId="3" borderId="2" xfId="1" applyNumberFormat="1" applyFont="1" applyFill="1" applyBorder="1" applyAlignment="1">
      <alignment horizontal="center"/>
    </xf>
    <xf numFmtId="0" fontId="43" fillId="8" borderId="0" xfId="0" applyFont="1" applyFill="1" applyAlignment="1">
      <alignment horizontal="left" vertical="top"/>
    </xf>
    <xf numFmtId="0" fontId="43" fillId="8" borderId="0" xfId="0" applyFont="1" applyFill="1" applyAlignment="1">
      <alignment horizontal="left"/>
    </xf>
    <xf numFmtId="9" fontId="0" fillId="3" borderId="0" xfId="1" applyNumberFormat="1" applyFont="1" applyFill="1" applyBorder="1"/>
    <xf numFmtId="9" fontId="0" fillId="6" borderId="0" xfId="1" applyNumberFormat="1" applyFont="1" applyFill="1" applyBorder="1"/>
    <xf numFmtId="9" fontId="13" fillId="3" borderId="2" xfId="1" applyNumberFormat="1" applyFont="1" applyFill="1" applyBorder="1"/>
    <xf numFmtId="166" fontId="0" fillId="3" borderId="0" xfId="0" applyNumberFormat="1" applyFill="1" applyBorder="1"/>
    <xf numFmtId="166" fontId="0" fillId="6" borderId="0" xfId="0" applyNumberFormat="1" applyFill="1" applyBorder="1"/>
    <xf numFmtId="0" fontId="12" fillId="0" borderId="0" xfId="0" applyFont="1" applyFill="1"/>
    <xf numFmtId="0" fontId="8" fillId="0" borderId="0" xfId="178" applyFont="1" applyBorder="1" applyAlignment="1"/>
    <xf numFmtId="0" fontId="13" fillId="0" borderId="0" xfId="0" applyFont="1" applyAlignment="1">
      <alignment horizontal="right"/>
    </xf>
    <xf numFmtId="0" fontId="38" fillId="0" borderId="0" xfId="0" applyFont="1" applyAlignment="1">
      <alignment horizontal="left"/>
    </xf>
    <xf numFmtId="173" fontId="12" fillId="0" borderId="0" xfId="178" applyNumberFormat="1" applyFont="1" applyAlignment="1">
      <alignment horizontal="right"/>
    </xf>
    <xf numFmtId="2" fontId="13" fillId="0" borderId="0" xfId="178" applyNumberFormat="1" applyFont="1" applyAlignment="1">
      <alignment horizontal="right"/>
    </xf>
    <xf numFmtId="0" fontId="57" fillId="0" borderId="0" xfId="0" applyFont="1"/>
    <xf numFmtId="0" fontId="22" fillId="0" borderId="0" xfId="0" applyFont="1" applyBorder="1"/>
    <xf numFmtId="0" fontId="13" fillId="0" borderId="1" xfId="0" applyFont="1" applyBorder="1" applyAlignment="1">
      <alignment horizontal="center" wrapText="1"/>
    </xf>
    <xf numFmtId="3" fontId="0" fillId="9" borderId="0" xfId="0" applyNumberFormat="1" applyFill="1" applyBorder="1" applyAlignment="1">
      <alignment horizontal="center"/>
    </xf>
    <xf numFmtId="168" fontId="0" fillId="9" borderId="0" xfId="0" applyNumberFormat="1" applyFill="1" applyBorder="1"/>
    <xf numFmtId="168" fontId="0" fillId="10" borderId="0" xfId="0" applyNumberFormat="1" applyFill="1" applyBorder="1"/>
    <xf numFmtId="168" fontId="13" fillId="10" borderId="2" xfId="1" applyNumberFormat="1" applyFont="1" applyFill="1" applyBorder="1" applyAlignment="1">
      <alignment horizontal="center"/>
    </xf>
    <xf numFmtId="0" fontId="13" fillId="0" borderId="1" xfId="0" applyFont="1" applyBorder="1" applyAlignment="1">
      <alignment horizontal="center" wrapText="1"/>
    </xf>
    <xf numFmtId="3" fontId="0" fillId="0" borderId="10" xfId="0" applyNumberFormat="1" applyFont="1" applyFill="1" applyBorder="1"/>
    <xf numFmtId="168" fontId="38" fillId="2" borderId="30" xfId="0" applyNumberFormat="1" applyFont="1" applyFill="1" applyBorder="1" applyProtection="1">
      <protection locked="0"/>
    </xf>
    <xf numFmtId="168" fontId="38" fillId="5" borderId="32" xfId="0" applyNumberFormat="1" applyFont="1" applyFill="1" applyBorder="1" applyProtection="1">
      <protection locked="0"/>
    </xf>
    <xf numFmtId="168" fontId="38" fillId="2" borderId="32" xfId="0" applyNumberFormat="1" applyFont="1" applyFill="1" applyBorder="1" applyProtection="1">
      <protection locked="0"/>
    </xf>
    <xf numFmtId="168" fontId="38" fillId="5" borderId="33" xfId="0" applyNumberFormat="1" applyFont="1" applyFill="1" applyBorder="1" applyProtection="1">
      <protection locked="0"/>
    </xf>
    <xf numFmtId="0" fontId="0" fillId="0" borderId="28" xfId="0" applyFill="1" applyBorder="1"/>
    <xf numFmtId="0" fontId="0" fillId="0" borderId="28" xfId="0" applyFill="1" applyBorder="1" applyAlignment="1">
      <alignment horizontal="center" wrapText="1"/>
    </xf>
    <xf numFmtId="0" fontId="0" fillId="0" borderId="31" xfId="0" applyFill="1" applyBorder="1" applyAlignment="1">
      <alignment horizontal="center" wrapText="1"/>
    </xf>
    <xf numFmtId="0" fontId="0" fillId="0" borderId="32" xfId="0" applyFill="1" applyBorder="1" applyAlignment="1">
      <alignment horizontal="center" wrapText="1"/>
    </xf>
    <xf numFmtId="0" fontId="0" fillId="0" borderId="31" xfId="0" applyBorder="1" applyAlignment="1">
      <alignment horizontal="center" wrapText="1"/>
    </xf>
    <xf numFmtId="3" fontId="0" fillId="0" borderId="31" xfId="0" applyNumberFormat="1" applyFill="1" applyBorder="1" applyAlignment="1">
      <alignment horizontal="center" wrapText="1"/>
    </xf>
    <xf numFmtId="0" fontId="0" fillId="3" borderId="0" xfId="0" applyNumberFormat="1" applyFill="1" applyBorder="1"/>
    <xf numFmtId="0" fontId="0" fillId="3" borderId="0" xfId="0" quotePrefix="1" applyNumberFormat="1" applyFill="1" applyBorder="1"/>
    <xf numFmtId="0" fontId="0" fillId="6" borderId="0" xfId="0" applyNumberFormat="1" applyFill="1" applyBorder="1"/>
    <xf numFmtId="0" fontId="0" fillId="6" borderId="0" xfId="0" quotePrefix="1" applyNumberFormat="1" applyFill="1" applyBorder="1"/>
    <xf numFmtId="0" fontId="13" fillId="3" borderId="2" xfId="1" applyNumberFormat="1" applyFont="1" applyFill="1" applyBorder="1" applyAlignment="1">
      <alignment horizontal="center"/>
    </xf>
    <xf numFmtId="174" fontId="23" fillId="0" borderId="0" xfId="0" applyNumberFormat="1" applyFont="1" applyAlignment="1">
      <alignment horizontal="center"/>
    </xf>
    <xf numFmtId="174" fontId="22" fillId="4" borderId="0" xfId="0" applyNumberFormat="1" applyFont="1" applyFill="1" applyBorder="1" applyAlignment="1" applyProtection="1">
      <alignment horizontal="center"/>
      <protection locked="0"/>
    </xf>
    <xf numFmtId="164" fontId="23" fillId="4" borderId="0" xfId="0" applyNumberFormat="1" applyFont="1" applyFill="1" applyAlignment="1">
      <alignment horizontal="center"/>
    </xf>
    <xf numFmtId="165" fontId="0" fillId="3" borderId="0" xfId="0" applyNumberFormat="1" applyFill="1" applyBorder="1"/>
    <xf numFmtId="165" fontId="0" fillId="6" borderId="0" xfId="0" applyNumberFormat="1" applyFill="1" applyBorder="1"/>
    <xf numFmtId="175" fontId="0" fillId="3" borderId="0" xfId="0" applyNumberFormat="1" applyFill="1" applyBorder="1"/>
    <xf numFmtId="175" fontId="0" fillId="6" borderId="0" xfId="0" applyNumberFormat="1" applyFill="1" applyBorder="1"/>
    <xf numFmtId="175" fontId="0" fillId="3" borderId="0" xfId="0" quotePrefix="1" applyNumberFormat="1" applyFill="1" applyBorder="1"/>
    <xf numFmtId="175" fontId="0" fillId="6" borderId="0" xfId="0" quotePrefix="1" applyNumberFormat="1" applyFill="1" applyBorder="1"/>
    <xf numFmtId="165" fontId="13" fillId="3" borderId="2" xfId="1" applyNumberFormat="1" applyFont="1" applyFill="1" applyBorder="1" applyAlignment="1">
      <alignment horizontal="center"/>
    </xf>
    <xf numFmtId="175" fontId="13" fillId="3" borderId="2" xfId="1" applyNumberFormat="1" applyFont="1" applyFill="1" applyBorder="1" applyAlignment="1">
      <alignment horizontal="center"/>
    </xf>
    <xf numFmtId="0" fontId="0" fillId="2" borderId="0" xfId="0" applyFill="1" applyBorder="1" applyProtection="1"/>
    <xf numFmtId="3" fontId="0" fillId="2" borderId="0" xfId="0" applyNumberFormat="1" applyFill="1" applyBorder="1" applyAlignment="1" applyProtection="1">
      <alignment horizontal="right" indent="1"/>
    </xf>
    <xf numFmtId="3" fontId="0" fillId="0" borderId="0" xfId="0" applyNumberFormat="1" applyFill="1" applyBorder="1" applyProtection="1"/>
    <xf numFmtId="2" fontId="0" fillId="0" borderId="0" xfId="0" applyNumberFormat="1" applyFill="1" applyBorder="1" applyProtection="1"/>
    <xf numFmtId="9" fontId="0" fillId="0" borderId="0" xfId="0" applyNumberFormat="1" applyFill="1" applyBorder="1" applyProtection="1"/>
    <xf numFmtId="167" fontId="0" fillId="0" borderId="0" xfId="1" applyNumberFormat="1" applyFont="1" applyFill="1" applyBorder="1" applyProtection="1"/>
    <xf numFmtId="168" fontId="0" fillId="0" borderId="0" xfId="0" applyNumberFormat="1" applyFill="1" applyBorder="1" applyProtection="1"/>
    <xf numFmtId="3" fontId="0" fillId="3" borderId="0" xfId="0" quotePrefix="1" applyNumberFormat="1" applyFill="1" applyBorder="1" applyProtection="1"/>
    <xf numFmtId="166" fontId="0" fillId="3" borderId="0" xfId="0" applyNumberFormat="1" applyFill="1" applyBorder="1" applyProtection="1"/>
    <xf numFmtId="165" fontId="0" fillId="3" borderId="0" xfId="0" applyNumberFormat="1" applyFill="1" applyBorder="1" applyProtection="1"/>
    <xf numFmtId="175" fontId="0" fillId="3" borderId="0" xfId="0" applyNumberFormat="1" applyFill="1" applyBorder="1" applyProtection="1"/>
    <xf numFmtId="175" fontId="0" fillId="3" borderId="0" xfId="0" quotePrefix="1" applyNumberFormat="1" applyFill="1" applyBorder="1" applyProtection="1"/>
    <xf numFmtId="4" fontId="0" fillId="0" borderId="0" xfId="0" applyNumberFormat="1" applyFill="1" applyBorder="1" applyAlignment="1" applyProtection="1">
      <alignment horizontal="center"/>
    </xf>
    <xf numFmtId="0" fontId="0" fillId="0" borderId="0" xfId="0" applyBorder="1" applyProtection="1"/>
    <xf numFmtId="9" fontId="0" fillId="3" borderId="0" xfId="1" applyNumberFormat="1" applyFont="1" applyFill="1" applyBorder="1" applyProtection="1"/>
    <xf numFmtId="0" fontId="0" fillId="5" borderId="0" xfId="0" applyFill="1" applyBorder="1" applyProtection="1"/>
    <xf numFmtId="3" fontId="0" fillId="5" borderId="0" xfId="0" applyNumberFormat="1" applyFill="1" applyBorder="1" applyAlignment="1" applyProtection="1">
      <alignment horizontal="right" indent="1"/>
    </xf>
    <xf numFmtId="3" fontId="0" fillId="6" borderId="0" xfId="0" quotePrefix="1" applyNumberFormat="1" applyFill="1" applyBorder="1" applyProtection="1"/>
    <xf numFmtId="166" fontId="0" fillId="6" borderId="0" xfId="0" applyNumberFormat="1" applyFill="1" applyBorder="1" applyProtection="1"/>
    <xf numFmtId="165" fontId="0" fillId="6" borderId="0" xfId="0" applyNumberFormat="1" applyFill="1" applyBorder="1" applyProtection="1"/>
    <xf numFmtId="175" fontId="0" fillId="6" borderId="0" xfId="0" applyNumberFormat="1" applyFill="1" applyBorder="1" applyProtection="1"/>
    <xf numFmtId="175" fontId="0" fillId="6" borderId="0" xfId="0" quotePrefix="1" applyNumberFormat="1" applyFill="1" applyBorder="1" applyProtection="1"/>
    <xf numFmtId="9" fontId="0" fillId="6" borderId="0" xfId="1" applyNumberFormat="1" applyFont="1" applyFill="1" applyBorder="1" applyProtection="1"/>
    <xf numFmtId="3" fontId="0" fillId="3" borderId="0" xfId="0" applyNumberFormat="1" applyFill="1" applyBorder="1" applyProtection="1"/>
    <xf numFmtId="3" fontId="0" fillId="6" borderId="0" xfId="0" applyNumberFormat="1" applyFill="1" applyBorder="1" applyProtection="1"/>
    <xf numFmtId="0" fontId="0" fillId="0" borderId="0" xfId="0" applyProtection="1"/>
    <xf numFmtId="3" fontId="13" fillId="0" borderId="0" xfId="0" applyNumberFormat="1" applyFont="1" applyFill="1" applyBorder="1" applyAlignment="1" applyProtection="1">
      <alignment horizontal="right"/>
    </xf>
    <xf numFmtId="4" fontId="13" fillId="0" borderId="0" xfId="1" applyNumberFormat="1" applyFont="1" applyFill="1" applyBorder="1" applyAlignment="1" applyProtection="1">
      <alignment horizontal="center"/>
    </xf>
    <xf numFmtId="2" fontId="13" fillId="0" borderId="0" xfId="1" applyNumberFormat="1" applyFont="1" applyFill="1" applyBorder="1" applyAlignment="1" applyProtection="1">
      <alignment horizontal="center"/>
    </xf>
    <xf numFmtId="0" fontId="40" fillId="0" borderId="0" xfId="0" applyFont="1" applyAlignment="1">
      <alignment wrapText="1"/>
    </xf>
    <xf numFmtId="0" fontId="11" fillId="0" borderId="9" xfId="178" applyBorder="1" applyAlignment="1">
      <alignment vertical="top"/>
    </xf>
    <xf numFmtId="0" fontId="6" fillId="0" borderId="3" xfId="178" applyFont="1" applyBorder="1" applyAlignment="1">
      <alignment horizontal="right" vertical="top"/>
    </xf>
    <xf numFmtId="0" fontId="6" fillId="0" borderId="22" xfId="178" applyFont="1" applyBorder="1" applyAlignment="1">
      <alignment horizontal="left" vertical="top"/>
    </xf>
    <xf numFmtId="0" fontId="11" fillId="6" borderId="22" xfId="178" applyFill="1" applyBorder="1" applyAlignment="1">
      <alignment vertical="center"/>
    </xf>
    <xf numFmtId="0" fontId="6" fillId="6" borderId="22" xfId="178" applyFont="1" applyFill="1" applyBorder="1" applyAlignment="1">
      <alignment horizontal="left" vertical="top"/>
    </xf>
    <xf numFmtId="172" fontId="11" fillId="6" borderId="16" xfId="178" applyNumberFormat="1" applyFill="1" applyBorder="1" applyAlignment="1">
      <alignment horizontal="center" vertical="center"/>
    </xf>
    <xf numFmtId="172" fontId="11" fillId="6" borderId="9" xfId="178" applyNumberFormat="1" applyFill="1" applyBorder="1" applyAlignment="1">
      <alignment horizontal="center" vertical="center"/>
    </xf>
    <xf numFmtId="1" fontId="11" fillId="6" borderId="9" xfId="178" applyNumberFormat="1" applyFill="1" applyBorder="1" applyAlignment="1">
      <alignment horizontal="center" vertical="center"/>
    </xf>
    <xf numFmtId="172" fontId="11" fillId="6" borderId="24" xfId="178" applyNumberFormat="1" applyFill="1" applyBorder="1" applyAlignment="1">
      <alignment horizontal="center" vertical="center"/>
    </xf>
    <xf numFmtId="172" fontId="11" fillId="6" borderId="11" xfId="178" applyNumberFormat="1" applyFill="1" applyBorder="1" applyAlignment="1">
      <alignment horizontal="center" vertical="center"/>
    </xf>
    <xf numFmtId="172" fontId="11" fillId="6" borderId="17" xfId="178" applyNumberFormat="1" applyFill="1" applyBorder="1" applyAlignment="1">
      <alignment horizontal="center" vertical="center"/>
    </xf>
    <xf numFmtId="0" fontId="10" fillId="6" borderId="22" xfId="178" applyFont="1" applyFill="1" applyBorder="1" applyAlignment="1">
      <alignment horizontal="left" vertical="top"/>
    </xf>
    <xf numFmtId="0" fontId="11" fillId="9" borderId="22" xfId="178" applyFill="1" applyBorder="1" applyAlignment="1">
      <alignment vertical="center"/>
    </xf>
    <xf numFmtId="0" fontId="11" fillId="9" borderId="22" xfId="178" applyFill="1" applyBorder="1" applyAlignment="1">
      <alignment horizontal="left" vertical="top"/>
    </xf>
    <xf numFmtId="172" fontId="11" fillId="9" borderId="16" xfId="178" applyNumberFormat="1" applyFill="1" applyBorder="1" applyAlignment="1">
      <alignment horizontal="center" vertical="center"/>
    </xf>
    <xf numFmtId="172" fontId="11" fillId="9" borderId="9" xfId="178" applyNumberFormat="1" applyFill="1" applyBorder="1" applyAlignment="1">
      <alignment horizontal="center" vertical="center"/>
    </xf>
    <xf numFmtId="1" fontId="11" fillId="9" borderId="9" xfId="178" applyNumberFormat="1" applyFill="1" applyBorder="1" applyAlignment="1">
      <alignment horizontal="center" vertical="center"/>
    </xf>
    <xf numFmtId="172" fontId="11" fillId="9" borderId="24" xfId="178" applyNumberFormat="1" applyFill="1" applyBorder="1" applyAlignment="1">
      <alignment horizontal="center" vertical="center"/>
    </xf>
    <xf numFmtId="172" fontId="11" fillId="9" borderId="11" xfId="178" applyNumberFormat="1" applyFill="1" applyBorder="1" applyAlignment="1">
      <alignment horizontal="center" vertical="center"/>
    </xf>
    <xf numFmtId="172" fontId="11" fillId="9" borderId="17" xfId="178" applyNumberFormat="1" applyFill="1" applyBorder="1" applyAlignment="1">
      <alignment horizontal="center" vertical="center"/>
    </xf>
    <xf numFmtId="0" fontId="10" fillId="9" borderId="22" xfId="178" applyFont="1" applyFill="1" applyBorder="1" applyAlignment="1">
      <alignment horizontal="left" vertical="top"/>
    </xf>
    <xf numFmtId="172" fontId="11" fillId="0" borderId="34" xfId="178" applyNumberFormat="1" applyFill="1" applyBorder="1" applyAlignment="1">
      <alignment horizontal="center" vertical="center"/>
    </xf>
    <xf numFmtId="172" fontId="11" fillId="0" borderId="4" xfId="178" applyNumberFormat="1" applyFill="1" applyBorder="1" applyAlignment="1">
      <alignment horizontal="center" vertical="center"/>
    </xf>
    <xf numFmtId="1" fontId="11" fillId="0" borderId="4" xfId="178" applyNumberFormat="1" applyFill="1" applyBorder="1" applyAlignment="1">
      <alignment horizontal="center" vertical="center"/>
    </xf>
    <xf numFmtId="172" fontId="11" fillId="0" borderId="29" xfId="178" applyNumberFormat="1" applyFill="1" applyBorder="1" applyAlignment="1">
      <alignment horizontal="center" vertical="center"/>
    </xf>
    <xf numFmtId="172" fontId="11" fillId="0" borderId="35" xfId="178" applyNumberFormat="1" applyFill="1" applyBorder="1" applyAlignment="1">
      <alignment horizontal="center" vertical="center"/>
    </xf>
    <xf numFmtId="0" fontId="11" fillId="0" borderId="37" xfId="178" applyBorder="1" applyAlignment="1">
      <alignment vertical="center"/>
    </xf>
    <xf numFmtId="172" fontId="11" fillId="0" borderId="38" xfId="178" applyNumberFormat="1" applyFill="1" applyBorder="1" applyAlignment="1">
      <alignment horizontal="center" vertical="center"/>
    </xf>
    <xf numFmtId="172" fontId="11" fillId="0" borderId="28" xfId="178" applyNumberFormat="1" applyFill="1" applyBorder="1" applyAlignment="1">
      <alignment horizontal="center" vertical="center"/>
    </xf>
    <xf numFmtId="1" fontId="11" fillId="0" borderId="28" xfId="178" applyNumberFormat="1" applyFill="1" applyBorder="1" applyAlignment="1">
      <alignment horizontal="center" vertical="center"/>
    </xf>
    <xf numFmtId="172" fontId="11" fillId="0" borderId="31" xfId="178" applyNumberFormat="1" applyFill="1" applyBorder="1" applyAlignment="1">
      <alignment horizontal="center" vertical="center"/>
    </xf>
    <xf numFmtId="172" fontId="11" fillId="0" borderId="39" xfId="178" applyNumberFormat="1" applyFill="1" applyBorder="1" applyAlignment="1">
      <alignment horizontal="center" vertical="center"/>
    </xf>
    <xf numFmtId="0" fontId="10" fillId="0" borderId="9" xfId="178" applyFont="1" applyBorder="1" applyAlignment="1">
      <alignment horizontal="left" vertical="top"/>
    </xf>
    <xf numFmtId="0" fontId="6" fillId="0" borderId="36" xfId="178" applyFont="1" applyBorder="1" applyAlignment="1">
      <alignment horizontal="left" vertical="top"/>
    </xf>
    <xf numFmtId="0" fontId="13" fillId="0" borderId="0" xfId="0" applyFont="1" applyAlignment="1">
      <alignment horizontal="left" vertical="center"/>
    </xf>
    <xf numFmtId="0" fontId="10" fillId="0" borderId="3" xfId="178" applyFont="1" applyBorder="1" applyAlignment="1">
      <alignment horizontal="left" vertical="top"/>
    </xf>
    <xf numFmtId="0" fontId="11" fillId="0" borderId="3" xfId="178" applyBorder="1" applyAlignment="1">
      <alignment horizontal="left" vertical="top"/>
    </xf>
    <xf numFmtId="0" fontId="11" fillId="0" borderId="5" xfId="178" applyBorder="1" applyAlignment="1">
      <alignment horizontal="left" vertical="top"/>
    </xf>
    <xf numFmtId="0" fontId="6" fillId="0" borderId="5" xfId="178" applyFont="1" applyBorder="1" applyAlignment="1">
      <alignment vertical="top"/>
    </xf>
    <xf numFmtId="3" fontId="38" fillId="2" borderId="2" xfId="0" applyNumberFormat="1" applyFont="1" applyFill="1" applyBorder="1" applyProtection="1">
      <protection locked="0"/>
    </xf>
    <xf numFmtId="3" fontId="38" fillId="5" borderId="0" xfId="0" applyNumberFormat="1" applyFont="1" applyFill="1" applyBorder="1" applyProtection="1">
      <protection locked="0"/>
    </xf>
    <xf numFmtId="3" fontId="38" fillId="2" borderId="0" xfId="0" applyNumberFormat="1" applyFont="1" applyFill="1" applyBorder="1" applyProtection="1">
      <protection locked="0"/>
    </xf>
    <xf numFmtId="4" fontId="0" fillId="0" borderId="0" xfId="0" applyNumberFormat="1" applyFont="1" applyFill="1" applyBorder="1"/>
    <xf numFmtId="4" fontId="38" fillId="2" borderId="2" xfId="0" applyNumberFormat="1" applyFont="1" applyFill="1" applyBorder="1" applyProtection="1">
      <protection locked="0"/>
    </xf>
    <xf numFmtId="4" fontId="38" fillId="5" borderId="0" xfId="0" applyNumberFormat="1" applyFont="1" applyFill="1" applyBorder="1" applyProtection="1">
      <protection locked="0"/>
    </xf>
    <xf numFmtId="4" fontId="38" fillId="2" borderId="0" xfId="0" applyNumberFormat="1" applyFont="1" applyFill="1" applyBorder="1" applyProtection="1">
      <protection locked="0"/>
    </xf>
    <xf numFmtId="4" fontId="38" fillId="5" borderId="10" xfId="0" applyNumberFormat="1" applyFont="1" applyFill="1" applyBorder="1" applyProtection="1">
      <protection locked="0"/>
    </xf>
    <xf numFmtId="3" fontId="38" fillId="5" borderId="10" xfId="0" applyNumberFormat="1" applyFont="1" applyFill="1" applyBorder="1" applyProtection="1">
      <protection locked="0"/>
    </xf>
    <xf numFmtId="4" fontId="0" fillId="0" borderId="10" xfId="0" applyNumberFormat="1" applyFont="1" applyFill="1" applyBorder="1"/>
    <xf numFmtId="167" fontId="38" fillId="2" borderId="2" xfId="0" applyNumberFormat="1" applyFont="1" applyFill="1" applyBorder="1" applyProtection="1">
      <protection locked="0"/>
    </xf>
    <xf numFmtId="167" fontId="38" fillId="5" borderId="0" xfId="0" applyNumberFormat="1" applyFont="1" applyFill="1" applyBorder="1" applyProtection="1">
      <protection locked="0"/>
    </xf>
    <xf numFmtId="167" fontId="38" fillId="2" borderId="0" xfId="0" applyNumberFormat="1" applyFont="1" applyFill="1" applyBorder="1" applyProtection="1">
      <protection locked="0"/>
    </xf>
    <xf numFmtId="167" fontId="38" fillId="5" borderId="10" xfId="0" applyNumberFormat="1" applyFont="1" applyFill="1" applyBorder="1" applyProtection="1">
      <protection locked="0"/>
    </xf>
    <xf numFmtId="168" fontId="0" fillId="0" borderId="0" xfId="0" applyNumberFormat="1" applyFont="1" applyFill="1" applyBorder="1"/>
    <xf numFmtId="168" fontId="38" fillId="2" borderId="2" xfId="0" applyNumberFormat="1" applyFont="1" applyFill="1" applyBorder="1" applyProtection="1">
      <protection locked="0"/>
    </xf>
    <xf numFmtId="168" fontId="38" fillId="5" borderId="0" xfId="0" applyNumberFormat="1" applyFont="1" applyFill="1" applyBorder="1" applyProtection="1">
      <protection locked="0"/>
    </xf>
    <xf numFmtId="168" fontId="38" fillId="2" borderId="0" xfId="0" applyNumberFormat="1" applyFont="1" applyFill="1" applyBorder="1" applyProtection="1">
      <protection locked="0"/>
    </xf>
    <xf numFmtId="168" fontId="38" fillId="5" borderId="10" xfId="0" applyNumberFormat="1" applyFont="1" applyFill="1" applyBorder="1" applyProtection="1">
      <protection locked="0"/>
    </xf>
    <xf numFmtId="168" fontId="0" fillId="0" borderId="10" xfId="0" applyNumberFormat="1" applyFont="1" applyFill="1" applyBorder="1"/>
    <xf numFmtId="0" fontId="0" fillId="2" borderId="0" xfId="0" applyFill="1" applyBorder="1" applyAlignment="1" applyProtection="1">
      <alignment horizontal="right"/>
    </xf>
    <xf numFmtId="168" fontId="0" fillId="9" borderId="0" xfId="0" applyNumberFormat="1" applyFill="1" applyBorder="1" applyProtection="1"/>
    <xf numFmtId="168" fontId="0" fillId="10" borderId="0" xfId="0" applyNumberFormat="1" applyFill="1" applyBorder="1" applyProtection="1"/>
    <xf numFmtId="0" fontId="65" fillId="0" borderId="0" xfId="0" applyFont="1" applyFill="1" applyAlignment="1">
      <alignment horizontal="left" vertical="top" wrapText="1"/>
    </xf>
    <xf numFmtId="0" fontId="40" fillId="0" borderId="0" xfId="0" applyFont="1" applyFill="1" applyAlignment="1">
      <alignment vertical="center"/>
    </xf>
    <xf numFmtId="0" fontId="66" fillId="0" borderId="1" xfId="0" applyFont="1" applyBorder="1" applyAlignment="1">
      <alignment horizontal="center" wrapText="1"/>
    </xf>
    <xf numFmtId="3" fontId="11" fillId="0" borderId="5" xfId="178" applyNumberFormat="1" applyBorder="1" applyAlignment="1">
      <alignment horizontal="center" vertical="top"/>
    </xf>
    <xf numFmtId="2" fontId="27" fillId="0" borderId="5" xfId="178" quotePrefix="1" applyNumberFormat="1" applyFont="1" applyBorder="1" applyAlignment="1">
      <alignment horizontal="center" vertical="top" wrapText="1"/>
    </xf>
    <xf numFmtId="3" fontId="11" fillId="0" borderId="5" xfId="178" applyNumberFormat="1" applyBorder="1" applyAlignment="1">
      <alignment horizontal="center" vertical="top" wrapText="1"/>
    </xf>
    <xf numFmtId="9" fontId="11" fillId="0" borderId="5" xfId="178" quotePrefix="1" applyNumberFormat="1" applyBorder="1" applyAlignment="1">
      <alignment horizontal="center" vertical="top" wrapText="1"/>
    </xf>
    <xf numFmtId="0" fontId="11" fillId="0" borderId="0" xfId="178" quotePrefix="1" applyAlignment="1">
      <alignment horizontal="center" vertical="top"/>
    </xf>
    <xf numFmtId="168" fontId="11" fillId="0" borderId="5" xfId="178" applyNumberFormat="1" applyBorder="1" applyAlignment="1">
      <alignment horizontal="center" vertical="top" wrapText="1"/>
    </xf>
    <xf numFmtId="167" fontId="11" fillId="0" borderId="5" xfId="178" applyNumberFormat="1" applyBorder="1" applyAlignment="1">
      <alignment horizontal="center" vertical="top" wrapText="1"/>
    </xf>
    <xf numFmtId="9" fontId="11" fillId="0" borderId="5" xfId="178" applyNumberFormat="1" applyBorder="1" applyAlignment="1">
      <alignment horizontal="center" vertical="top" wrapText="1"/>
    </xf>
    <xf numFmtId="3" fontId="11" fillId="0" borderId="3" xfId="178" applyNumberFormat="1" applyBorder="1" applyAlignment="1">
      <alignment horizontal="center" vertical="top"/>
    </xf>
    <xf numFmtId="2" fontId="27" fillId="0" borderId="3" xfId="178" quotePrefix="1" applyNumberFormat="1" applyFont="1" applyBorder="1" applyAlignment="1">
      <alignment horizontal="center" vertical="top" wrapText="1"/>
    </xf>
    <xf numFmtId="3" fontId="11" fillId="0" borderId="3" xfId="178" applyNumberFormat="1" applyBorder="1" applyAlignment="1">
      <alignment horizontal="center" vertical="top" wrapText="1"/>
    </xf>
    <xf numFmtId="9" fontId="11" fillId="0" borderId="3" xfId="178" quotePrefix="1" applyNumberFormat="1" applyBorder="1" applyAlignment="1">
      <alignment horizontal="center" vertical="top" wrapText="1"/>
    </xf>
    <xf numFmtId="0" fontId="11" fillId="0" borderId="0" xfId="178" applyAlignment="1">
      <alignment horizontal="center" vertical="top"/>
    </xf>
    <xf numFmtId="168" fontId="11" fillId="0" borderId="3" xfId="178" applyNumberFormat="1" applyBorder="1" applyAlignment="1">
      <alignment horizontal="center" vertical="top" wrapText="1"/>
    </xf>
    <xf numFmtId="167" fontId="11" fillId="0" borderId="3" xfId="178" applyNumberFormat="1" applyBorder="1" applyAlignment="1">
      <alignment horizontal="center" vertical="top" wrapText="1"/>
    </xf>
    <xf numFmtId="9" fontId="11" fillId="0" borderId="3" xfId="178" applyNumberFormat="1" applyBorder="1" applyAlignment="1">
      <alignment horizontal="center" vertical="top" wrapText="1"/>
    </xf>
    <xf numFmtId="2" fontId="11" fillId="0" borderId="3" xfId="178" applyNumberFormat="1" applyBorder="1" applyAlignment="1">
      <alignment horizontal="center" vertical="top" wrapText="1"/>
    </xf>
    <xf numFmtId="167" fontId="0" fillId="0" borderId="0" xfId="0" applyNumberFormat="1" applyFont="1" applyFill="1" applyBorder="1"/>
    <xf numFmtId="167" fontId="0" fillId="0" borderId="10" xfId="0" applyNumberFormat="1" applyFont="1" applyFill="1" applyBorder="1"/>
    <xf numFmtId="0" fontId="68" fillId="0" borderId="0" xfId="0" applyFont="1" applyFill="1" applyBorder="1" applyAlignment="1">
      <alignment horizontal="right" vertical="center" wrapText="1"/>
    </xf>
    <xf numFmtId="0" fontId="41" fillId="0" borderId="0" xfId="0" applyFont="1" applyFill="1"/>
    <xf numFmtId="0" fontId="43" fillId="0" borderId="0" xfId="0" applyFont="1" applyFill="1" applyAlignment="1">
      <alignment horizontal="left" vertical="top" wrapText="1"/>
    </xf>
    <xf numFmtId="0" fontId="43" fillId="0" borderId="0" xfId="0" applyFont="1" applyFill="1"/>
    <xf numFmtId="0" fontId="44" fillId="0" borderId="0" xfId="184" applyFont="1" applyFill="1" applyAlignment="1">
      <alignment horizontal="left" vertical="top"/>
    </xf>
    <xf numFmtId="0" fontId="64" fillId="0" borderId="0" xfId="0" applyFont="1" applyFill="1" applyAlignment="1">
      <alignment horizontal="left" vertical="top"/>
    </xf>
    <xf numFmtId="0" fontId="43" fillId="0" borderId="0" xfId="0" applyFont="1" applyFill="1" applyAlignment="1">
      <alignment horizontal="left" vertical="top"/>
    </xf>
    <xf numFmtId="0" fontId="44" fillId="0" borderId="0" xfId="184" applyFont="1" applyFill="1" applyAlignment="1">
      <alignment horizontal="left" vertical="top" wrapText="1"/>
    </xf>
    <xf numFmtId="0" fontId="44" fillId="0" borderId="0" xfId="184" applyFont="1" applyFill="1"/>
    <xf numFmtId="0" fontId="45" fillId="0" borderId="0" xfId="0" applyFont="1" applyFill="1" applyAlignment="1">
      <alignment vertical="center"/>
    </xf>
    <xf numFmtId="0" fontId="43" fillId="0" borderId="0" xfId="0" applyFont="1" applyFill="1" applyAlignment="1">
      <alignment vertical="top"/>
    </xf>
    <xf numFmtId="0" fontId="47" fillId="0" borderId="0" xfId="0" applyFont="1" applyFill="1" applyAlignment="1">
      <alignment vertical="top"/>
    </xf>
    <xf numFmtId="0" fontId="43" fillId="0" borderId="0" xfId="0" applyFont="1" applyFill="1" applyAlignment="1">
      <alignment wrapText="1"/>
    </xf>
    <xf numFmtId="0" fontId="43" fillId="0" borderId="0" xfId="0" applyFont="1" applyFill="1" applyAlignment="1">
      <alignment vertical="top" wrapText="1"/>
    </xf>
    <xf numFmtId="0" fontId="45" fillId="0" borderId="0" xfId="0" applyFont="1" applyFill="1"/>
    <xf numFmtId="0" fontId="65" fillId="0" borderId="0" xfId="0" applyFont="1" applyFill="1" applyAlignment="1">
      <alignment vertical="top" wrapText="1"/>
    </xf>
    <xf numFmtId="0" fontId="43" fillId="0" borderId="0" xfId="0" applyFont="1" applyFill="1" applyAlignment="1">
      <alignment vertical="center" wrapText="1"/>
    </xf>
    <xf numFmtId="0" fontId="43" fillId="0" borderId="0" xfId="0" applyFont="1" applyFill="1" applyAlignment="1">
      <alignment horizontal="left" vertical="center"/>
    </xf>
    <xf numFmtId="0" fontId="43" fillId="0" borderId="0" xfId="0" applyFont="1" applyFill="1" applyAlignment="1">
      <alignment horizontal="left" vertical="top" wrapText="1"/>
    </xf>
    <xf numFmtId="0" fontId="43" fillId="0" borderId="0" xfId="0" applyFont="1" applyFill="1" applyAlignment="1">
      <alignment horizontal="left" wrapText="1"/>
    </xf>
    <xf numFmtId="0" fontId="66" fillId="0" borderId="1" xfId="0" applyFont="1" applyBorder="1" applyAlignment="1">
      <alignment horizontal="center" wrapText="1"/>
    </xf>
    <xf numFmtId="0" fontId="67" fillId="0" borderId="0" xfId="0" applyFont="1" applyFill="1" applyAlignment="1">
      <alignment vertical="top"/>
    </xf>
    <xf numFmtId="0" fontId="71" fillId="0" borderId="9" xfId="0" applyFont="1" applyFill="1" applyBorder="1" applyAlignment="1">
      <alignment horizontal="center" vertical="center" wrapText="1"/>
    </xf>
    <xf numFmtId="0" fontId="67" fillId="0" borderId="0" xfId="0" applyFont="1" applyFill="1" applyAlignment="1">
      <alignment horizontal="left" vertical="top"/>
    </xf>
    <xf numFmtId="0" fontId="43" fillId="0" borderId="0" xfId="0" applyFont="1" applyFill="1" applyAlignment="1">
      <alignment horizontal="left"/>
    </xf>
    <xf numFmtId="0" fontId="66" fillId="0" borderId="0" xfId="0" applyFont="1" applyFill="1" applyBorder="1" applyAlignment="1">
      <alignment horizontal="center" vertical="center" wrapText="1"/>
    </xf>
    <xf numFmtId="0" fontId="38" fillId="0" borderId="0" xfId="0" applyFont="1" applyAlignment="1">
      <alignment wrapText="1"/>
    </xf>
    <xf numFmtId="0" fontId="38" fillId="0" borderId="0" xfId="0" applyFont="1"/>
    <xf numFmtId="0" fontId="66" fillId="0" borderId="0" xfId="0" applyFont="1" applyAlignment="1">
      <alignment wrapText="1"/>
    </xf>
    <xf numFmtId="0" fontId="66" fillId="0" borderId="0" xfId="0" applyFont="1" applyFill="1" applyAlignment="1">
      <alignment vertical="center"/>
    </xf>
    <xf numFmtId="3" fontId="66" fillId="0" borderId="0" xfId="0" applyNumberFormat="1" applyFont="1" applyFill="1" applyBorder="1" applyAlignment="1">
      <alignment wrapText="1"/>
    </xf>
    <xf numFmtId="0" fontId="66" fillId="0" borderId="0" xfId="0" applyFont="1" applyFill="1" applyBorder="1" applyAlignment="1">
      <alignment horizontal="center" wrapText="1"/>
    </xf>
    <xf numFmtId="0" fontId="38" fillId="0" borderId="0" xfId="0" applyFont="1" applyBorder="1" applyAlignment="1">
      <alignment wrapText="1"/>
    </xf>
    <xf numFmtId="0" fontId="75" fillId="0" borderId="0" xfId="0" applyFont="1"/>
    <xf numFmtId="0" fontId="38" fillId="0" borderId="0" xfId="178" applyFont="1"/>
    <xf numFmtId="0" fontId="76" fillId="0" borderId="0" xfId="178" applyFont="1"/>
    <xf numFmtId="0" fontId="66" fillId="0" borderId="0" xfId="178" applyFont="1"/>
    <xf numFmtId="0" fontId="43" fillId="0" borderId="0" xfId="0" applyFont="1" applyFill="1" applyAlignment="1">
      <alignment horizontal="left" vertical="top" wrapText="1"/>
    </xf>
    <xf numFmtId="0" fontId="5" fillId="0" borderId="0" xfId="178" applyFont="1" applyBorder="1" applyAlignment="1"/>
    <xf numFmtId="2" fontId="0" fillId="0" borderId="0" xfId="0" applyNumberFormat="1" applyAlignment="1">
      <alignment horizontal="right"/>
    </xf>
    <xf numFmtId="0" fontId="4" fillId="0" borderId="0" xfId="178" applyFont="1" applyAlignment="1">
      <alignment horizontal="left"/>
    </xf>
    <xf numFmtId="0" fontId="50" fillId="0" borderId="0" xfId="0" applyFont="1" applyAlignment="1">
      <alignment horizontal="left"/>
    </xf>
    <xf numFmtId="0" fontId="13" fillId="0" borderId="0" xfId="178" applyFont="1" applyFill="1" applyBorder="1" applyAlignment="1">
      <alignment vertical="center"/>
    </xf>
    <xf numFmtId="0" fontId="4" fillId="0" borderId="0" xfId="178" applyFont="1"/>
    <xf numFmtId="3" fontId="0" fillId="0" borderId="2" xfId="0" applyNumberFormat="1" applyFont="1" applyFill="1" applyBorder="1"/>
    <xf numFmtId="9" fontId="12" fillId="0" borderId="10" xfId="1" applyFont="1" applyFill="1" applyBorder="1" applyAlignment="1">
      <alignment horizontal="center"/>
    </xf>
    <xf numFmtId="3" fontId="62" fillId="5" borderId="0" xfId="0" applyNumberFormat="1" applyFont="1" applyFill="1" applyBorder="1" applyAlignment="1" applyProtection="1">
      <alignment horizontal="right" indent="1"/>
      <protection locked="0"/>
    </xf>
    <xf numFmtId="3" fontId="61" fillId="2" borderId="0" xfId="0" applyNumberFormat="1" applyFont="1" applyFill="1" applyBorder="1" applyAlignment="1" applyProtection="1">
      <alignment horizontal="right" indent="1"/>
      <protection locked="0"/>
    </xf>
    <xf numFmtId="3" fontId="62" fillId="5" borderId="10" xfId="0" applyNumberFormat="1" applyFont="1" applyFill="1" applyBorder="1" applyAlignment="1" applyProtection="1">
      <alignment horizontal="right" indent="1"/>
      <protection locked="0"/>
    </xf>
    <xf numFmtId="0" fontId="0" fillId="5" borderId="10" xfId="0" applyFill="1" applyBorder="1" applyProtection="1">
      <protection locked="0"/>
    </xf>
    <xf numFmtId="3" fontId="0" fillId="5" borderId="10" xfId="0" applyNumberFormat="1" applyFill="1" applyBorder="1" applyAlignment="1" applyProtection="1">
      <alignment horizontal="right" indent="1"/>
      <protection locked="0"/>
    </xf>
    <xf numFmtId="3" fontId="0" fillId="0" borderId="10" xfId="0" applyNumberFormat="1" applyFill="1" applyBorder="1"/>
    <xf numFmtId="2" fontId="0" fillId="0" borderId="10" xfId="0" applyNumberFormat="1" applyFill="1" applyBorder="1"/>
    <xf numFmtId="9" fontId="0" fillId="0" borderId="10" xfId="0" applyNumberFormat="1" applyFill="1" applyBorder="1"/>
    <xf numFmtId="167" fontId="0" fillId="0" borderId="10" xfId="1" applyNumberFormat="1" applyFont="1" applyFill="1" applyBorder="1"/>
    <xf numFmtId="168" fontId="0" fillId="0" borderId="10" xfId="0" applyNumberFormat="1" applyFill="1" applyBorder="1"/>
    <xf numFmtId="166" fontId="0" fillId="6" borderId="10" xfId="0" applyNumberFormat="1" applyFill="1" applyBorder="1"/>
    <xf numFmtId="4" fontId="0" fillId="0" borderId="10" xfId="0" applyNumberFormat="1" applyFill="1" applyBorder="1" applyAlignment="1">
      <alignment horizontal="center"/>
    </xf>
    <xf numFmtId="175" fontId="13" fillId="3" borderId="0" xfId="1" applyNumberFormat="1" applyFont="1" applyFill="1" applyBorder="1" applyAlignment="1">
      <alignment horizontal="center"/>
    </xf>
    <xf numFmtId="9" fontId="13" fillId="3" borderId="0" xfId="1" applyNumberFormat="1" applyFont="1" applyFill="1" applyBorder="1"/>
    <xf numFmtId="168" fontId="13" fillId="10" borderId="0" xfId="1" applyNumberFormat="1" applyFont="1" applyFill="1" applyBorder="1" applyAlignment="1">
      <alignment horizontal="center"/>
    </xf>
    <xf numFmtId="175" fontId="0" fillId="6" borderId="10" xfId="0" applyNumberFormat="1" applyFill="1" applyBorder="1"/>
    <xf numFmtId="0" fontId="0" fillId="0" borderId="10" xfId="0" applyBorder="1"/>
    <xf numFmtId="9" fontId="0" fillId="6" borderId="10" xfId="1" applyNumberFormat="1" applyFont="1" applyFill="1" applyBorder="1"/>
    <xf numFmtId="168" fontId="0" fillId="9" borderId="10" xfId="0" applyNumberFormat="1" applyFill="1" applyBorder="1"/>
    <xf numFmtId="165" fontId="13" fillId="3" borderId="0" xfId="1" applyNumberFormat="1" applyFont="1" applyFill="1" applyBorder="1" applyAlignment="1" applyProtection="1">
      <alignment horizontal="center"/>
    </xf>
    <xf numFmtId="175" fontId="13" fillId="3" borderId="0" xfId="1" applyNumberFormat="1" applyFont="1" applyFill="1" applyBorder="1" applyAlignment="1" applyProtection="1">
      <alignment horizontal="center"/>
    </xf>
    <xf numFmtId="9" fontId="13" fillId="3" borderId="0" xfId="1" applyNumberFormat="1" applyFont="1" applyFill="1" applyBorder="1" applyProtection="1"/>
    <xf numFmtId="168" fontId="13" fillId="10" borderId="0" xfId="1" applyNumberFormat="1" applyFont="1" applyFill="1" applyBorder="1" applyAlignment="1" applyProtection="1">
      <alignment horizontal="center"/>
    </xf>
    <xf numFmtId="0" fontId="0" fillId="5" borderId="10" xfId="0" applyFill="1" applyBorder="1" applyProtection="1"/>
    <xf numFmtId="3" fontId="0" fillId="5" borderId="10" xfId="0" applyNumberFormat="1" applyFill="1" applyBorder="1" applyAlignment="1" applyProtection="1">
      <alignment horizontal="right" indent="1"/>
    </xf>
    <xf numFmtId="3" fontId="0" fillId="0" borderId="10" xfId="0" applyNumberFormat="1" applyFill="1" applyBorder="1" applyProtection="1"/>
    <xf numFmtId="2" fontId="0" fillId="0" borderId="10" xfId="0" applyNumberFormat="1" applyFill="1" applyBorder="1" applyProtection="1"/>
    <xf numFmtId="9" fontId="0" fillId="0" borderId="10" xfId="0" applyNumberFormat="1" applyFill="1" applyBorder="1" applyProtection="1"/>
    <xf numFmtId="167" fontId="0" fillId="0" borderId="10" xfId="1" applyNumberFormat="1" applyFont="1" applyFill="1" applyBorder="1" applyProtection="1"/>
    <xf numFmtId="168" fontId="0" fillId="0" borderId="10" xfId="0" applyNumberFormat="1" applyFill="1" applyBorder="1" applyProtection="1"/>
    <xf numFmtId="3" fontId="0" fillId="6" borderId="10" xfId="0" applyNumberFormat="1" applyFill="1" applyBorder="1" applyProtection="1"/>
    <xf numFmtId="3" fontId="0" fillId="6" borderId="10" xfId="0" quotePrefix="1" applyNumberFormat="1" applyFill="1" applyBorder="1" applyProtection="1"/>
    <xf numFmtId="166" fontId="0" fillId="6" borderId="10" xfId="0" applyNumberFormat="1" applyFill="1" applyBorder="1" applyProtection="1"/>
    <xf numFmtId="165" fontId="0" fillId="6" borderId="10" xfId="0" applyNumberFormat="1" applyFill="1" applyBorder="1" applyProtection="1"/>
    <xf numFmtId="175" fontId="0" fillId="6" borderId="10" xfId="0" applyNumberFormat="1" applyFill="1" applyBorder="1" applyProtection="1"/>
    <xf numFmtId="175" fontId="0" fillId="6" borderId="10" xfId="0" quotePrefix="1" applyNumberFormat="1" applyFill="1" applyBorder="1" applyProtection="1"/>
    <xf numFmtId="4" fontId="0" fillId="0" borderId="10" xfId="0" applyNumberFormat="1" applyFill="1" applyBorder="1" applyAlignment="1" applyProtection="1">
      <alignment horizontal="center"/>
    </xf>
    <xf numFmtId="0" fontId="0" fillId="0" borderId="10" xfId="0" applyBorder="1" applyProtection="1"/>
    <xf numFmtId="9" fontId="0" fillId="6" borderId="10" xfId="1" applyNumberFormat="1" applyFont="1" applyFill="1" applyBorder="1" applyProtection="1"/>
    <xf numFmtId="168" fontId="0" fillId="9" borderId="10" xfId="0" applyNumberFormat="1" applyFill="1" applyBorder="1" applyProtection="1"/>
    <xf numFmtId="3" fontId="0" fillId="2" borderId="0" xfId="0" applyNumberFormat="1" applyFill="1" applyBorder="1" applyAlignment="1" applyProtection="1">
      <alignment horizontal="left" indent="1"/>
      <protection locked="0"/>
    </xf>
    <xf numFmtId="3" fontId="0" fillId="5" borderId="0" xfId="0" applyNumberFormat="1" applyFill="1" applyBorder="1" applyAlignment="1" applyProtection="1">
      <alignment horizontal="left" indent="1"/>
      <protection locked="0"/>
    </xf>
    <xf numFmtId="3" fontId="0" fillId="5" borderId="10" xfId="0" applyNumberFormat="1" applyFill="1" applyBorder="1" applyAlignment="1" applyProtection="1">
      <alignment horizontal="left" indent="1"/>
      <protection locked="0"/>
    </xf>
    <xf numFmtId="0" fontId="0" fillId="0" borderId="0" xfId="0" applyBorder="1" applyAlignment="1">
      <alignment horizontal="left"/>
    </xf>
    <xf numFmtId="0" fontId="4" fillId="0" borderId="0" xfId="178" applyFont="1" applyBorder="1" applyAlignment="1"/>
    <xf numFmtId="4" fontId="0" fillId="0" borderId="0" xfId="0" applyNumberFormat="1" applyFont="1"/>
    <xf numFmtId="0" fontId="3" fillId="0" borderId="0" xfId="178" applyFont="1"/>
    <xf numFmtId="0" fontId="2" fillId="0" borderId="0" xfId="178" applyFont="1"/>
    <xf numFmtId="168" fontId="11" fillId="0" borderId="3" xfId="178" applyNumberFormat="1" applyFill="1" applyBorder="1" applyAlignment="1">
      <alignment horizontal="center" vertical="top" wrapText="1"/>
    </xf>
    <xf numFmtId="168" fontId="4" fillId="0" borderId="0" xfId="178" applyNumberFormat="1" applyFont="1" applyFill="1" applyBorder="1" applyAlignment="1">
      <alignment vertical="top"/>
    </xf>
    <xf numFmtId="168" fontId="11" fillId="0" borderId="0" xfId="178" applyNumberFormat="1" applyFill="1" applyBorder="1" applyAlignment="1">
      <alignment vertical="top" wrapText="1"/>
    </xf>
    <xf numFmtId="167" fontId="11" fillId="0" borderId="0" xfId="178" applyNumberFormat="1" applyFill="1" applyBorder="1" applyAlignment="1">
      <alignment vertical="top" wrapText="1"/>
    </xf>
    <xf numFmtId="9" fontId="11" fillId="0" borderId="0" xfId="178" applyNumberFormat="1" applyFill="1" applyBorder="1" applyAlignment="1">
      <alignment vertical="top" wrapText="1"/>
    </xf>
    <xf numFmtId="0" fontId="11" fillId="0" borderId="0" xfId="178" applyFill="1"/>
    <xf numFmtId="0" fontId="13" fillId="0" borderId="1" xfId="0" applyFont="1" applyFill="1" applyBorder="1" applyAlignment="1">
      <alignment horizontal="center" wrapText="1"/>
    </xf>
    <xf numFmtId="0" fontId="2" fillId="0" borderId="0" xfId="178" applyFont="1" applyFill="1"/>
    <xf numFmtId="0" fontId="2" fillId="0" borderId="0" xfId="178" applyFont="1" applyFill="1" applyAlignment="1"/>
    <xf numFmtId="0" fontId="28" fillId="0" borderId="0" xfId="181" applyFill="1"/>
    <xf numFmtId="0" fontId="26" fillId="0" borderId="5" xfId="178" applyFont="1" applyFill="1" applyBorder="1" applyAlignment="1">
      <alignment horizontal="center" wrapText="1"/>
    </xf>
    <xf numFmtId="0" fontId="4" fillId="0" borderId="0" xfId="178" applyFont="1" applyFill="1"/>
    <xf numFmtId="2" fontId="0" fillId="0" borderId="0" xfId="0" applyNumberFormat="1" applyFill="1" applyAlignment="1">
      <alignment horizontal="right"/>
    </xf>
    <xf numFmtId="0" fontId="38" fillId="0" borderId="0" xfId="0" applyFont="1" applyFill="1" applyAlignment="1">
      <alignment horizontal="left"/>
    </xf>
    <xf numFmtId="0" fontId="38" fillId="0" borderId="0" xfId="178" applyFont="1" applyFill="1"/>
    <xf numFmtId="0" fontId="78" fillId="0" borderId="0" xfId="178" applyFont="1" applyFill="1" applyAlignment="1"/>
    <xf numFmtId="0" fontId="26" fillId="0" borderId="0" xfId="178" applyFont="1" applyFill="1" applyAlignment="1"/>
    <xf numFmtId="0" fontId="4" fillId="0" borderId="0" xfId="178" applyFont="1" applyFill="1" applyAlignment="1">
      <alignment horizontal="right"/>
    </xf>
    <xf numFmtId="0" fontId="7" fillId="0" borderId="0" xfId="178" applyFont="1" applyFill="1" applyAlignment="1">
      <alignment horizontal="right"/>
    </xf>
    <xf numFmtId="0" fontId="5" fillId="0" borderId="0" xfId="178" applyFont="1" applyFill="1" applyAlignment="1">
      <alignment horizontal="right"/>
    </xf>
    <xf numFmtId="2" fontId="11" fillId="0" borderId="0" xfId="178" applyNumberFormat="1" applyFill="1" applyAlignment="1">
      <alignment horizontal="right"/>
    </xf>
    <xf numFmtId="0" fontId="11" fillId="0" borderId="0" xfId="178" applyFill="1" applyAlignment="1">
      <alignment horizontal="right"/>
    </xf>
    <xf numFmtId="0" fontId="4" fillId="0" borderId="0" xfId="178" quotePrefix="1" applyFont="1" applyFill="1"/>
    <xf numFmtId="0" fontId="11" fillId="0" borderId="0" xfId="1" applyNumberFormat="1" applyFont="1" applyFill="1" applyAlignment="1">
      <alignment horizontal="right"/>
    </xf>
    <xf numFmtId="0" fontId="5" fillId="0" borderId="0" xfId="178" applyFont="1" applyFill="1"/>
    <xf numFmtId="0" fontId="12" fillId="0" borderId="0" xfId="178" applyFont="1" applyFill="1"/>
    <xf numFmtId="0" fontId="22" fillId="0" borderId="0" xfId="0" applyFont="1" applyFill="1"/>
    <xf numFmtId="0" fontId="12" fillId="0" borderId="0" xfId="178" applyFont="1" applyFill="1" applyAlignment="1">
      <alignment vertical="top"/>
    </xf>
    <xf numFmtId="0" fontId="38" fillId="0" borderId="0" xfId="178" applyFont="1" applyFill="1" applyAlignment="1"/>
    <xf numFmtId="0" fontId="12" fillId="0" borderId="0" xfId="178" applyFont="1" applyFill="1" applyAlignment="1">
      <alignment vertical="top" wrapText="1"/>
    </xf>
    <xf numFmtId="0" fontId="11" fillId="0" borderId="0" xfId="178" applyFill="1" applyAlignment="1">
      <alignment vertical="top" wrapText="1"/>
    </xf>
    <xf numFmtId="0" fontId="34" fillId="0" borderId="0" xfId="0" applyFont="1" applyFill="1"/>
    <xf numFmtId="0" fontId="57" fillId="0" borderId="0" xfId="0" applyFont="1" applyFill="1"/>
    <xf numFmtId="0" fontId="0" fillId="0" borderId="0" xfId="0" applyFont="1" applyFill="1"/>
    <xf numFmtId="0" fontId="43" fillId="0" borderId="0" xfId="0" applyFont="1" applyFill="1" applyAlignment="1">
      <alignment vertical="center" wrapText="1"/>
    </xf>
    <xf numFmtId="0" fontId="43" fillId="0" borderId="0" xfId="0" applyFont="1" applyFill="1" applyAlignment="1">
      <alignment horizontal="left" vertical="top" wrapText="1"/>
    </xf>
    <xf numFmtId="0" fontId="43" fillId="0" borderId="0" xfId="0" applyFont="1" applyFill="1" applyAlignment="1">
      <alignment wrapText="1"/>
    </xf>
    <xf numFmtId="0" fontId="43" fillId="0" borderId="0" xfId="0" applyFont="1" applyFill="1" applyAlignment="1">
      <alignment vertical="top"/>
    </xf>
    <xf numFmtId="0" fontId="47" fillId="0" borderId="0" xfId="0" applyFont="1" applyFill="1" applyAlignment="1">
      <alignment vertical="top"/>
    </xf>
    <xf numFmtId="0" fontId="67" fillId="0" borderId="0" xfId="0" applyFont="1" applyFill="1" applyAlignment="1">
      <alignment horizontal="left" vertical="top" wrapText="1"/>
    </xf>
    <xf numFmtId="0" fontId="43" fillId="0" borderId="0" xfId="0" applyFont="1" applyFill="1" applyAlignment="1">
      <alignment horizontal="left" vertical="center"/>
    </xf>
    <xf numFmtId="0" fontId="43" fillId="0" borderId="0" xfId="0" applyFont="1" applyFill="1" applyAlignment="1">
      <alignment horizontal="left" wrapText="1"/>
    </xf>
    <xf numFmtId="0" fontId="42" fillId="0" borderId="0" xfId="0" applyFont="1" applyFill="1" applyAlignment="1">
      <alignment horizontal="center" vertical="center" wrapText="1"/>
    </xf>
    <xf numFmtId="0" fontId="58" fillId="0" borderId="0" xfId="181" applyFont="1" applyFill="1" applyAlignment="1">
      <alignment horizontal="left"/>
    </xf>
    <xf numFmtId="0" fontId="70" fillId="0" borderId="2"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13" fillId="0" borderId="0" xfId="0" applyFont="1" applyBorder="1" applyAlignment="1">
      <alignment horizontal="center" vertical="center" wrapText="1"/>
    </xf>
    <xf numFmtId="0" fontId="36" fillId="6" borderId="0" xfId="0" applyFont="1" applyFill="1" applyAlignment="1">
      <alignment horizontal="center" vertical="center"/>
    </xf>
    <xf numFmtId="0" fontId="73" fillId="9" borderId="0" xfId="0" applyFont="1" applyFill="1" applyAlignment="1">
      <alignment horizontal="center" vertical="center"/>
    </xf>
    <xf numFmtId="0" fontId="66" fillId="0" borderId="0" xfId="0" applyFont="1" applyBorder="1" applyAlignment="1">
      <alignment horizontal="center" vertical="center" wrapText="1"/>
    </xf>
    <xf numFmtId="0" fontId="66" fillId="0" borderId="0" xfId="0" applyFont="1" applyAlignment="1">
      <alignment horizontal="center" vertical="center" wrapText="1"/>
    </xf>
    <xf numFmtId="0" fontId="66" fillId="0" borderId="1" xfId="0" applyFont="1" applyBorder="1" applyAlignment="1">
      <alignment horizontal="center" wrapText="1"/>
    </xf>
    <xf numFmtId="0" fontId="13" fillId="0" borderId="1" xfId="0" applyFont="1" applyBorder="1" applyAlignment="1">
      <alignment horizontal="center" wrapText="1"/>
    </xf>
    <xf numFmtId="0" fontId="66" fillId="0" borderId="1" xfId="0" applyFont="1" applyFill="1" applyBorder="1" applyAlignment="1">
      <alignment horizontal="center" wrapText="1"/>
    </xf>
    <xf numFmtId="0" fontId="73" fillId="6" borderId="0" xfId="0" applyFont="1" applyFill="1" applyAlignment="1">
      <alignment horizontal="center" vertical="center"/>
    </xf>
    <xf numFmtId="49" fontId="30" fillId="0" borderId="0" xfId="0" applyNumberFormat="1" applyFont="1" applyFill="1" applyAlignment="1">
      <alignment horizontal="center"/>
    </xf>
    <xf numFmtId="0" fontId="77" fillId="0" borderId="0" xfId="181" applyFont="1" applyFill="1" applyBorder="1" applyAlignment="1">
      <alignment horizontal="center"/>
    </xf>
    <xf numFmtId="49" fontId="30" fillId="0" borderId="13" xfId="182" quotePrefix="1" applyNumberFormat="1" applyFont="1" applyBorder="1" applyAlignment="1">
      <alignment horizontal="center" vertical="center" wrapText="1"/>
    </xf>
    <xf numFmtId="49" fontId="30" fillId="0" borderId="14" xfId="182" quotePrefix="1" applyNumberFormat="1" applyFont="1" applyBorder="1" applyAlignment="1">
      <alignment horizontal="center" vertical="center" wrapText="1"/>
    </xf>
    <xf numFmtId="49" fontId="30" fillId="0" borderId="26" xfId="182" quotePrefix="1" applyNumberFormat="1" applyFont="1" applyBorder="1" applyAlignment="1">
      <alignment horizontal="center" vertical="center" wrapText="1"/>
    </xf>
    <xf numFmtId="49" fontId="30" fillId="0" borderId="15" xfId="182" quotePrefix="1" applyNumberFormat="1" applyFont="1" applyBorder="1" applyAlignment="1">
      <alignment horizontal="center" vertical="center" wrapText="1"/>
    </xf>
    <xf numFmtId="0" fontId="26" fillId="0" borderId="10" xfId="178" applyFont="1" applyFill="1" applyBorder="1" applyAlignment="1">
      <alignment horizontal="center"/>
    </xf>
    <xf numFmtId="0" fontId="43" fillId="8" borderId="0" xfId="0" applyFont="1" applyFill="1" applyAlignment="1">
      <alignment horizontal="left" vertical="top" wrapText="1"/>
    </xf>
    <xf numFmtId="0" fontId="43" fillId="8" borderId="0" xfId="0" applyFont="1" applyFill="1" applyAlignment="1">
      <alignment horizontal="left" wrapText="1"/>
    </xf>
  </cellXfs>
  <cellStyles count="185">
    <cellStyle name="Comma" xfId="180" builtinId="3"/>
    <cellStyle name="Comma 2" xfId="63" xr:uid="{00000000-0005-0000-0000-000001000000}"/>
    <cellStyle name="Comma 2 2" xfId="64" xr:uid="{00000000-0005-0000-0000-000002000000}"/>
    <cellStyle name="Comma 2 2 2" xfId="65" xr:uid="{00000000-0005-0000-0000-000003000000}"/>
    <cellStyle name="Comma 2 3" xfId="66" xr:uid="{00000000-0005-0000-0000-000004000000}"/>
    <cellStyle name="Comma 2 4" xfId="67" xr:uid="{00000000-0005-0000-0000-000005000000}"/>
    <cellStyle name="Comma 3" xfId="68" xr:uid="{00000000-0005-0000-0000-000006000000}"/>
    <cellStyle name="Comma 3 2" xfId="69" xr:uid="{00000000-0005-0000-0000-000007000000}"/>
    <cellStyle name="Comma 3 2 2" xfId="70" xr:uid="{00000000-0005-0000-0000-000008000000}"/>
    <cellStyle name="Comma 3 3" xfId="71" xr:uid="{00000000-0005-0000-0000-000009000000}"/>
    <cellStyle name="Comma 4" xfId="72" xr:uid="{00000000-0005-0000-0000-00000A000000}"/>
    <cellStyle name="Comma 4 2" xfId="73" xr:uid="{00000000-0005-0000-0000-00000B000000}"/>
    <cellStyle name="Comma 5" xfId="74" xr:uid="{00000000-0005-0000-0000-00000C000000}"/>
    <cellStyle name="Comma 6" xfId="179" xr:uid="{00000000-0005-0000-0000-00000D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81" builtinId="8"/>
    <cellStyle name="Hyperlink 2" xfId="184" xr:uid="{E92980FA-0716-4A6C-9E15-714EAE7DAB3E}"/>
    <cellStyle name="Normal" xfId="0" builtinId="0"/>
    <cellStyle name="Normal 10" xfId="178" xr:uid="{00000000-0005-0000-0000-00009F000000}"/>
    <cellStyle name="Normal 2" xfId="32" xr:uid="{00000000-0005-0000-0000-0000A0000000}"/>
    <cellStyle name="Normal 2 2" xfId="182" xr:uid="{74E393A7-27F6-424F-B04C-3B2BE6FEE8D7}"/>
    <cellStyle name="Normal 3" xfId="75" xr:uid="{00000000-0005-0000-0000-0000A1000000}"/>
    <cellStyle name="Normal 3 2" xfId="76" xr:uid="{00000000-0005-0000-0000-0000A2000000}"/>
    <cellStyle name="Normal 3 2 2" xfId="77" xr:uid="{00000000-0005-0000-0000-0000A3000000}"/>
    <cellStyle name="Normal 4" xfId="78" xr:uid="{00000000-0005-0000-0000-0000A4000000}"/>
    <cellStyle name="Normal 4 2" xfId="79" xr:uid="{00000000-0005-0000-0000-0000A5000000}"/>
    <cellStyle name="Normal 4 2 2" xfId="80" xr:uid="{00000000-0005-0000-0000-0000A6000000}"/>
    <cellStyle name="Normal 4 3" xfId="81" xr:uid="{00000000-0005-0000-0000-0000A7000000}"/>
    <cellStyle name="Normal 4 4" xfId="82" xr:uid="{00000000-0005-0000-0000-0000A8000000}"/>
    <cellStyle name="Normal 5" xfId="83" xr:uid="{00000000-0005-0000-0000-0000A9000000}"/>
    <cellStyle name="Normal 5 2" xfId="84" xr:uid="{00000000-0005-0000-0000-0000AA000000}"/>
    <cellStyle name="Normal 5 2 2" xfId="85" xr:uid="{00000000-0005-0000-0000-0000AB000000}"/>
    <cellStyle name="Normal 5 3" xfId="86" xr:uid="{00000000-0005-0000-0000-0000AC000000}"/>
    <cellStyle name="Normal 6" xfId="87" xr:uid="{00000000-0005-0000-0000-0000AD000000}"/>
    <cellStyle name="Normal 6 2" xfId="88" xr:uid="{00000000-0005-0000-0000-0000AE000000}"/>
    <cellStyle name="Normal 7" xfId="89" xr:uid="{00000000-0005-0000-0000-0000AF000000}"/>
    <cellStyle name="Normal 7 2" xfId="90" xr:uid="{00000000-0005-0000-0000-0000B0000000}"/>
    <cellStyle name="Normal 8" xfId="91" xr:uid="{00000000-0005-0000-0000-0000B1000000}"/>
    <cellStyle name="Normal 8 2" xfId="92" xr:uid="{00000000-0005-0000-0000-0000B2000000}"/>
    <cellStyle name="Normal 9" xfId="93" xr:uid="{00000000-0005-0000-0000-0000B3000000}"/>
    <cellStyle name="Percent" xfId="1" builtinId="5"/>
    <cellStyle name="Percent 2" xfId="183" xr:uid="{12555C0C-8A07-4CE9-81E5-66B48717A08F}"/>
  </cellStyles>
  <dxfs count="13">
    <dxf>
      <font>
        <b val="0"/>
        <i/>
        <strike val="0"/>
        <color theme="0"/>
      </font>
    </dxf>
    <dxf>
      <font>
        <color auto="1"/>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xr9:uid="{00000000-0011-0000-FFFF-FFFF00000000}">
      <tableStyleElement type="wholeTable" dxfId="12"/>
      <tableStyleElement type="headerRow" dxfId="11"/>
    </tableStyle>
  </tableStyles>
  <colors>
    <mruColors>
      <color rgb="FFEEFBFF"/>
      <color rgb="FF000000"/>
      <color rgb="FF808080"/>
      <color rgb="FFE5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eGRID2018 Subregion'!A1"/></Relationships>
</file>

<file path=xl/drawings/_rels/drawing2.xml.rels><?xml version="1.0" encoding="UTF-8" standalone="yes"?>
<Relationships xmlns="http://schemas.openxmlformats.org/package/2006/relationships"><Relationship Id="rId1" Type="http://schemas.openxmlformats.org/officeDocument/2006/relationships/hyperlink" Target="#'eGRID2018 Subregion'!A1"/></Relationships>
</file>

<file path=xl/drawings/_rels/drawing3.xml.rels><?xml version="1.0" encoding="UTF-8" standalone="yes"?>
<Relationships xmlns="http://schemas.openxmlformats.org/package/2006/relationships"><Relationship Id="rId1" Type="http://schemas.openxmlformats.org/officeDocument/2006/relationships/hyperlink" Target="#'eGRID2018 Subregion'!A1"/></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5</xdr:col>
      <xdr:colOff>800100</xdr:colOff>
      <xdr:row>2</xdr:row>
      <xdr:rowOff>485775</xdr:rowOff>
    </xdr:from>
    <xdr:to>
      <xdr:col>5</xdr:col>
      <xdr:colOff>1028700</xdr:colOff>
      <xdr:row>2</xdr:row>
      <xdr:rowOff>714375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44C9ED-D49F-4E6F-AA64-B8BDB6E7F63B}"/>
            </a:ext>
          </a:extLst>
        </xdr:cNvPr>
        <xdr:cNvSpPr/>
      </xdr:nvSpPr>
      <xdr:spPr>
        <a:xfrm>
          <a:off x="5391150" y="98107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2</xdr:row>
      <xdr:rowOff>466725</xdr:rowOff>
    </xdr:from>
    <xdr:to>
      <xdr:col>5</xdr:col>
      <xdr:colOff>1009650</xdr:colOff>
      <xdr:row>2</xdr:row>
      <xdr:rowOff>695325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54F27B9-5EBD-41A0-AC5C-3EAD4EC2A7E7}"/>
            </a:ext>
          </a:extLst>
        </xdr:cNvPr>
        <xdr:cNvSpPr/>
      </xdr:nvSpPr>
      <xdr:spPr>
        <a:xfrm>
          <a:off x="4410075" y="115252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800100</xdr:colOff>
      <xdr:row>2</xdr:row>
      <xdr:rowOff>485775</xdr:rowOff>
    </xdr:from>
    <xdr:to>
      <xdr:col>5</xdr:col>
      <xdr:colOff>1028700</xdr:colOff>
      <xdr:row>2</xdr:row>
      <xdr:rowOff>714375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43BA89-036C-4C96-BCAA-4321B03723EB}"/>
            </a:ext>
          </a:extLst>
        </xdr:cNvPr>
        <xdr:cNvSpPr/>
      </xdr:nvSpPr>
      <xdr:spPr>
        <a:xfrm>
          <a:off x="5391150" y="98107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257175</xdr:colOff>
      <xdr:row>6</xdr:row>
      <xdr:rowOff>200025</xdr:rowOff>
    </xdr:from>
    <xdr:to>
      <xdr:col>19</xdr:col>
      <xdr:colOff>66675</xdr:colOff>
      <xdr:row>33</xdr:row>
      <xdr:rowOff>161228</xdr:rowOff>
    </xdr:to>
    <xdr:pic>
      <xdr:nvPicPr>
        <xdr:cNvPr id="3" name="Picture 2" descr="The map provided shows the eGRID subregions.  To get a tabular listing of the states included in each eGRID subregion visit https://energy/egrid">
          <a:extLst>
            <a:ext uri="{FF2B5EF4-FFF2-40B4-BE49-F238E27FC236}">
              <a16:creationId xmlns:a16="http://schemas.microsoft.com/office/drawing/2014/main" id="{FC58F626-E9F3-4FE9-B30A-509808B07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1428750"/>
          <a:ext cx="7924800" cy="6133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42</xdr:row>
      <xdr:rowOff>190500</xdr:rowOff>
    </xdr:from>
    <xdr:ext cx="11172825" cy="35747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E84DBD-1C6F-499D-AAA4-0AACF4F497B4}"/>
                </a:ext>
              </a:extLst>
            </xdr:cNvPr>
            <xdr:cNvSpPr txBox="1"/>
          </xdr:nvSpPr>
          <xdr:spPr>
            <a:xfrm>
              <a:off x="0" y="6981825"/>
              <a:ext cx="11172825" cy="357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𝑨𝒏𝒏𝒖𝒂𝒍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𝑵𝒖𝒎𝒃𝒆𝒓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𝒉𝒑</m:t>
                    </m:r>
                    <m:r>
                      <a:rPr lang="en-US" sz="12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𝟎</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𝟕𝟒𝟓𝟕</m:t>
                    </m:r>
                    <m:r>
                      <a:rPr lang="en-US" sz="1100" b="1" i="1">
                        <a:solidFill>
                          <a:schemeClr val="tx1"/>
                        </a:solidFill>
                        <a:effectLst/>
                        <a:latin typeface="Cambria Math" panose="02040503050406030204" pitchFamily="18" charset="0"/>
                        <a:ea typeface="+mn-ea"/>
                        <a:cs typeface="+mn-cs"/>
                      </a:rPr>
                      <m:t>𝒌𝑾</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𝒉𝒑</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𝑳𝒐𝒂𝒅</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𝑯𝒐𝒖𝒓𝒔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𝒐𝒇</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𝑶𝒑𝒆𝒓𝒂𝒕𝒊𝒐𝒏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𝒑𝒆𝒓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𝑼𝒏𝒊𝒕</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4FE84DBD-1C6F-499D-AAA4-0AACF4F497B4}"/>
                </a:ext>
              </a:extLst>
            </xdr:cNvPr>
            <xdr:cNvSpPr txBox="1"/>
          </xdr:nvSpPr>
          <xdr:spPr>
            <a:xfrm>
              <a:off x="0" y="6981825"/>
              <a:ext cx="11172825" cy="357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𝑨𝒏𝒏𝒖𝒂𝒍 𝑫𝒊𝒆𝒔𝒆𝒍 𝑻𝑹𝑼 𝒌𝑾𝒉𝒓𝒔 𝑫𝒊𝒔𝒑𝒍𝒂𝒄𝒆𝒅=𝑵𝒖𝒎𝒃𝒆𝒓 𝑻𝑹𝑼𝒔 ×𝒉𝒑 </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𝟎.𝟕𝟒𝟓𝟕𝒌𝑾/𝒉𝒑</a:t>
              </a:r>
              <a:r>
                <a:rPr lang="en-US" sz="1200" b="1" i="0">
                  <a:solidFill>
                    <a:schemeClr val="tx1"/>
                  </a:solidFill>
                  <a:effectLst/>
                  <a:latin typeface="Cambria Math" panose="02040503050406030204" pitchFamily="18" charset="0"/>
                  <a:ea typeface="+mn-ea"/>
                  <a:cs typeface="+mn-cs"/>
                </a:rPr>
                <a:t>×𝑳𝒐𝒂𝒅 𝑭𝒂𝒄𝒕𝒐𝒓 ×𝑯𝒐𝒖𝒓𝒔 𝒐𝒇 𝑶𝒑𝒆𝒓𝒂𝒕𝒊𝒐𝒏 𝑫𝒊𝒔𝒑𝒍𝒂𝒄𝒆𝒅 𝒑𝒆𝒓 𝑼𝒏𝒊𝒕</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133350</xdr:colOff>
      <xdr:row>67</xdr:row>
      <xdr:rowOff>48683</xdr:rowOff>
    </xdr:from>
    <xdr:ext cx="7991475" cy="4959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E773D85-2676-4075-9CBB-E48248BA95AB}"/>
                </a:ext>
              </a:extLst>
            </xdr:cNvPr>
            <xdr:cNvSpPr txBox="1"/>
          </xdr:nvSpPr>
          <xdr:spPr>
            <a:xfrm>
              <a:off x="133350" y="16907933"/>
              <a:ext cx="7991475" cy="495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𝒆𝑻𝑹𝑼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𝒆𝑻𝑹𝑼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𝒌𝑾𝒉𝒓</m:t>
                    </m:r>
                    <m:r>
                      <a:rPr lang="en-US" sz="1200" b="1" i="1">
                        <a:solidFill>
                          <a:schemeClr val="tx1"/>
                        </a:solidFill>
                        <a:effectLst/>
                        <a:latin typeface="Cambria Math" panose="02040503050406030204" pitchFamily="18" charset="0"/>
                        <a:ea typeface="+mn-ea"/>
                        <a:cs typeface="+mn-cs"/>
                      </a:rPr>
                      <m:t>×</m:t>
                    </m:r>
                    <m:d>
                      <m:dPr>
                        <m:ctrlPr>
                          <a:rPr lang="en-US" sz="12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𝑮𝑮𝑳</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𝒆𝑮𝑹𝑰𝑫</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𝒈</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𝒕𝒐</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𝑴𝑻</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𝒇𝒂𝒄𝒕𝒐𝒓</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DE773D85-2676-4075-9CBB-E48248BA95AB}"/>
                </a:ext>
              </a:extLst>
            </xdr:cNvPr>
            <xdr:cNvSpPr txBox="1"/>
          </xdr:nvSpPr>
          <xdr:spPr>
            <a:xfrm>
              <a:off x="133350" y="16907933"/>
              <a:ext cx="7991475" cy="495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𝒆𝑻𝑹𝑼 𝒆𝒎𝒊𝒔𝒔𝒊𝒐𝒏𝒔 (𝑴𝑻)=𝒆𝑻𝑹𝑼 𝒌𝑾𝒉𝒓×(</a:t>
              </a:r>
              <a:r>
                <a:rPr lang="en-US" sz="1100" b="1" i="0">
                  <a:solidFill>
                    <a:schemeClr val="tx1"/>
                  </a:solidFill>
                  <a:effectLst/>
                  <a:latin typeface="Cambria Math" panose="02040503050406030204" pitchFamily="18" charset="0"/>
                  <a:ea typeface="+mn-ea"/>
                  <a:cs typeface="+mn-cs"/>
                </a:rPr>
                <a:t>𝟏+𝑮𝑮𝑳)</a:t>
              </a:r>
              <a:r>
                <a:rPr lang="en-US" sz="1200" b="1" i="0">
                  <a:solidFill>
                    <a:schemeClr val="tx1"/>
                  </a:solidFill>
                  <a:effectLst/>
                  <a:latin typeface="Cambria Math" panose="02040503050406030204" pitchFamily="18" charset="0"/>
                  <a:ea typeface="+mn-ea"/>
                  <a:cs typeface="+mn-cs"/>
                </a:rPr>
                <a:t>×𝒆𝑮𝑹𝑰𝑫 𝑭𝒂𝒄𝒕𝒐𝒓 (𝒈/𝒌𝑾𝒉𝒓)×𝒈 𝒕𝒐 𝑴𝑻 𝒇𝒂𝒄𝒕𝒐𝒓</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38101</xdr:colOff>
      <xdr:row>54</xdr:row>
      <xdr:rowOff>19050</xdr:rowOff>
    </xdr:from>
    <xdr:ext cx="8067674" cy="3714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EED0D1-B5B1-4EDE-AA45-F5031CA97205}"/>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4" name="TextBox 3">
              <a:extLst>
                <a:ext uri="{FF2B5EF4-FFF2-40B4-BE49-F238E27FC236}">
                  <a16:creationId xmlns:a16="http://schemas.microsoft.com/office/drawing/2014/main" id="{06EED0D1-B5B1-4EDE-AA45-F5031CA97205}"/>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𝒆𝒎𝒊𝒔𝒔𝒊𝒐𝒏𝒔 (𝑴𝑻)=𝑬𝒎𝒊𝒔𝒔𝒊𝒐𝒏 𝑭𝒂𝒄𝒕𝒐𝒓 (𝒈/𝒌𝑾𝒉𝒓)×𝒌𝑾𝒉𝒓𝒔 𝑫𝒊𝒔𝒑𝒍𝒂𝒄𝒆𝒅</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38101</xdr:colOff>
      <xdr:row>54</xdr:row>
      <xdr:rowOff>19050</xdr:rowOff>
    </xdr:from>
    <xdr:ext cx="8067674" cy="3714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EF93166-CFA1-4F5A-9F7C-5C205A205A79}"/>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5" name="TextBox 4">
              <a:extLst>
                <a:ext uri="{FF2B5EF4-FFF2-40B4-BE49-F238E27FC236}">
                  <a16:creationId xmlns:a16="http://schemas.microsoft.com/office/drawing/2014/main" id="{AEF93166-CFA1-4F5A-9F7C-5C205A205A79}"/>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𝒆𝒎𝒊𝒔𝒔𝒊𝒐𝒏𝒔 (𝑴𝑻)=𝑬𝒎𝒊𝒔𝒔𝒊𝒐𝒏 𝑭𝒂𝒄𝒕𝒐𝒓 (𝒈/𝒌𝑾𝒉𝒓)×𝒌𝑾𝒉𝒓𝒔 𝑫𝒊𝒔𝒑𝒍𝒂𝒄𝒆𝒅</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180974</xdr:colOff>
      <xdr:row>60</xdr:row>
      <xdr:rowOff>0</xdr:rowOff>
    </xdr:from>
    <xdr:ext cx="8353425" cy="4381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C876F88-6344-43CA-A796-83A783238B42}"/>
                </a:ext>
              </a:extLst>
            </xdr:cNvPr>
            <xdr:cNvSpPr txBox="1"/>
          </xdr:nvSpPr>
          <xdr:spPr>
            <a:xfrm>
              <a:off x="180974" y="15459075"/>
              <a:ext cx="83534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𝑵</m:t>
                    </m:r>
                    <m:r>
                      <a:rPr lang="en-US" sz="1200" b="1" i="1" baseline="-25000">
                        <a:solidFill>
                          <a:schemeClr val="tx1"/>
                        </a:solidFill>
                        <a:effectLst/>
                        <a:latin typeface="Cambria Math" panose="02040503050406030204" pitchFamily="18" charset="0"/>
                        <a:ea typeface="+mn-ea"/>
                        <a:cs typeface="+mn-cs"/>
                      </a:rPr>
                      <m:t>𝟐</m:t>
                    </m:r>
                    <m:r>
                      <a:rPr lang="en-US" sz="1200" b="1" i="1">
                        <a:solidFill>
                          <a:schemeClr val="tx1"/>
                        </a:solidFill>
                        <a:effectLst/>
                        <a:latin typeface="Cambria Math" panose="02040503050406030204" pitchFamily="18" charset="0"/>
                        <a:ea typeface="+mn-ea"/>
                        <a:cs typeface="+mn-cs"/>
                      </a:rPr>
                      <m:t>𝑶</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𝒈𝒂𝒍</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𝒈𝒂𝒍</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𝒌𝑾𝒉𝒓</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6" name="TextBox 5">
              <a:extLst>
                <a:ext uri="{FF2B5EF4-FFF2-40B4-BE49-F238E27FC236}">
                  <a16:creationId xmlns:a16="http://schemas.microsoft.com/office/drawing/2014/main" id="{4C876F88-6344-43CA-A796-83A783238B42}"/>
                </a:ext>
              </a:extLst>
            </xdr:cNvPr>
            <xdr:cNvSpPr txBox="1"/>
          </xdr:nvSpPr>
          <xdr:spPr>
            <a:xfrm>
              <a:off x="180974" y="15459075"/>
              <a:ext cx="83534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𝑵</a:t>
              </a:r>
              <a:r>
                <a:rPr lang="en-US" sz="1200" b="1" i="0" baseline="-25000">
                  <a:solidFill>
                    <a:schemeClr val="tx1"/>
                  </a:solidFill>
                  <a:effectLst/>
                  <a:latin typeface="Cambria Math" panose="02040503050406030204" pitchFamily="18" charset="0"/>
                  <a:ea typeface="+mn-ea"/>
                  <a:cs typeface="+mn-cs"/>
                </a:rPr>
                <a:t>𝟐</a:t>
              </a:r>
              <a:r>
                <a:rPr lang="en-US" sz="1200" b="1" i="0">
                  <a:solidFill>
                    <a:schemeClr val="tx1"/>
                  </a:solidFill>
                  <a:effectLst/>
                  <a:latin typeface="Cambria Math" panose="02040503050406030204" pitchFamily="18" charset="0"/>
                  <a:ea typeface="+mn-ea"/>
                  <a:cs typeface="+mn-cs"/>
                </a:rPr>
                <a:t>𝑶 𝒆𝒎𝒊𝒔𝒔𝒊𝒐𝒏𝒔 (𝑴𝑻)=𝑬𝒎𝒊𝒔𝒔𝒊𝒐𝒏 𝑭𝒂𝒄𝒕𝒐𝒓 (𝒈/𝒈𝒂𝒍)×𝒌𝑾𝒉𝒓𝒔 𝑫𝒊𝒔𝒑𝒍𝒂𝒄𝒆𝒅</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𝒈𝒂𝒍/𝒌𝑾𝒉𝒓</a:t>
              </a:r>
              <a:r>
                <a:rPr lang="en-US" sz="1100" b="1" i="0">
                  <a:solidFill>
                    <a:schemeClr val="tx1"/>
                  </a:solidFill>
                  <a:effectLst/>
                  <a:latin typeface="+mn-lt"/>
                  <a:ea typeface="+mn-ea"/>
                  <a:cs typeface="+mn-cs"/>
                </a:rPr>
                <a:t> 𝒇𝒂𝒄𝒕𝒐𝒓</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xdr:colOff>
      <xdr:row>71</xdr:row>
      <xdr:rowOff>0</xdr:rowOff>
    </xdr:from>
    <xdr:ext cx="5695950" cy="2476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F9C35A0-0D0D-4749-9462-3D3810118626}"/>
                </a:ext>
              </a:extLst>
            </xdr:cNvPr>
            <xdr:cNvSpPr txBox="1"/>
          </xdr:nvSpPr>
          <xdr:spPr>
            <a:xfrm>
              <a:off x="180976" y="18097500"/>
              <a:ext cx="56959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𝑪𝑶</m:t>
                    </m:r>
                    <m:r>
                      <a:rPr lang="en-US" sz="1200" b="1" i="1" baseline="-25000">
                        <a:solidFill>
                          <a:schemeClr val="tx1"/>
                        </a:solidFill>
                        <a:effectLst/>
                        <a:latin typeface="Cambria Math" panose="02040503050406030204" pitchFamily="18" charset="0"/>
                        <a:ea typeface="+mn-ea"/>
                        <a:cs typeface="+mn-cs"/>
                      </a:rPr>
                      <m:t>𝟐</m:t>
                    </m:r>
                    <m:r>
                      <a:rPr lang="en-US" sz="1200" b="1" i="1" baseline="-25000">
                        <a:solidFill>
                          <a:schemeClr val="tx1"/>
                        </a:solidFill>
                        <a:effectLst/>
                        <a:latin typeface="Cambria Math" panose="02040503050406030204" pitchFamily="18" charset="0"/>
                        <a:ea typeface="+mn-ea"/>
                        <a:cs typeface="+mn-cs"/>
                      </a:rPr>
                      <m:t>𝒆</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𝑪𝑶</m:t>
                    </m:r>
                    <m:r>
                      <a:rPr lang="en-US" sz="1200" b="1" i="1" baseline="-25000">
                        <a:solidFill>
                          <a:schemeClr val="tx1"/>
                        </a:solidFill>
                        <a:effectLst/>
                        <a:latin typeface="Cambria Math" panose="02040503050406030204" pitchFamily="18" charset="0"/>
                        <a:ea typeface="+mn-ea"/>
                        <a:cs typeface="+mn-cs"/>
                      </a:rPr>
                      <m:t>𝟐</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𝑴𝑻</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𝑪𝑯</m:t>
                    </m:r>
                    <m:r>
                      <a:rPr lang="en-US" sz="1100" b="1" i="1" baseline="-25000">
                        <a:solidFill>
                          <a:schemeClr val="tx1"/>
                        </a:solidFill>
                        <a:effectLst/>
                        <a:latin typeface="Cambria Math" panose="02040503050406030204" pitchFamily="18" charset="0"/>
                        <a:ea typeface="+mn-ea"/>
                        <a:cs typeface="+mn-cs"/>
                      </a:rPr>
                      <m:t>𝟒</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𝟐𝟓</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𝑵</m:t>
                    </m:r>
                    <m:r>
                      <a:rPr lang="en-US" sz="1100" b="1" i="1" baseline="-25000">
                        <a:solidFill>
                          <a:schemeClr val="tx1"/>
                        </a:solidFill>
                        <a:effectLst/>
                        <a:latin typeface="Cambria Math" panose="02040503050406030204" pitchFamily="18" charset="0"/>
                        <a:ea typeface="+mn-ea"/>
                        <a:cs typeface="+mn-cs"/>
                      </a:rPr>
                      <m:t>𝟐</m:t>
                    </m:r>
                    <m:r>
                      <a:rPr lang="en-US" sz="1100" b="1" i="1">
                        <a:solidFill>
                          <a:schemeClr val="tx1"/>
                        </a:solidFill>
                        <a:effectLst/>
                        <a:latin typeface="Cambria Math" panose="02040503050406030204" pitchFamily="18" charset="0"/>
                        <a:ea typeface="+mn-ea"/>
                        <a:cs typeface="+mn-cs"/>
                      </a:rPr>
                      <m:t>𝑶</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𝟐𝟗𝟖</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7" name="TextBox 6">
              <a:extLst>
                <a:ext uri="{FF2B5EF4-FFF2-40B4-BE49-F238E27FC236}">
                  <a16:creationId xmlns:a16="http://schemas.microsoft.com/office/drawing/2014/main" id="{EF9C35A0-0D0D-4749-9462-3D3810118626}"/>
                </a:ext>
              </a:extLst>
            </xdr:cNvPr>
            <xdr:cNvSpPr txBox="1"/>
          </xdr:nvSpPr>
          <xdr:spPr>
            <a:xfrm>
              <a:off x="180976" y="18097500"/>
              <a:ext cx="56959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𝑪𝑶</a:t>
              </a:r>
              <a:r>
                <a:rPr lang="en-US" sz="1200" b="1" i="0" baseline="-25000">
                  <a:solidFill>
                    <a:schemeClr val="tx1"/>
                  </a:solidFill>
                  <a:effectLst/>
                  <a:latin typeface="Cambria Math" panose="02040503050406030204" pitchFamily="18" charset="0"/>
                  <a:ea typeface="+mn-ea"/>
                  <a:cs typeface="+mn-cs"/>
                </a:rPr>
                <a:t>𝟐𝒆</a:t>
              </a:r>
              <a:r>
                <a:rPr lang="en-US" sz="1200" b="1" i="0">
                  <a:solidFill>
                    <a:schemeClr val="tx1"/>
                  </a:solidFill>
                  <a:effectLst/>
                  <a:latin typeface="Cambria Math" panose="02040503050406030204" pitchFamily="18" charset="0"/>
                  <a:ea typeface="+mn-ea"/>
                  <a:cs typeface="+mn-cs"/>
                </a:rPr>
                <a:t> 𝒆𝒎𝒊𝒔𝒔𝒊𝒐𝒏𝒔 (𝑴𝑻)=𝑪𝑶</a:t>
              </a:r>
              <a:r>
                <a:rPr lang="en-US" sz="1200" b="1" i="0" baseline="-25000">
                  <a:solidFill>
                    <a:schemeClr val="tx1"/>
                  </a:solidFill>
                  <a:effectLst/>
                  <a:latin typeface="Cambria Math" panose="02040503050406030204" pitchFamily="18" charset="0"/>
                  <a:ea typeface="+mn-ea"/>
                  <a:cs typeface="+mn-cs"/>
                </a:rPr>
                <a:t>𝟐</a:t>
              </a:r>
              <a:r>
                <a:rPr lang="en-US" sz="1200" b="1" i="0">
                  <a:solidFill>
                    <a:schemeClr val="tx1"/>
                  </a:solidFill>
                  <a:effectLst/>
                  <a:latin typeface="Cambria Math" panose="02040503050406030204" pitchFamily="18" charset="0"/>
                  <a:ea typeface="+mn-ea"/>
                  <a:cs typeface="+mn-cs"/>
                </a:rPr>
                <a:t> 𝑴𝑻×𝟏</a:t>
              </a:r>
              <a:r>
                <a:rPr lang="en-US" sz="1100" b="1" i="0">
                  <a:solidFill>
                    <a:schemeClr val="tx1"/>
                  </a:solidFill>
                  <a:effectLst/>
                  <a:latin typeface="Cambria Math" panose="02040503050406030204" pitchFamily="18" charset="0"/>
                  <a:ea typeface="+mn-ea"/>
                  <a:cs typeface="+mn-cs"/>
                </a:rPr>
                <a:t>+𝑪𝑯</a:t>
              </a:r>
              <a:r>
                <a:rPr lang="en-US" sz="1100" b="1" i="0" baseline="-25000">
                  <a:solidFill>
                    <a:schemeClr val="tx1"/>
                  </a:solidFill>
                  <a:effectLst/>
                  <a:latin typeface="Cambria Math" panose="02040503050406030204" pitchFamily="18" charset="0"/>
                  <a:ea typeface="+mn-ea"/>
                  <a:cs typeface="+mn-cs"/>
                </a:rPr>
                <a:t>𝟒</a:t>
              </a:r>
              <a:r>
                <a:rPr lang="en-US" sz="1100" b="1" i="0">
                  <a:solidFill>
                    <a:schemeClr val="tx1"/>
                  </a:solidFill>
                  <a:effectLst/>
                  <a:latin typeface="Cambria Math" panose="02040503050406030204" pitchFamily="18" charset="0"/>
                  <a:ea typeface="+mn-ea"/>
                  <a:cs typeface="+mn-cs"/>
                </a:rPr>
                <a:t> 𝑴𝑻×𝟐𝟓+𝑵</a:t>
              </a:r>
              <a:r>
                <a:rPr lang="en-US" sz="1100" b="1" i="0" baseline="-25000">
                  <a:solidFill>
                    <a:schemeClr val="tx1"/>
                  </a:solidFill>
                  <a:effectLst/>
                  <a:latin typeface="Cambria Math" panose="02040503050406030204" pitchFamily="18" charset="0"/>
                  <a:ea typeface="+mn-ea"/>
                  <a:cs typeface="+mn-cs"/>
                </a:rPr>
                <a:t>𝟐</a:t>
              </a:r>
              <a:r>
                <a:rPr lang="en-US" sz="1100" b="1" i="0">
                  <a:solidFill>
                    <a:schemeClr val="tx1"/>
                  </a:solidFill>
                  <a:effectLst/>
                  <a:latin typeface="Cambria Math" panose="02040503050406030204" pitchFamily="18" charset="0"/>
                  <a:ea typeface="+mn-ea"/>
                  <a:cs typeface="+mn-cs"/>
                </a:rPr>
                <a:t>𝑶 𝑴𝑻 </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𝟐𝟗𝟖</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nepis.epa.gov/Exe/ZyPDF.cgi?Dockey=P1013KWQ.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6C340-24F9-4EBB-87FB-E6C8F1112730}">
  <sheetPr codeName="Sheet1">
    <pageSetUpPr fitToPage="1"/>
  </sheetPr>
  <dimension ref="A1:K156"/>
  <sheetViews>
    <sheetView showGridLines="0" zoomScaleNormal="100" workbookViewId="0">
      <pane ySplit="4" topLeftCell="A5" activePane="bottomLeft" state="frozen"/>
      <selection pane="bottomLeft" activeCell="A5" sqref="A5"/>
    </sheetView>
  </sheetViews>
  <sheetFormatPr defaultColWidth="10.8984375" defaultRowHeight="15.6"/>
  <cols>
    <col min="1" max="1" width="2.3984375" customWidth="1"/>
    <col min="4" max="4" width="17.5" customWidth="1"/>
    <col min="5" max="5" width="14.59765625" customWidth="1"/>
    <col min="10" max="10" width="11.09765625" customWidth="1"/>
  </cols>
  <sheetData>
    <row r="1" spans="1:11">
      <c r="A1" s="325" t="s">
        <v>155</v>
      </c>
      <c r="B1" s="460" t="s">
        <v>184</v>
      </c>
      <c r="C1" s="460"/>
      <c r="D1" s="460"/>
      <c r="E1" s="460"/>
      <c r="F1" s="460"/>
      <c r="G1" s="460"/>
      <c r="H1" s="58"/>
      <c r="I1" s="58"/>
      <c r="J1" s="58"/>
      <c r="K1" s="58"/>
    </row>
    <row r="2" spans="1:11" ht="15.75" customHeight="1">
      <c r="A2" s="58"/>
      <c r="B2" s="460"/>
      <c r="C2" s="460"/>
      <c r="D2" s="460"/>
      <c r="E2" s="460"/>
      <c r="F2" s="460"/>
      <c r="G2" s="460"/>
      <c r="H2" s="58"/>
      <c r="I2" s="461" t="s">
        <v>177</v>
      </c>
      <c r="J2" s="461"/>
      <c r="K2" s="461"/>
    </row>
    <row r="3" spans="1:11" ht="15.75" customHeight="1">
      <c r="A3" s="58"/>
      <c r="B3" s="460"/>
      <c r="C3" s="460"/>
      <c r="D3" s="460"/>
      <c r="E3" s="460"/>
      <c r="F3" s="460"/>
      <c r="G3" s="460"/>
      <c r="H3" s="58"/>
      <c r="I3" s="461" t="s">
        <v>296</v>
      </c>
      <c r="J3" s="461"/>
      <c r="K3" s="461"/>
    </row>
    <row r="4" spans="1:11">
      <c r="A4" s="58"/>
      <c r="B4" s="460"/>
      <c r="C4" s="460"/>
      <c r="D4" s="460"/>
      <c r="E4" s="460"/>
      <c r="F4" s="460"/>
      <c r="G4" s="460"/>
      <c r="H4" s="58"/>
      <c r="I4" s="58"/>
      <c r="J4" s="58"/>
      <c r="K4" s="58"/>
    </row>
    <row r="5" spans="1:11">
      <c r="A5" s="58"/>
      <c r="B5" s="58"/>
      <c r="C5" s="58"/>
      <c r="D5" s="58"/>
      <c r="E5" s="58"/>
      <c r="F5" s="58"/>
      <c r="G5" s="58"/>
      <c r="H5" s="58"/>
      <c r="I5" s="58"/>
      <c r="J5" s="58"/>
      <c r="K5" s="58"/>
    </row>
    <row r="6" spans="1:11" ht="15.9" customHeight="1">
      <c r="A6" s="58"/>
      <c r="B6" s="453" t="s">
        <v>329</v>
      </c>
      <c r="C6" s="453"/>
      <c r="D6" s="453"/>
      <c r="E6" s="453"/>
      <c r="F6" s="453"/>
      <c r="G6" s="453"/>
      <c r="H6" s="453"/>
      <c r="I6" s="453"/>
      <c r="J6" s="453"/>
      <c r="K6" s="58"/>
    </row>
    <row r="7" spans="1:11">
      <c r="A7" s="58"/>
      <c r="B7" s="453"/>
      <c r="C7" s="453"/>
      <c r="D7" s="453"/>
      <c r="E7" s="453"/>
      <c r="F7" s="453"/>
      <c r="G7" s="453"/>
      <c r="H7" s="453"/>
      <c r="I7" s="453"/>
      <c r="J7" s="453"/>
      <c r="K7" s="58"/>
    </row>
    <row r="8" spans="1:11">
      <c r="A8" s="58"/>
      <c r="B8" s="453"/>
      <c r="C8" s="453"/>
      <c r="D8" s="453"/>
      <c r="E8" s="453"/>
      <c r="F8" s="453"/>
      <c r="G8" s="453"/>
      <c r="H8" s="453"/>
      <c r="I8" s="453"/>
      <c r="J8" s="453"/>
      <c r="K8" s="58"/>
    </row>
    <row r="9" spans="1:11">
      <c r="A9" s="58"/>
      <c r="B9" s="453"/>
      <c r="C9" s="453"/>
      <c r="D9" s="453"/>
      <c r="E9" s="453"/>
      <c r="F9" s="453"/>
      <c r="G9" s="453"/>
      <c r="H9" s="453"/>
      <c r="I9" s="453"/>
      <c r="J9" s="453"/>
      <c r="K9" s="58"/>
    </row>
    <row r="10" spans="1:11">
      <c r="A10" s="58"/>
      <c r="B10" s="453"/>
      <c r="C10" s="453"/>
      <c r="D10" s="453"/>
      <c r="E10" s="453"/>
      <c r="F10" s="453"/>
      <c r="G10" s="453"/>
      <c r="H10" s="453"/>
      <c r="I10" s="453"/>
      <c r="J10" s="453"/>
      <c r="K10" s="58"/>
    </row>
    <row r="11" spans="1:11">
      <c r="A11" s="58"/>
      <c r="B11" s="326"/>
      <c r="C11" s="326"/>
      <c r="D11" s="326"/>
      <c r="E11" s="326"/>
      <c r="F11" s="326"/>
      <c r="G11" s="326"/>
      <c r="H11" s="326"/>
      <c r="I11" s="326"/>
      <c r="J11" s="326"/>
      <c r="K11" s="58"/>
    </row>
    <row r="12" spans="1:11" ht="15.75" customHeight="1">
      <c r="A12" s="58"/>
      <c r="B12" s="462" t="s">
        <v>326</v>
      </c>
      <c r="C12" s="462"/>
      <c r="D12" s="462"/>
      <c r="E12" s="462"/>
      <c r="F12" s="462"/>
      <c r="G12" s="462"/>
      <c r="H12" s="462"/>
      <c r="I12" s="462"/>
      <c r="J12" s="462"/>
      <c r="K12" s="58"/>
    </row>
    <row r="13" spans="1:11" ht="15.75" customHeight="1">
      <c r="A13" s="58"/>
      <c r="B13" s="463"/>
      <c r="C13" s="463"/>
      <c r="D13" s="463"/>
      <c r="E13" s="463"/>
      <c r="F13" s="463"/>
      <c r="G13" s="463"/>
      <c r="H13" s="463"/>
      <c r="I13" s="463"/>
      <c r="J13" s="463"/>
      <c r="K13" s="58"/>
    </row>
    <row r="14" spans="1:11">
      <c r="A14" s="58"/>
      <c r="B14" s="326"/>
      <c r="C14" s="326"/>
      <c r="D14" s="326"/>
      <c r="E14" s="326"/>
      <c r="F14" s="326"/>
      <c r="G14" s="326"/>
      <c r="H14" s="326"/>
      <c r="I14" s="326"/>
      <c r="J14" s="326"/>
      <c r="K14" s="58"/>
    </row>
    <row r="15" spans="1:11" ht="15.9" customHeight="1">
      <c r="A15" s="327"/>
      <c r="B15" s="327" t="s">
        <v>248</v>
      </c>
      <c r="C15" s="326"/>
      <c r="D15" s="326"/>
      <c r="E15" s="326"/>
      <c r="F15" s="326"/>
      <c r="G15" s="326"/>
      <c r="H15" s="326"/>
      <c r="I15" s="326"/>
      <c r="J15" s="326"/>
      <c r="K15" s="58"/>
    </row>
    <row r="16" spans="1:11">
      <c r="A16" s="327"/>
      <c r="B16" s="328" t="s">
        <v>156</v>
      </c>
      <c r="C16" s="326"/>
      <c r="D16" s="326"/>
      <c r="E16" s="326"/>
      <c r="F16" s="326"/>
      <c r="G16" s="329"/>
      <c r="H16" s="326"/>
      <c r="I16" s="326"/>
      <c r="J16" s="326"/>
      <c r="K16" s="58"/>
    </row>
    <row r="17" spans="1:11">
      <c r="A17" s="327"/>
      <c r="B17" s="328" t="s">
        <v>298</v>
      </c>
      <c r="C17" s="326"/>
      <c r="D17" s="326"/>
      <c r="E17" s="326"/>
      <c r="F17" s="326"/>
      <c r="G17" s="326"/>
      <c r="H17" s="326"/>
      <c r="I17" s="326"/>
      <c r="J17" s="326"/>
      <c r="K17" s="58"/>
    </row>
    <row r="18" spans="1:11">
      <c r="A18" s="327"/>
      <c r="B18" s="326"/>
      <c r="C18" s="326"/>
      <c r="D18" s="326"/>
      <c r="E18" s="326"/>
      <c r="F18" s="326"/>
      <c r="G18" s="326"/>
      <c r="H18" s="326"/>
      <c r="I18" s="326"/>
      <c r="J18" s="326"/>
      <c r="K18" s="58"/>
    </row>
    <row r="19" spans="1:11" ht="15.9" customHeight="1">
      <c r="A19" s="327"/>
      <c r="B19" s="453" t="s">
        <v>299</v>
      </c>
      <c r="C19" s="453"/>
      <c r="D19" s="453"/>
      <c r="E19" s="453"/>
      <c r="F19" s="453"/>
      <c r="G19" s="453"/>
      <c r="H19" s="453"/>
      <c r="I19" s="453"/>
      <c r="J19" s="453"/>
      <c r="K19" s="58"/>
    </row>
    <row r="20" spans="1:11">
      <c r="A20" s="327"/>
      <c r="B20" s="453"/>
      <c r="C20" s="453"/>
      <c r="D20" s="453"/>
      <c r="E20" s="453"/>
      <c r="F20" s="453"/>
      <c r="G20" s="453"/>
      <c r="H20" s="453"/>
      <c r="I20" s="453"/>
      <c r="J20" s="453"/>
      <c r="K20" s="58"/>
    </row>
    <row r="21" spans="1:11">
      <c r="A21" s="327"/>
      <c r="B21" s="453"/>
      <c r="C21" s="453"/>
      <c r="D21" s="453"/>
      <c r="E21" s="453"/>
      <c r="F21" s="453"/>
      <c r="G21" s="453"/>
      <c r="H21" s="453"/>
      <c r="I21" s="453"/>
      <c r="J21" s="453"/>
      <c r="K21" s="58"/>
    </row>
    <row r="22" spans="1:11">
      <c r="A22" s="327"/>
      <c r="B22" s="326"/>
      <c r="C22" s="326"/>
      <c r="D22" s="326"/>
      <c r="E22" s="326"/>
      <c r="F22" s="326"/>
      <c r="G22" s="326"/>
      <c r="H22" s="326"/>
      <c r="I22" s="326"/>
      <c r="J22" s="326"/>
      <c r="K22" s="58"/>
    </row>
    <row r="23" spans="1:11" ht="15.9" customHeight="1">
      <c r="A23" s="327"/>
      <c r="B23" s="453" t="s">
        <v>295</v>
      </c>
      <c r="C23" s="453"/>
      <c r="D23" s="453"/>
      <c r="E23" s="453"/>
      <c r="F23" s="453"/>
      <c r="G23" s="453"/>
      <c r="H23" s="453"/>
      <c r="I23" s="453"/>
      <c r="J23" s="453"/>
      <c r="K23" s="58"/>
    </row>
    <row r="24" spans="1:11">
      <c r="A24" s="327"/>
      <c r="B24" s="453"/>
      <c r="C24" s="453"/>
      <c r="D24" s="453"/>
      <c r="E24" s="453"/>
      <c r="F24" s="453"/>
      <c r="G24" s="453"/>
      <c r="H24" s="453"/>
      <c r="I24" s="453"/>
      <c r="J24" s="453"/>
      <c r="K24" s="58"/>
    </row>
    <row r="25" spans="1:11">
      <c r="A25" s="327"/>
      <c r="B25" s="453"/>
      <c r="C25" s="453"/>
      <c r="D25" s="453"/>
      <c r="E25" s="453"/>
      <c r="F25" s="453"/>
      <c r="G25" s="453"/>
      <c r="H25" s="453"/>
      <c r="I25" s="453"/>
      <c r="J25" s="453"/>
      <c r="K25" s="58"/>
    </row>
    <row r="26" spans="1:11">
      <c r="A26" s="327"/>
      <c r="B26" s="326"/>
      <c r="C26" s="326"/>
      <c r="D26" s="326"/>
      <c r="E26" s="326"/>
      <c r="F26" s="326"/>
      <c r="G26" s="326"/>
      <c r="H26" s="326"/>
      <c r="I26" s="326"/>
      <c r="J26" s="326"/>
      <c r="K26" s="58"/>
    </row>
    <row r="27" spans="1:11" ht="15.75" customHeight="1">
      <c r="A27" s="327"/>
      <c r="B27" s="345" t="s">
        <v>327</v>
      </c>
      <c r="C27" s="339"/>
      <c r="D27" s="339"/>
      <c r="E27" s="339"/>
      <c r="F27" s="339"/>
      <c r="H27" s="302"/>
      <c r="I27" s="302"/>
      <c r="K27" s="58"/>
    </row>
    <row r="28" spans="1:11">
      <c r="A28" s="327"/>
      <c r="B28" s="346" t="s">
        <v>321</v>
      </c>
      <c r="C28" s="339"/>
      <c r="D28" s="339"/>
      <c r="E28" s="339"/>
      <c r="F28" s="339"/>
      <c r="H28" s="302"/>
      <c r="J28" s="324"/>
      <c r="K28" s="58"/>
    </row>
    <row r="29" spans="1:11">
      <c r="A29" s="327"/>
      <c r="B29" s="326"/>
      <c r="C29" s="326"/>
      <c r="D29" s="326"/>
      <c r="E29" s="326"/>
      <c r="F29" s="326"/>
      <c r="G29" s="326"/>
      <c r="H29" s="326"/>
      <c r="I29" s="326"/>
      <c r="J29" s="326"/>
      <c r="K29" s="58"/>
    </row>
    <row r="30" spans="1:11">
      <c r="A30" s="327"/>
      <c r="B30" s="330" t="s">
        <v>289</v>
      </c>
      <c r="C30" s="326"/>
      <c r="D30" s="326"/>
      <c r="E30" s="326"/>
      <c r="F30" s="326"/>
      <c r="G30" s="326"/>
      <c r="H30" s="326"/>
      <c r="I30" s="326"/>
      <c r="J30" s="326"/>
      <c r="K30" s="58"/>
    </row>
    <row r="31" spans="1:11">
      <c r="A31" s="327"/>
      <c r="B31" s="347" t="s">
        <v>328</v>
      </c>
      <c r="C31" s="302"/>
      <c r="D31" s="302"/>
      <c r="E31" s="302"/>
      <c r="F31" s="302"/>
      <c r="G31" s="302"/>
      <c r="H31" s="302"/>
      <c r="I31" s="326"/>
      <c r="J31" s="326"/>
      <c r="K31" s="58"/>
    </row>
    <row r="32" spans="1:11">
      <c r="A32" s="327"/>
      <c r="B32" s="326"/>
      <c r="C32" s="326"/>
      <c r="D32" s="326"/>
      <c r="E32" s="326"/>
      <c r="F32" s="326"/>
      <c r="G32" s="326"/>
      <c r="H32" s="326"/>
      <c r="I32" s="326"/>
      <c r="J32" s="326"/>
      <c r="K32" s="58"/>
    </row>
    <row r="33" spans="1:11" ht="15.9" customHeight="1">
      <c r="A33" s="327"/>
      <c r="B33" s="331" t="s">
        <v>157</v>
      </c>
      <c r="C33" s="453" t="s">
        <v>186</v>
      </c>
      <c r="D33" s="453"/>
      <c r="E33" s="453"/>
      <c r="F33" s="453"/>
      <c r="G33" s="453"/>
      <c r="H33" s="453"/>
      <c r="I33" s="453"/>
      <c r="J33" s="453"/>
      <c r="K33" s="58"/>
    </row>
    <row r="34" spans="1:11">
      <c r="A34" s="327"/>
      <c r="B34" s="326"/>
      <c r="C34" s="326"/>
      <c r="D34" s="326"/>
      <c r="E34" s="326"/>
      <c r="F34" s="326"/>
      <c r="G34" s="326"/>
      <c r="H34" s="326"/>
      <c r="I34" s="326"/>
      <c r="J34" s="326"/>
      <c r="K34" s="58"/>
    </row>
    <row r="35" spans="1:11" ht="15.9" customHeight="1">
      <c r="A35" s="327"/>
      <c r="B35" s="453" t="s">
        <v>187</v>
      </c>
      <c r="C35" s="453"/>
      <c r="D35" s="453"/>
      <c r="E35" s="453"/>
      <c r="F35" s="453"/>
      <c r="G35" s="453"/>
      <c r="H35" s="453"/>
      <c r="I35" s="453"/>
      <c r="J35" s="453"/>
      <c r="K35" s="58"/>
    </row>
    <row r="36" spans="1:11">
      <c r="A36" s="327"/>
      <c r="B36" s="453"/>
      <c r="C36" s="453"/>
      <c r="D36" s="453"/>
      <c r="E36" s="453"/>
      <c r="F36" s="453"/>
      <c r="G36" s="453"/>
      <c r="H36" s="453"/>
      <c r="I36" s="453"/>
      <c r="J36" s="453"/>
      <c r="K36" s="58"/>
    </row>
    <row r="37" spans="1:11">
      <c r="A37" s="58"/>
      <c r="B37" s="332" t="s">
        <v>158</v>
      </c>
      <c r="C37" s="326"/>
      <c r="D37" s="326"/>
      <c r="E37" s="326"/>
      <c r="F37" s="326"/>
      <c r="G37" s="326"/>
      <c r="H37" s="326"/>
      <c r="I37" s="326"/>
      <c r="J37" s="326"/>
      <c r="K37" s="58"/>
    </row>
    <row r="38" spans="1:11">
      <c r="A38" s="58"/>
      <c r="B38" s="58"/>
      <c r="C38" s="58"/>
      <c r="D38" s="58"/>
      <c r="E38" s="58"/>
      <c r="F38" s="58"/>
      <c r="G38" s="58"/>
      <c r="H38" s="58"/>
      <c r="I38" s="58"/>
      <c r="J38" s="58"/>
      <c r="K38" s="58"/>
    </row>
    <row r="39" spans="1:11" ht="21">
      <c r="A39" s="58"/>
      <c r="B39" s="333" t="s">
        <v>156</v>
      </c>
      <c r="C39" s="58"/>
      <c r="D39" s="58"/>
      <c r="E39" s="58"/>
      <c r="F39" s="58"/>
      <c r="G39" s="58"/>
      <c r="H39" s="58"/>
      <c r="I39" s="58"/>
      <c r="J39" s="58"/>
      <c r="K39" s="58"/>
    </row>
    <row r="40" spans="1:11" ht="15.75" customHeight="1">
      <c r="A40" s="58"/>
      <c r="B40" s="454" t="s">
        <v>346</v>
      </c>
      <c r="C40" s="454"/>
      <c r="D40" s="454"/>
      <c r="E40" s="454"/>
      <c r="F40" s="454"/>
      <c r="G40" s="454"/>
      <c r="H40" s="454"/>
      <c r="I40" s="454"/>
      <c r="J40" s="454"/>
      <c r="K40" s="58"/>
    </row>
    <row r="41" spans="1:11">
      <c r="A41" s="58"/>
      <c r="B41" s="454"/>
      <c r="C41" s="454"/>
      <c r="D41" s="454"/>
      <c r="E41" s="454"/>
      <c r="F41" s="454"/>
      <c r="G41" s="454"/>
      <c r="H41" s="454"/>
      <c r="I41" s="454"/>
      <c r="J41" s="454"/>
      <c r="K41" s="58"/>
    </row>
    <row r="42" spans="1:11">
      <c r="A42" s="58"/>
      <c r="B42" s="58"/>
      <c r="C42" s="58"/>
      <c r="D42" s="58"/>
      <c r="E42" s="58"/>
      <c r="F42" s="58"/>
      <c r="G42" s="58"/>
      <c r="H42" s="58"/>
      <c r="I42" s="58"/>
      <c r="J42" s="58"/>
      <c r="K42" s="58"/>
    </row>
    <row r="43" spans="1:11">
      <c r="A43" s="58"/>
      <c r="B43" s="455" t="s">
        <v>219</v>
      </c>
      <c r="C43" s="456"/>
      <c r="D43" s="456"/>
      <c r="E43" s="456"/>
      <c r="F43" s="456"/>
      <c r="G43" s="456"/>
      <c r="H43" s="456"/>
      <c r="I43" s="456"/>
      <c r="J43" s="456"/>
      <c r="K43" s="58"/>
    </row>
    <row r="44" spans="1:11">
      <c r="A44" s="58"/>
      <c r="B44" s="334"/>
      <c r="C44" s="335"/>
      <c r="D44" s="335"/>
      <c r="E44" s="335"/>
      <c r="F44" s="335"/>
      <c r="G44" s="335"/>
      <c r="H44" s="335"/>
      <c r="I44" s="335"/>
      <c r="J44" s="335"/>
      <c r="K44" s="58"/>
    </row>
    <row r="45" spans="1:11" ht="15.75" customHeight="1">
      <c r="A45" s="58"/>
      <c r="B45" s="453" t="s">
        <v>308</v>
      </c>
      <c r="C45" s="453"/>
      <c r="D45" s="453"/>
      <c r="E45" s="453"/>
      <c r="F45" s="453"/>
      <c r="G45" s="453"/>
      <c r="H45" s="453"/>
      <c r="I45" s="453"/>
      <c r="J45" s="453"/>
      <c r="K45" s="58"/>
    </row>
    <row r="46" spans="1:11">
      <c r="A46" s="58"/>
      <c r="B46" s="453"/>
      <c r="C46" s="453"/>
      <c r="D46" s="453"/>
      <c r="E46" s="453"/>
      <c r="F46" s="453"/>
      <c r="G46" s="453"/>
      <c r="H46" s="453"/>
      <c r="I46" s="453"/>
      <c r="J46" s="453"/>
      <c r="K46" s="58"/>
    </row>
    <row r="47" spans="1:11">
      <c r="A47" s="58"/>
      <c r="B47" s="326"/>
      <c r="C47" s="326"/>
      <c r="D47" s="326"/>
      <c r="E47" s="326"/>
      <c r="F47" s="326"/>
      <c r="G47" s="326"/>
      <c r="H47" s="326"/>
      <c r="I47" s="326"/>
      <c r="J47" s="326"/>
      <c r="K47" s="58"/>
    </row>
    <row r="48" spans="1:11">
      <c r="A48" s="58"/>
      <c r="B48" s="453" t="s">
        <v>312</v>
      </c>
      <c r="C48" s="453"/>
      <c r="D48" s="453"/>
      <c r="E48" s="453"/>
      <c r="F48" s="453"/>
      <c r="G48" s="453"/>
      <c r="H48" s="453"/>
      <c r="I48" s="453"/>
      <c r="J48" s="453"/>
      <c r="K48" s="58"/>
    </row>
    <row r="49" spans="1:11">
      <c r="A49" s="58"/>
      <c r="B49" s="326"/>
      <c r="C49" s="326"/>
      <c r="D49" s="326"/>
      <c r="E49" s="326"/>
      <c r="F49" s="326"/>
      <c r="G49" s="326"/>
      <c r="H49" s="326"/>
      <c r="I49" s="326"/>
      <c r="J49" s="326"/>
      <c r="K49" s="58"/>
    </row>
    <row r="50" spans="1:11" ht="17.100000000000001" customHeight="1">
      <c r="A50" s="58"/>
      <c r="B50" s="453" t="s">
        <v>313</v>
      </c>
      <c r="C50" s="453"/>
      <c r="D50" s="453"/>
      <c r="E50" s="453"/>
      <c r="F50" s="453"/>
      <c r="G50" s="453"/>
      <c r="H50" s="453"/>
      <c r="I50" s="453"/>
      <c r="J50" s="453"/>
      <c r="K50" s="58"/>
    </row>
    <row r="51" spans="1:11" ht="17.100000000000001" customHeight="1">
      <c r="A51" s="58"/>
      <c r="B51" s="361"/>
      <c r="C51" s="361"/>
      <c r="D51" s="361"/>
      <c r="E51" s="361"/>
      <c r="F51" s="361"/>
      <c r="G51" s="361"/>
      <c r="H51" s="361"/>
      <c r="I51" s="361"/>
      <c r="J51" s="361"/>
      <c r="K51" s="58"/>
    </row>
    <row r="52" spans="1:11" ht="17.100000000000001" customHeight="1">
      <c r="A52" s="58"/>
      <c r="B52" s="453" t="s">
        <v>370</v>
      </c>
      <c r="C52" s="453"/>
      <c r="D52" s="453"/>
      <c r="E52" s="453"/>
      <c r="F52" s="453"/>
      <c r="G52" s="453"/>
      <c r="H52" s="453"/>
      <c r="I52" s="453"/>
      <c r="J52" s="453"/>
      <c r="K52" s="58"/>
    </row>
    <row r="53" spans="1:11" ht="17.100000000000001" customHeight="1">
      <c r="A53" s="58"/>
      <c r="B53" s="326"/>
      <c r="C53" s="326"/>
      <c r="D53" s="326"/>
      <c r="E53" s="326"/>
      <c r="F53" s="326"/>
      <c r="G53" s="326"/>
      <c r="H53" s="326"/>
      <c r="I53" s="326"/>
      <c r="J53" s="326"/>
      <c r="K53" s="58"/>
    </row>
    <row r="54" spans="1:11" ht="15.9" customHeight="1">
      <c r="A54" s="58"/>
      <c r="B54" s="454" t="s">
        <v>371</v>
      </c>
      <c r="C54" s="454"/>
      <c r="D54" s="454"/>
      <c r="E54" s="454"/>
      <c r="F54" s="454"/>
      <c r="G54" s="454"/>
      <c r="H54" s="454"/>
      <c r="I54" s="454"/>
      <c r="J54" s="454"/>
      <c r="K54" s="58"/>
    </row>
    <row r="55" spans="1:11" ht="15.9" customHeight="1">
      <c r="A55" s="58"/>
      <c r="B55" s="454"/>
      <c r="C55" s="454"/>
      <c r="D55" s="454"/>
      <c r="E55" s="454"/>
      <c r="F55" s="454"/>
      <c r="G55" s="454"/>
      <c r="H55" s="454"/>
      <c r="I55" s="454"/>
      <c r="J55" s="454"/>
      <c r="K55" s="58"/>
    </row>
    <row r="56" spans="1:11" ht="20.100000000000001" customHeight="1">
      <c r="A56" s="58"/>
      <c r="B56" s="454"/>
      <c r="C56" s="454"/>
      <c r="D56" s="454"/>
      <c r="E56" s="454"/>
      <c r="F56" s="454"/>
      <c r="G56" s="454"/>
      <c r="H56" s="454"/>
      <c r="I56" s="454"/>
      <c r="J56" s="454"/>
      <c r="K56" s="58"/>
    </row>
    <row r="57" spans="1:11" ht="20.100000000000001" customHeight="1">
      <c r="A57" s="58"/>
      <c r="B57" s="336"/>
      <c r="C57" s="336"/>
      <c r="D57" s="336"/>
      <c r="E57" s="336"/>
      <c r="F57" s="336"/>
      <c r="G57" s="336"/>
      <c r="H57" s="336"/>
      <c r="I57" s="336"/>
      <c r="J57" s="336"/>
      <c r="K57" s="58"/>
    </row>
    <row r="58" spans="1:11" ht="15.75" customHeight="1">
      <c r="A58" s="58"/>
      <c r="B58" s="453" t="s">
        <v>372</v>
      </c>
      <c r="C58" s="453"/>
      <c r="D58" s="453"/>
      <c r="E58" s="453"/>
      <c r="F58" s="453"/>
      <c r="G58" s="453"/>
      <c r="H58" s="453"/>
      <c r="I58" s="453"/>
      <c r="J58" s="453"/>
      <c r="K58" s="58"/>
    </row>
    <row r="59" spans="1:11">
      <c r="A59" s="58"/>
      <c r="B59" s="453"/>
      <c r="C59" s="453"/>
      <c r="D59" s="453"/>
      <c r="E59" s="453"/>
      <c r="F59" s="453"/>
      <c r="G59" s="453"/>
      <c r="H59" s="453"/>
      <c r="I59" s="453"/>
      <c r="J59" s="453"/>
      <c r="K59" s="58"/>
    </row>
    <row r="60" spans="1:11">
      <c r="A60" s="58"/>
      <c r="B60" s="453"/>
      <c r="C60" s="453"/>
      <c r="D60" s="453"/>
      <c r="E60" s="453"/>
      <c r="F60" s="453"/>
      <c r="G60" s="453"/>
      <c r="H60" s="453"/>
      <c r="I60" s="453"/>
      <c r="J60" s="453"/>
      <c r="K60" s="58"/>
    </row>
    <row r="61" spans="1:11">
      <c r="A61" s="58"/>
      <c r="B61" s="326"/>
      <c r="C61" s="326"/>
      <c r="D61" s="326"/>
      <c r="E61" s="326"/>
      <c r="F61" s="326"/>
      <c r="G61" s="326"/>
      <c r="H61" s="326"/>
      <c r="I61" s="326"/>
      <c r="J61" s="326"/>
      <c r="K61" s="58"/>
    </row>
    <row r="62" spans="1:11" ht="15.9" customHeight="1">
      <c r="A62" s="58"/>
      <c r="B62" s="453" t="s">
        <v>373</v>
      </c>
      <c r="C62" s="453"/>
      <c r="D62" s="453"/>
      <c r="E62" s="453"/>
      <c r="F62" s="453"/>
      <c r="G62" s="453"/>
      <c r="H62" s="453"/>
      <c r="I62" s="453"/>
      <c r="J62" s="453"/>
      <c r="K62" s="58"/>
    </row>
    <row r="63" spans="1:11">
      <c r="A63" s="58"/>
      <c r="B63" s="453"/>
      <c r="C63" s="453"/>
      <c r="D63" s="453"/>
      <c r="E63" s="453"/>
      <c r="F63" s="453"/>
      <c r="G63" s="453"/>
      <c r="H63" s="453"/>
      <c r="I63" s="453"/>
      <c r="J63" s="453"/>
      <c r="K63" s="58"/>
    </row>
    <row r="64" spans="1:11">
      <c r="A64" s="58"/>
      <c r="B64" s="453"/>
      <c r="C64" s="453"/>
      <c r="D64" s="453"/>
      <c r="E64" s="453"/>
      <c r="F64" s="453"/>
      <c r="G64" s="453"/>
      <c r="H64" s="453"/>
      <c r="I64" s="453"/>
      <c r="J64" s="453"/>
      <c r="K64" s="58"/>
    </row>
    <row r="65" spans="1:11">
      <c r="A65" s="58"/>
      <c r="B65" s="453"/>
      <c r="C65" s="453"/>
      <c r="D65" s="453"/>
      <c r="E65" s="453"/>
      <c r="F65" s="453"/>
      <c r="G65" s="453"/>
      <c r="H65" s="453"/>
      <c r="I65" s="453"/>
      <c r="J65" s="453"/>
      <c r="K65" s="58"/>
    </row>
    <row r="66" spans="1:11">
      <c r="A66" s="58"/>
      <c r="B66" s="326"/>
      <c r="C66" s="326"/>
      <c r="D66" s="326"/>
      <c r="E66" s="326"/>
      <c r="F66" s="326"/>
      <c r="G66" s="326"/>
      <c r="H66" s="326"/>
      <c r="I66" s="326"/>
      <c r="J66" s="326"/>
      <c r="K66" s="58"/>
    </row>
    <row r="67" spans="1:11" ht="15.75" customHeight="1">
      <c r="A67" s="58"/>
      <c r="B67" s="453" t="s">
        <v>335</v>
      </c>
      <c r="C67" s="453"/>
      <c r="D67" s="453"/>
      <c r="E67" s="453"/>
      <c r="F67" s="453"/>
      <c r="G67" s="453"/>
      <c r="H67" s="453"/>
      <c r="I67" s="453"/>
      <c r="J67" s="453"/>
      <c r="K67" s="337"/>
    </row>
    <row r="68" spans="1:11">
      <c r="A68" s="58"/>
      <c r="B68" s="453"/>
      <c r="C68" s="453"/>
      <c r="D68" s="453"/>
      <c r="E68" s="453"/>
      <c r="F68" s="453"/>
      <c r="G68" s="453"/>
      <c r="H68" s="453"/>
      <c r="I68" s="453"/>
      <c r="J68" s="453"/>
      <c r="K68" s="337"/>
    </row>
    <row r="69" spans="1:11">
      <c r="A69" s="58"/>
      <c r="B69" s="453"/>
      <c r="C69" s="453"/>
      <c r="D69" s="453"/>
      <c r="E69" s="453"/>
      <c r="F69" s="453"/>
      <c r="G69" s="453"/>
      <c r="H69" s="453"/>
      <c r="I69" s="453"/>
      <c r="J69" s="453"/>
      <c r="K69" s="337"/>
    </row>
    <row r="70" spans="1:11">
      <c r="A70" s="58"/>
      <c r="B70" s="58"/>
      <c r="C70" s="58"/>
      <c r="D70" s="58"/>
      <c r="E70" s="58"/>
      <c r="F70" s="58"/>
      <c r="G70" s="58"/>
      <c r="H70" s="58"/>
      <c r="I70" s="58"/>
      <c r="J70" s="58"/>
      <c r="K70" s="58"/>
    </row>
    <row r="71" spans="1:11" ht="21">
      <c r="A71" s="58"/>
      <c r="B71" s="338" t="s">
        <v>298</v>
      </c>
      <c r="C71" s="58"/>
      <c r="D71" s="58"/>
      <c r="E71" s="58"/>
      <c r="F71" s="58"/>
      <c r="G71" s="58"/>
      <c r="H71" s="58"/>
      <c r="I71" s="58"/>
      <c r="J71" s="58"/>
      <c r="K71" s="58"/>
    </row>
    <row r="72" spans="1:11">
      <c r="A72" s="58"/>
      <c r="B72" s="58"/>
      <c r="C72" s="58"/>
      <c r="D72" s="58"/>
      <c r="E72" s="58"/>
      <c r="F72" s="58"/>
      <c r="G72" s="58"/>
      <c r="H72" s="58"/>
      <c r="I72" s="58"/>
      <c r="J72" s="58"/>
      <c r="K72" s="58"/>
    </row>
    <row r="73" spans="1:11" ht="15.75" customHeight="1">
      <c r="A73" s="58"/>
      <c r="B73" s="454" t="s">
        <v>300</v>
      </c>
      <c r="C73" s="454"/>
      <c r="D73" s="454"/>
      <c r="E73" s="454"/>
      <c r="F73" s="454"/>
      <c r="G73" s="454"/>
      <c r="H73" s="454"/>
      <c r="I73" s="454"/>
      <c r="J73" s="454"/>
      <c r="K73" s="58"/>
    </row>
    <row r="74" spans="1:11">
      <c r="A74" s="58"/>
      <c r="B74" s="454"/>
      <c r="C74" s="454"/>
      <c r="D74" s="454"/>
      <c r="E74" s="454"/>
      <c r="F74" s="454"/>
      <c r="G74" s="454"/>
      <c r="H74" s="454"/>
      <c r="I74" s="454"/>
      <c r="J74" s="454"/>
      <c r="K74" s="58"/>
    </row>
    <row r="75" spans="1:11">
      <c r="A75" s="58"/>
      <c r="B75" s="327"/>
      <c r="C75" s="327"/>
      <c r="D75" s="327"/>
      <c r="E75" s="327"/>
      <c r="F75" s="327"/>
      <c r="G75" s="327"/>
      <c r="H75" s="327"/>
      <c r="I75" s="327"/>
      <c r="J75" s="327"/>
      <c r="K75" s="58"/>
    </row>
    <row r="76" spans="1:11">
      <c r="A76" s="58"/>
      <c r="B76" s="455" t="s">
        <v>301</v>
      </c>
      <c r="C76" s="456"/>
      <c r="D76" s="456"/>
      <c r="E76" s="456"/>
      <c r="F76" s="456"/>
      <c r="G76" s="456"/>
      <c r="H76" s="456"/>
      <c r="I76" s="456"/>
      <c r="J76" s="456"/>
      <c r="K76" s="58"/>
    </row>
    <row r="77" spans="1:11">
      <c r="A77" s="58"/>
      <c r="B77" s="334"/>
      <c r="C77" s="335"/>
      <c r="D77" s="335"/>
      <c r="E77" s="335"/>
      <c r="F77" s="335"/>
      <c r="G77" s="335"/>
      <c r="H77" s="335"/>
      <c r="I77" s="335"/>
      <c r="J77" s="335"/>
      <c r="K77" s="58"/>
    </row>
    <row r="78" spans="1:11" ht="15.75" customHeight="1">
      <c r="A78" s="58"/>
      <c r="B78" s="454" t="s">
        <v>198</v>
      </c>
      <c r="C78" s="454"/>
      <c r="D78" s="454"/>
      <c r="E78" s="454"/>
      <c r="F78" s="454"/>
      <c r="G78" s="454"/>
      <c r="H78" s="454"/>
      <c r="I78" s="454"/>
      <c r="J78" s="454"/>
      <c r="K78" s="58"/>
    </row>
    <row r="79" spans="1:11" ht="15.75" customHeight="1">
      <c r="A79" s="58"/>
      <c r="B79" s="454"/>
      <c r="C79" s="454"/>
      <c r="D79" s="454"/>
      <c r="E79" s="454"/>
      <c r="F79" s="454"/>
      <c r="G79" s="454"/>
      <c r="H79" s="454"/>
      <c r="I79" s="454"/>
      <c r="J79" s="454"/>
      <c r="K79" s="58"/>
    </row>
    <row r="80" spans="1:11" ht="15.75" customHeight="1">
      <c r="A80" s="58"/>
      <c r="B80" s="336"/>
      <c r="C80" s="336"/>
      <c r="D80" s="336"/>
      <c r="E80" s="336"/>
      <c r="F80" s="336"/>
      <c r="G80" s="336"/>
      <c r="H80" s="336"/>
      <c r="I80" s="336"/>
      <c r="J80" s="336"/>
      <c r="K80" s="58"/>
    </row>
    <row r="81" spans="1:11" ht="15.75" customHeight="1">
      <c r="A81" s="58"/>
      <c r="B81" s="453" t="s">
        <v>249</v>
      </c>
      <c r="C81" s="453"/>
      <c r="D81" s="453"/>
      <c r="E81" s="453"/>
      <c r="F81" s="453"/>
      <c r="G81" s="453"/>
      <c r="H81" s="453"/>
      <c r="I81" s="453"/>
      <c r="J81" s="453"/>
      <c r="K81" s="58"/>
    </row>
    <row r="82" spans="1:11">
      <c r="A82" s="58"/>
      <c r="B82" s="453"/>
      <c r="C82" s="453"/>
      <c r="D82" s="453"/>
      <c r="E82" s="453"/>
      <c r="F82" s="453"/>
      <c r="G82" s="453"/>
      <c r="H82" s="453"/>
      <c r="I82" s="453"/>
      <c r="J82" s="453"/>
      <c r="K82" s="58"/>
    </row>
    <row r="83" spans="1:11">
      <c r="A83" s="58"/>
      <c r="B83" s="326"/>
      <c r="C83" s="326"/>
      <c r="D83" s="326"/>
      <c r="E83" s="326"/>
      <c r="F83" s="326"/>
      <c r="G83" s="326"/>
      <c r="H83" s="326"/>
      <c r="I83" s="326"/>
      <c r="J83" s="326"/>
      <c r="K83" s="58"/>
    </row>
    <row r="84" spans="1:11">
      <c r="A84" s="58"/>
      <c r="B84" s="453" t="s">
        <v>314</v>
      </c>
      <c r="C84" s="453"/>
      <c r="D84" s="453"/>
      <c r="E84" s="453"/>
      <c r="F84" s="453"/>
      <c r="G84" s="453"/>
      <c r="H84" s="453"/>
      <c r="I84" s="453"/>
      <c r="J84" s="453"/>
      <c r="K84" s="58"/>
    </row>
    <row r="85" spans="1:11">
      <c r="A85" s="58"/>
      <c r="B85" s="326"/>
      <c r="C85" s="326"/>
      <c r="D85" s="326"/>
      <c r="E85" s="326"/>
      <c r="F85" s="326"/>
      <c r="G85" s="326"/>
      <c r="H85" s="326"/>
      <c r="I85" s="326"/>
      <c r="J85" s="326"/>
      <c r="K85" s="58"/>
    </row>
    <row r="86" spans="1:11">
      <c r="A86" s="58"/>
      <c r="B86" s="453" t="s">
        <v>231</v>
      </c>
      <c r="C86" s="453"/>
      <c r="D86" s="453"/>
      <c r="E86" s="453"/>
      <c r="F86" s="453"/>
      <c r="G86" s="453"/>
      <c r="H86" s="453"/>
      <c r="I86" s="453"/>
      <c r="J86" s="453"/>
      <c r="K86" s="58"/>
    </row>
    <row r="87" spans="1:11">
      <c r="A87" s="58"/>
      <c r="B87" s="361"/>
      <c r="C87" s="361"/>
      <c r="D87" s="361"/>
      <c r="E87" s="361"/>
      <c r="F87" s="361"/>
      <c r="G87" s="361"/>
      <c r="H87" s="361"/>
      <c r="I87" s="361"/>
      <c r="J87" s="361"/>
      <c r="K87" s="58"/>
    </row>
    <row r="88" spans="1:11">
      <c r="A88" s="58"/>
      <c r="B88" s="453" t="s">
        <v>374</v>
      </c>
      <c r="C88" s="453"/>
      <c r="D88" s="453"/>
      <c r="E88" s="453"/>
      <c r="F88" s="453"/>
      <c r="G88" s="453"/>
      <c r="H88" s="453"/>
      <c r="I88" s="453"/>
      <c r="J88" s="453"/>
      <c r="K88" s="58"/>
    </row>
    <row r="89" spans="1:11">
      <c r="A89" s="58"/>
      <c r="B89" s="326"/>
      <c r="C89" s="326"/>
      <c r="D89" s="326"/>
      <c r="E89" s="326"/>
      <c r="F89" s="326"/>
      <c r="G89" s="326"/>
      <c r="H89" s="326"/>
      <c r="I89" s="326"/>
      <c r="J89" s="326"/>
      <c r="K89" s="58"/>
    </row>
    <row r="90" spans="1:11" ht="15.75" customHeight="1">
      <c r="A90" s="58"/>
      <c r="B90" s="454" t="s">
        <v>375</v>
      </c>
      <c r="C90" s="454"/>
      <c r="D90" s="454"/>
      <c r="E90" s="454"/>
      <c r="F90" s="454"/>
      <c r="G90" s="454"/>
      <c r="H90" s="454"/>
      <c r="I90" s="454"/>
      <c r="J90" s="454"/>
      <c r="K90" s="58"/>
    </row>
    <row r="91" spans="1:11" ht="50.25" customHeight="1">
      <c r="A91" s="58"/>
      <c r="B91" s="454"/>
      <c r="C91" s="454"/>
      <c r="D91" s="454"/>
      <c r="E91" s="454"/>
      <c r="F91" s="454"/>
      <c r="G91" s="454"/>
      <c r="H91" s="454"/>
      <c r="I91" s="454"/>
      <c r="J91" s="454"/>
      <c r="K91" s="58"/>
    </row>
    <row r="92" spans="1:11">
      <c r="A92" s="58"/>
      <c r="B92" s="326"/>
      <c r="C92" s="326"/>
      <c r="D92" s="326"/>
      <c r="E92" s="326"/>
      <c r="F92" s="326"/>
      <c r="G92" s="326"/>
      <c r="H92" s="326"/>
      <c r="I92" s="326"/>
      <c r="J92" s="326"/>
      <c r="K92" s="58"/>
    </row>
    <row r="93" spans="1:11" ht="15.9" customHeight="1">
      <c r="A93" s="58"/>
      <c r="B93" s="457" t="s">
        <v>419</v>
      </c>
      <c r="C93" s="457"/>
      <c r="D93" s="457"/>
      <c r="E93" s="457"/>
      <c r="F93" s="457"/>
      <c r="G93" s="457"/>
      <c r="H93" s="457"/>
      <c r="I93" s="457"/>
      <c r="J93" s="457"/>
      <c r="K93" s="58"/>
    </row>
    <row r="94" spans="1:11">
      <c r="A94" s="58"/>
      <c r="B94" s="457"/>
      <c r="C94" s="457"/>
      <c r="D94" s="457"/>
      <c r="E94" s="457"/>
      <c r="F94" s="457"/>
      <c r="G94" s="457"/>
      <c r="H94" s="457"/>
      <c r="I94" s="457"/>
      <c r="J94" s="457"/>
      <c r="K94" s="58"/>
    </row>
    <row r="95" spans="1:11">
      <c r="A95" s="58"/>
      <c r="B95" s="457"/>
      <c r="C95" s="457"/>
      <c r="D95" s="457"/>
      <c r="E95" s="457"/>
      <c r="F95" s="457"/>
      <c r="G95" s="457"/>
      <c r="H95" s="457"/>
      <c r="I95" s="457"/>
      <c r="J95" s="457"/>
      <c r="K95" s="58"/>
    </row>
    <row r="96" spans="1:11">
      <c r="A96" s="58"/>
      <c r="B96" s="457"/>
      <c r="C96" s="457"/>
      <c r="D96" s="457"/>
      <c r="E96" s="457"/>
      <c r="F96" s="457"/>
      <c r="G96" s="457"/>
      <c r="H96" s="457"/>
      <c r="I96" s="457"/>
      <c r="J96" s="457"/>
      <c r="K96" s="58"/>
    </row>
    <row r="97" spans="1:11">
      <c r="A97" s="58"/>
      <c r="B97" s="457"/>
      <c r="C97" s="457"/>
      <c r="D97" s="457"/>
      <c r="E97" s="457"/>
      <c r="F97" s="457"/>
      <c r="G97" s="457"/>
      <c r="H97" s="457"/>
      <c r="I97" s="457"/>
      <c r="J97" s="457"/>
      <c r="K97" s="58"/>
    </row>
    <row r="98" spans="1:11">
      <c r="A98" s="58"/>
      <c r="B98" s="457"/>
      <c r="C98" s="457"/>
      <c r="D98" s="457"/>
      <c r="E98" s="457"/>
      <c r="F98" s="457"/>
      <c r="G98" s="457"/>
      <c r="H98" s="457"/>
      <c r="I98" s="457"/>
      <c r="J98" s="457"/>
      <c r="K98" s="58"/>
    </row>
    <row r="99" spans="1:11">
      <c r="A99" s="58"/>
      <c r="B99" s="457"/>
      <c r="C99" s="457"/>
      <c r="D99" s="457"/>
      <c r="E99" s="457"/>
      <c r="F99" s="457"/>
      <c r="G99" s="457"/>
      <c r="H99" s="457"/>
      <c r="I99" s="457"/>
      <c r="J99" s="457"/>
      <c r="K99" s="58"/>
    </row>
    <row r="100" spans="1:11">
      <c r="A100" s="58"/>
      <c r="B100" s="457"/>
      <c r="C100" s="457"/>
      <c r="D100" s="457"/>
      <c r="E100" s="457"/>
      <c r="F100" s="457"/>
      <c r="G100" s="457"/>
      <c r="H100" s="457"/>
      <c r="I100" s="457"/>
      <c r="J100" s="457"/>
      <c r="K100" s="58"/>
    </row>
    <row r="101" spans="1:11">
      <c r="A101" s="58"/>
      <c r="B101" s="457"/>
      <c r="C101" s="457"/>
      <c r="D101" s="457"/>
      <c r="E101" s="457"/>
      <c r="F101" s="457"/>
      <c r="G101" s="457"/>
      <c r="H101" s="457"/>
      <c r="I101" s="457"/>
      <c r="J101" s="457"/>
      <c r="K101" s="58"/>
    </row>
    <row r="102" spans="1:11">
      <c r="A102" s="58"/>
      <c r="B102" s="457"/>
      <c r="C102" s="457"/>
      <c r="D102" s="457"/>
      <c r="E102" s="457"/>
      <c r="F102" s="457"/>
      <c r="G102" s="457"/>
      <c r="H102" s="457"/>
      <c r="I102" s="457"/>
      <c r="J102" s="457"/>
      <c r="K102" s="58"/>
    </row>
    <row r="103" spans="1:11">
      <c r="A103" s="58"/>
      <c r="B103" s="457"/>
      <c r="C103" s="457"/>
      <c r="D103" s="457"/>
      <c r="E103" s="457"/>
      <c r="F103" s="457"/>
      <c r="G103" s="457"/>
      <c r="H103" s="457"/>
      <c r="I103" s="457"/>
      <c r="J103" s="457"/>
      <c r="K103" s="58"/>
    </row>
    <row r="104" spans="1:11">
      <c r="A104" s="58"/>
      <c r="B104" s="457"/>
      <c r="C104" s="457"/>
      <c r="D104" s="457"/>
      <c r="E104" s="457"/>
      <c r="F104" s="457"/>
      <c r="G104" s="457"/>
      <c r="H104" s="457"/>
      <c r="I104" s="457"/>
      <c r="J104" s="457"/>
      <c r="K104" s="58"/>
    </row>
    <row r="105" spans="1:11" ht="21" customHeight="1">
      <c r="A105" s="58"/>
      <c r="B105" s="457"/>
      <c r="C105" s="457"/>
      <c r="D105" s="457"/>
      <c r="E105" s="457"/>
      <c r="F105" s="457"/>
      <c r="G105" s="457"/>
      <c r="H105" s="457"/>
      <c r="I105" s="457"/>
      <c r="J105" s="457"/>
      <c r="K105" s="58"/>
    </row>
    <row r="106" spans="1:11">
      <c r="A106" s="58"/>
      <c r="B106" s="326"/>
      <c r="C106" s="326"/>
      <c r="D106" s="326"/>
      <c r="E106" s="326"/>
      <c r="F106" s="326"/>
      <c r="G106" s="326"/>
      <c r="H106" s="326"/>
      <c r="I106" s="326"/>
      <c r="J106" s="326"/>
      <c r="K106" s="58"/>
    </row>
    <row r="107" spans="1:11" ht="15.75" customHeight="1">
      <c r="A107" s="58"/>
      <c r="B107" s="453" t="s">
        <v>334</v>
      </c>
      <c r="C107" s="453"/>
      <c r="D107" s="453"/>
      <c r="E107" s="453"/>
      <c r="F107" s="453"/>
      <c r="G107" s="453"/>
      <c r="H107" s="453"/>
      <c r="I107" s="453"/>
      <c r="J107" s="453"/>
      <c r="K107" s="58"/>
    </row>
    <row r="108" spans="1:11">
      <c r="A108" s="58"/>
      <c r="B108" s="453"/>
      <c r="C108" s="453"/>
      <c r="D108" s="453"/>
      <c r="E108" s="453"/>
      <c r="F108" s="453"/>
      <c r="G108" s="453"/>
      <c r="H108" s="453"/>
      <c r="I108" s="453"/>
      <c r="J108" s="453"/>
      <c r="K108" s="58"/>
    </row>
    <row r="109" spans="1:11">
      <c r="A109" s="58"/>
      <c r="B109" s="453"/>
      <c r="C109" s="453"/>
      <c r="D109" s="453"/>
      <c r="E109" s="453"/>
      <c r="F109" s="453"/>
      <c r="G109" s="453"/>
      <c r="H109" s="453"/>
      <c r="I109" s="453"/>
      <c r="J109" s="453"/>
      <c r="K109" s="58"/>
    </row>
    <row r="110" spans="1:11">
      <c r="A110" s="58"/>
      <c r="B110" s="326"/>
      <c r="C110" s="326"/>
      <c r="D110" s="326"/>
      <c r="E110" s="326"/>
      <c r="F110" s="326"/>
      <c r="G110" s="326"/>
      <c r="H110" s="326"/>
      <c r="I110" s="326"/>
      <c r="J110" s="326"/>
      <c r="K110" s="58"/>
    </row>
    <row r="111" spans="1:11" ht="15.75" customHeight="1">
      <c r="A111" s="58"/>
      <c r="B111" s="453" t="s">
        <v>376</v>
      </c>
      <c r="C111" s="453"/>
      <c r="D111" s="453"/>
      <c r="E111" s="453"/>
      <c r="F111" s="453"/>
      <c r="G111" s="453"/>
      <c r="H111" s="453"/>
      <c r="I111" s="453"/>
      <c r="J111" s="453"/>
      <c r="K111" s="58"/>
    </row>
    <row r="112" spans="1:11">
      <c r="A112" s="58"/>
      <c r="B112" s="453"/>
      <c r="C112" s="453"/>
      <c r="D112" s="453"/>
      <c r="E112" s="453"/>
      <c r="F112" s="453"/>
      <c r="G112" s="453"/>
      <c r="H112" s="453"/>
      <c r="I112" s="453"/>
      <c r="J112" s="453"/>
      <c r="K112" s="58"/>
    </row>
    <row r="113" spans="1:11">
      <c r="A113" s="58"/>
      <c r="B113" s="453"/>
      <c r="C113" s="453"/>
      <c r="D113" s="453"/>
      <c r="E113" s="453"/>
      <c r="F113" s="453"/>
      <c r="G113" s="453"/>
      <c r="H113" s="453"/>
      <c r="I113" s="453"/>
      <c r="J113" s="453"/>
      <c r="K113" s="58"/>
    </row>
    <row r="114" spans="1:11">
      <c r="A114" s="58"/>
      <c r="B114" s="453"/>
      <c r="C114" s="453"/>
      <c r="D114" s="453"/>
      <c r="E114" s="453"/>
      <c r="F114" s="453"/>
      <c r="G114" s="453"/>
      <c r="H114" s="453"/>
      <c r="I114" s="453"/>
      <c r="J114" s="453"/>
      <c r="K114" s="58"/>
    </row>
    <row r="115" spans="1:11">
      <c r="A115" s="58"/>
      <c r="B115" s="326"/>
      <c r="C115" s="326"/>
      <c r="D115" s="326"/>
      <c r="E115" s="326"/>
      <c r="F115" s="326"/>
      <c r="G115" s="326"/>
      <c r="H115" s="326"/>
      <c r="I115" s="326"/>
      <c r="J115" s="326"/>
      <c r="K115" s="58"/>
    </row>
    <row r="116" spans="1:11" ht="15.75" customHeight="1">
      <c r="A116" s="58"/>
      <c r="B116" s="457" t="s">
        <v>420</v>
      </c>
      <c r="C116" s="457"/>
      <c r="D116" s="457"/>
      <c r="E116" s="457"/>
      <c r="F116" s="457"/>
      <c r="G116" s="457"/>
      <c r="H116" s="457"/>
      <c r="I116" s="457"/>
      <c r="J116" s="457"/>
      <c r="K116" s="337"/>
    </row>
    <row r="117" spans="1:11" ht="15.75" customHeight="1">
      <c r="A117" s="58"/>
      <c r="B117" s="457"/>
      <c r="C117" s="457"/>
      <c r="D117" s="457"/>
      <c r="E117" s="457"/>
      <c r="F117" s="457"/>
      <c r="G117" s="457"/>
      <c r="H117" s="457"/>
      <c r="I117" s="457"/>
      <c r="J117" s="457"/>
      <c r="K117" s="337"/>
    </row>
    <row r="118" spans="1:11">
      <c r="A118" s="58"/>
      <c r="B118" s="457"/>
      <c r="C118" s="457"/>
      <c r="D118" s="457"/>
      <c r="E118" s="457"/>
      <c r="F118" s="457"/>
      <c r="G118" s="457"/>
      <c r="H118" s="457"/>
      <c r="I118" s="457"/>
      <c r="J118" s="457"/>
      <c r="K118" s="339"/>
    </row>
    <row r="119" spans="1:11">
      <c r="A119" s="58"/>
      <c r="B119" s="457"/>
      <c r="C119" s="457"/>
      <c r="D119" s="457"/>
      <c r="E119" s="457"/>
      <c r="F119" s="457"/>
      <c r="G119" s="457"/>
      <c r="H119" s="457"/>
      <c r="I119" s="457"/>
      <c r="J119" s="457"/>
      <c r="K119" s="58"/>
    </row>
    <row r="120" spans="1:11">
      <c r="A120" s="327"/>
      <c r="B120" s="336"/>
      <c r="C120" s="336"/>
      <c r="D120" s="336"/>
      <c r="E120" s="336"/>
      <c r="F120" s="336"/>
      <c r="G120" s="336"/>
      <c r="H120" s="336"/>
      <c r="I120" s="336"/>
      <c r="J120" s="336"/>
      <c r="K120" s="327"/>
    </row>
    <row r="121" spans="1:11" ht="21">
      <c r="A121" s="58"/>
      <c r="B121" s="333" t="s">
        <v>157</v>
      </c>
      <c r="C121" s="336"/>
      <c r="D121" s="336"/>
      <c r="E121" s="336"/>
      <c r="F121" s="336"/>
      <c r="G121" s="336"/>
      <c r="H121" s="336"/>
      <c r="I121" s="336"/>
      <c r="J121" s="336"/>
      <c r="K121" s="58"/>
    </row>
    <row r="122" spans="1:11" ht="16.5" customHeight="1">
      <c r="A122" s="58"/>
      <c r="B122" s="333"/>
      <c r="C122" s="336"/>
      <c r="D122" s="336"/>
      <c r="E122" s="336"/>
      <c r="F122" s="336"/>
      <c r="G122" s="336"/>
      <c r="H122" s="336"/>
      <c r="I122" s="336"/>
      <c r="J122" s="336"/>
      <c r="K122" s="58"/>
    </row>
    <row r="123" spans="1:11" ht="16.5" customHeight="1">
      <c r="A123" s="58"/>
      <c r="B123" s="459" t="s">
        <v>333</v>
      </c>
      <c r="C123" s="459"/>
      <c r="D123" s="459"/>
      <c r="E123" s="459"/>
      <c r="F123" s="459"/>
      <c r="G123" s="459"/>
      <c r="H123" s="459"/>
      <c r="I123" s="459"/>
      <c r="J123" s="459"/>
      <c r="K123" s="58"/>
    </row>
    <row r="124" spans="1:11" ht="16.5" customHeight="1">
      <c r="A124" s="58"/>
      <c r="B124" s="348" t="s">
        <v>332</v>
      </c>
      <c r="C124" s="343"/>
      <c r="D124" s="343"/>
      <c r="E124" s="343"/>
      <c r="F124" s="343"/>
      <c r="G124" s="343"/>
      <c r="H124" s="343"/>
      <c r="I124" s="343"/>
      <c r="J124" s="343"/>
      <c r="K124" s="58"/>
    </row>
    <row r="125" spans="1:11" ht="16.5" customHeight="1">
      <c r="A125" s="58"/>
      <c r="B125" s="453" t="s">
        <v>247</v>
      </c>
      <c r="C125" s="453"/>
      <c r="D125" s="453"/>
      <c r="E125" s="453"/>
      <c r="F125" s="453"/>
      <c r="G125" s="453"/>
      <c r="H125" s="453"/>
      <c r="I125" s="453"/>
      <c r="J125" s="453"/>
      <c r="K125" s="58"/>
    </row>
    <row r="126" spans="1:11" ht="16.5" customHeight="1">
      <c r="A126" s="58"/>
      <c r="B126" s="330" t="s">
        <v>330</v>
      </c>
      <c r="C126" s="342"/>
      <c r="D126" s="342"/>
      <c r="E126" s="342"/>
      <c r="F126" s="342"/>
      <c r="G126" s="342"/>
      <c r="H126" s="342"/>
      <c r="I126" s="342"/>
      <c r="J126" s="342"/>
      <c r="K126" s="58"/>
    </row>
    <row r="127" spans="1:11" ht="16.5" customHeight="1">
      <c r="A127" s="58"/>
      <c r="B127" s="330" t="s">
        <v>331</v>
      </c>
      <c r="C127" s="342"/>
      <c r="D127" s="342"/>
      <c r="E127" s="342"/>
      <c r="F127" s="342"/>
      <c r="G127" s="342"/>
      <c r="H127" s="342"/>
      <c r="I127" s="342"/>
      <c r="J127" s="342"/>
      <c r="K127" s="58"/>
    </row>
    <row r="128" spans="1:11">
      <c r="A128" s="58"/>
      <c r="B128" s="453" t="s">
        <v>387</v>
      </c>
      <c r="C128" s="453"/>
      <c r="D128" s="453"/>
      <c r="E128" s="453"/>
      <c r="F128" s="453"/>
      <c r="G128" s="453"/>
      <c r="H128" s="453"/>
      <c r="I128" s="453"/>
      <c r="J128" s="453"/>
      <c r="K128" s="58"/>
    </row>
    <row r="129" spans="1:11" ht="16.5" customHeight="1">
      <c r="A129" s="58"/>
      <c r="B129" s="330" t="s">
        <v>386</v>
      </c>
      <c r="C129" s="326"/>
      <c r="D129" s="326"/>
      <c r="E129" s="326"/>
      <c r="F129" s="326"/>
      <c r="G129" s="326"/>
      <c r="H129" s="326"/>
      <c r="I129" s="326"/>
      <c r="J129" s="326"/>
      <c r="K129" s="58"/>
    </row>
    <row r="130" spans="1:11">
      <c r="A130" s="58"/>
      <c r="B130" s="58"/>
      <c r="C130" s="58"/>
      <c r="D130" s="58"/>
      <c r="E130" s="58"/>
      <c r="F130" s="58"/>
      <c r="G130" s="58"/>
      <c r="H130" s="58"/>
      <c r="I130" s="58"/>
      <c r="J130" s="58"/>
      <c r="K130" s="58"/>
    </row>
    <row r="131" spans="1:11" ht="21">
      <c r="A131" s="58"/>
      <c r="B131" s="333" t="s">
        <v>158</v>
      </c>
      <c r="C131" s="58"/>
      <c r="D131" s="58"/>
      <c r="E131" s="58"/>
      <c r="F131" s="58"/>
      <c r="G131" s="58"/>
      <c r="H131" s="58"/>
      <c r="I131" s="58"/>
      <c r="J131" s="58"/>
      <c r="K131" s="58"/>
    </row>
    <row r="132" spans="1:11">
      <c r="A132" s="58"/>
      <c r="B132" s="58"/>
      <c r="C132" s="58"/>
      <c r="D132" s="58"/>
      <c r="E132" s="58"/>
      <c r="F132" s="58"/>
      <c r="G132" s="58"/>
      <c r="H132" s="58"/>
      <c r="I132" s="58"/>
      <c r="J132" s="58"/>
      <c r="K132" s="58"/>
    </row>
    <row r="133" spans="1:11" ht="18.600000000000001">
      <c r="A133" s="58"/>
      <c r="B133" s="340" t="s">
        <v>235</v>
      </c>
      <c r="C133" s="452" t="s">
        <v>236</v>
      </c>
      <c r="D133" s="452"/>
      <c r="E133" s="452"/>
      <c r="F133" s="452"/>
      <c r="G133" s="452"/>
      <c r="H133" s="452"/>
      <c r="I133" s="452"/>
      <c r="J133" s="452"/>
      <c r="K133" s="58"/>
    </row>
    <row r="134" spans="1:11" ht="18" customHeight="1">
      <c r="A134" s="58"/>
      <c r="B134" s="340" t="s">
        <v>159</v>
      </c>
      <c r="C134" s="452" t="s">
        <v>160</v>
      </c>
      <c r="D134" s="452"/>
      <c r="E134" s="452"/>
      <c r="F134" s="452"/>
      <c r="G134" s="452"/>
      <c r="H134" s="452"/>
      <c r="I134" s="452"/>
      <c r="J134" s="452"/>
      <c r="K134" s="58"/>
    </row>
    <row r="135" spans="1:11" ht="18" customHeight="1">
      <c r="A135" s="58"/>
      <c r="B135" s="340" t="s">
        <v>232</v>
      </c>
      <c r="C135" s="452" t="s">
        <v>302</v>
      </c>
      <c r="D135" s="452"/>
      <c r="E135" s="452"/>
      <c r="F135" s="452"/>
      <c r="G135" s="452"/>
      <c r="H135" s="452"/>
      <c r="I135" s="452"/>
      <c r="J135" s="452"/>
      <c r="K135" s="58"/>
    </row>
    <row r="136" spans="1:11" ht="18" customHeight="1">
      <c r="A136" s="58"/>
      <c r="B136" s="340" t="s">
        <v>161</v>
      </c>
      <c r="C136" s="452" t="s">
        <v>162</v>
      </c>
      <c r="D136" s="452"/>
      <c r="E136" s="452"/>
      <c r="F136" s="452"/>
      <c r="G136" s="452"/>
      <c r="H136" s="452"/>
      <c r="I136" s="452"/>
      <c r="J136" s="452"/>
      <c r="K136" s="58"/>
    </row>
    <row r="137" spans="1:11" ht="18" customHeight="1">
      <c r="A137" s="58"/>
      <c r="B137" s="340" t="s">
        <v>163</v>
      </c>
      <c r="C137" s="452" t="s">
        <v>164</v>
      </c>
      <c r="D137" s="452"/>
      <c r="E137" s="452"/>
      <c r="F137" s="452"/>
      <c r="G137" s="452"/>
      <c r="H137" s="452"/>
      <c r="I137" s="452"/>
      <c r="J137" s="452"/>
      <c r="K137" s="58"/>
    </row>
    <row r="138" spans="1:11" ht="18" customHeight="1">
      <c r="A138" s="58"/>
      <c r="B138" s="340" t="s">
        <v>203</v>
      </c>
      <c r="C138" s="452" t="s">
        <v>204</v>
      </c>
      <c r="D138" s="452"/>
      <c r="E138" s="452"/>
      <c r="F138" s="452"/>
      <c r="G138" s="452"/>
      <c r="H138" s="452"/>
      <c r="I138" s="452"/>
      <c r="J138" s="452"/>
      <c r="K138" s="58"/>
    </row>
    <row r="139" spans="1:11" ht="18" customHeight="1">
      <c r="A139" s="58"/>
      <c r="B139" s="340" t="s">
        <v>165</v>
      </c>
      <c r="C139" s="452" t="s">
        <v>166</v>
      </c>
      <c r="D139" s="452"/>
      <c r="E139" s="452"/>
      <c r="F139" s="452"/>
      <c r="G139" s="452"/>
      <c r="H139" s="452"/>
      <c r="I139" s="452"/>
      <c r="J139" s="452"/>
      <c r="K139" s="58"/>
    </row>
    <row r="140" spans="1:11" ht="18" customHeight="1">
      <c r="A140" s="58"/>
      <c r="B140" s="340" t="s">
        <v>209</v>
      </c>
      <c r="C140" s="452" t="s">
        <v>210</v>
      </c>
      <c r="D140" s="452"/>
      <c r="E140" s="452"/>
      <c r="F140" s="452"/>
      <c r="G140" s="452"/>
      <c r="H140" s="452"/>
      <c r="I140" s="452"/>
      <c r="J140" s="452"/>
      <c r="K140" s="58"/>
    </row>
    <row r="141" spans="1:11" ht="18" customHeight="1">
      <c r="A141" s="58"/>
      <c r="B141" s="340" t="s">
        <v>71</v>
      </c>
      <c r="C141" s="452" t="s">
        <v>167</v>
      </c>
      <c r="D141" s="452"/>
      <c r="E141" s="452"/>
      <c r="F141" s="452"/>
      <c r="G141" s="452"/>
      <c r="H141" s="452"/>
      <c r="I141" s="452"/>
      <c r="J141" s="452"/>
      <c r="K141" s="58"/>
    </row>
    <row r="142" spans="1:11" ht="18" customHeight="1">
      <c r="A142" s="58"/>
      <c r="B142" s="340" t="s">
        <v>205</v>
      </c>
      <c r="C142" s="452" t="s">
        <v>206</v>
      </c>
      <c r="D142" s="452"/>
      <c r="E142" s="452"/>
      <c r="F142" s="452"/>
      <c r="G142" s="452"/>
      <c r="H142" s="452"/>
      <c r="I142" s="452"/>
      <c r="J142" s="452"/>
      <c r="K142" s="58"/>
    </row>
    <row r="143" spans="1:11" ht="18" customHeight="1">
      <c r="A143" s="58"/>
      <c r="B143" s="340" t="s">
        <v>207</v>
      </c>
      <c r="C143" s="452" t="s">
        <v>208</v>
      </c>
      <c r="D143" s="452"/>
      <c r="E143" s="452"/>
      <c r="F143" s="452"/>
      <c r="G143" s="452"/>
      <c r="H143" s="452"/>
      <c r="I143" s="452"/>
      <c r="J143" s="452"/>
      <c r="K143" s="58"/>
    </row>
    <row r="144" spans="1:11" ht="18" customHeight="1">
      <c r="A144" s="58"/>
      <c r="B144" s="340" t="s">
        <v>168</v>
      </c>
      <c r="C144" s="452" t="s">
        <v>169</v>
      </c>
      <c r="D144" s="452"/>
      <c r="E144" s="452"/>
      <c r="F144" s="452"/>
      <c r="G144" s="452"/>
      <c r="H144" s="452"/>
      <c r="I144" s="452"/>
      <c r="J144" s="452"/>
      <c r="K144" s="58"/>
    </row>
    <row r="145" spans="1:11" ht="18" customHeight="1">
      <c r="A145" s="58"/>
      <c r="B145" s="340" t="s">
        <v>170</v>
      </c>
      <c r="C145" s="452" t="s">
        <v>171</v>
      </c>
      <c r="D145" s="452"/>
      <c r="E145" s="452"/>
      <c r="F145" s="452"/>
      <c r="G145" s="452"/>
      <c r="H145" s="452"/>
      <c r="I145" s="452"/>
      <c r="J145" s="452"/>
      <c r="K145" s="58"/>
    </row>
    <row r="146" spans="1:11" ht="18" customHeight="1">
      <c r="A146" s="58"/>
      <c r="B146" s="340" t="s">
        <v>199</v>
      </c>
      <c r="C146" s="458" t="s">
        <v>200</v>
      </c>
      <c r="D146" s="458"/>
      <c r="E146" s="458"/>
      <c r="F146" s="458"/>
      <c r="G146" s="458"/>
      <c r="H146" s="458"/>
      <c r="I146" s="458"/>
      <c r="J146" s="340"/>
      <c r="K146" s="58"/>
    </row>
    <row r="147" spans="1:11" ht="18" customHeight="1">
      <c r="A147" s="58"/>
      <c r="B147" s="340" t="s">
        <v>68</v>
      </c>
      <c r="C147" s="341" t="s">
        <v>211</v>
      </c>
      <c r="D147" s="341"/>
      <c r="E147" s="341"/>
      <c r="F147" s="341"/>
      <c r="G147" s="341"/>
      <c r="H147" s="341"/>
      <c r="I147" s="341"/>
      <c r="J147" s="340"/>
      <c r="K147" s="58"/>
    </row>
    <row r="148" spans="1:11" ht="18" customHeight="1">
      <c r="A148" s="58"/>
      <c r="B148" s="340" t="s">
        <v>233</v>
      </c>
      <c r="C148" s="341" t="s">
        <v>234</v>
      </c>
      <c r="D148" s="341"/>
      <c r="E148" s="341"/>
      <c r="F148" s="341"/>
      <c r="G148" s="341"/>
      <c r="H148" s="341"/>
      <c r="I148" s="341"/>
      <c r="J148" s="340"/>
      <c r="K148" s="58"/>
    </row>
    <row r="149" spans="1:11" ht="18" customHeight="1">
      <c r="A149" s="58"/>
      <c r="B149" s="340" t="s">
        <v>256</v>
      </c>
      <c r="C149" s="452" t="s">
        <v>172</v>
      </c>
      <c r="D149" s="452"/>
      <c r="E149" s="452"/>
      <c r="F149" s="452"/>
      <c r="G149" s="452"/>
      <c r="H149" s="452"/>
      <c r="I149" s="452"/>
      <c r="J149" s="452"/>
      <c r="K149" s="58"/>
    </row>
    <row r="150" spans="1:11" ht="18" customHeight="1">
      <c r="A150" s="58"/>
      <c r="B150" s="340" t="s">
        <v>173</v>
      </c>
      <c r="C150" s="452" t="s">
        <v>174</v>
      </c>
      <c r="D150" s="452"/>
      <c r="E150" s="452"/>
      <c r="F150" s="452"/>
      <c r="G150" s="452"/>
      <c r="H150" s="452"/>
      <c r="I150" s="452"/>
      <c r="J150" s="452"/>
      <c r="K150" s="58"/>
    </row>
    <row r="151" spans="1:11" ht="18" customHeight="1">
      <c r="A151" s="58"/>
      <c r="B151" s="340" t="s">
        <v>220</v>
      </c>
      <c r="C151" s="452" t="s">
        <v>221</v>
      </c>
      <c r="D151" s="452"/>
      <c r="E151" s="452"/>
      <c r="F151" s="452"/>
      <c r="G151" s="452"/>
      <c r="H151" s="452"/>
      <c r="I151" s="452"/>
      <c r="J151" s="452"/>
      <c r="K151" s="58"/>
    </row>
    <row r="152" spans="1:11" ht="18" customHeight="1">
      <c r="A152" s="58"/>
      <c r="B152" s="340" t="s">
        <v>175</v>
      </c>
      <c r="C152" s="452" t="s">
        <v>176</v>
      </c>
      <c r="D152" s="452"/>
      <c r="E152" s="452"/>
      <c r="F152" s="452"/>
      <c r="G152" s="452"/>
      <c r="H152" s="452"/>
      <c r="I152" s="452"/>
      <c r="J152" s="452"/>
      <c r="K152" s="58"/>
    </row>
    <row r="153" spans="1:11">
      <c r="A153" s="58"/>
      <c r="B153" s="340" t="s">
        <v>201</v>
      </c>
      <c r="C153" s="452" t="s">
        <v>202</v>
      </c>
      <c r="D153" s="452"/>
      <c r="E153" s="452"/>
      <c r="F153" s="452"/>
      <c r="G153" s="452"/>
      <c r="H153" s="452"/>
      <c r="I153" s="452"/>
      <c r="J153" s="452"/>
      <c r="K153" s="58"/>
    </row>
    <row r="154" spans="1:11">
      <c r="A154" s="58"/>
      <c r="B154" s="58"/>
      <c r="C154" s="58"/>
      <c r="D154" s="58"/>
      <c r="E154" s="58"/>
      <c r="F154" s="58"/>
      <c r="G154" s="58"/>
      <c r="H154" s="58"/>
      <c r="I154" s="58"/>
      <c r="J154" s="58"/>
      <c r="K154" s="58"/>
    </row>
    <row r="155" spans="1:11">
      <c r="A155" s="58"/>
      <c r="B155" s="58"/>
      <c r="C155" s="58"/>
      <c r="D155" s="58"/>
      <c r="E155" s="58"/>
      <c r="F155" s="58"/>
      <c r="G155" s="58"/>
      <c r="H155" s="58"/>
      <c r="I155" s="58"/>
      <c r="J155" s="58"/>
      <c r="K155" s="58"/>
    </row>
    <row r="156" spans="1:11">
      <c r="A156" s="58"/>
      <c r="B156" s="58"/>
      <c r="C156" s="58"/>
      <c r="D156" s="58"/>
      <c r="E156" s="58"/>
      <c r="F156" s="58"/>
      <c r="G156" s="58"/>
      <c r="H156" s="58"/>
      <c r="I156" s="58"/>
      <c r="J156" s="58"/>
      <c r="K156" s="58"/>
    </row>
  </sheetData>
  <sheetProtection sheet="1" objects="1" scenarios="1"/>
  <mergeCells count="53">
    <mergeCell ref="B128:J128"/>
    <mergeCell ref="B58:J60"/>
    <mergeCell ref="B1:G4"/>
    <mergeCell ref="I2:K2"/>
    <mergeCell ref="I3:K3"/>
    <mergeCell ref="B6:J10"/>
    <mergeCell ref="B19:J21"/>
    <mergeCell ref="B12:J13"/>
    <mergeCell ref="B54:J56"/>
    <mergeCell ref="B45:J46"/>
    <mergeCell ref="B23:J25"/>
    <mergeCell ref="C33:J33"/>
    <mergeCell ref="B35:J36"/>
    <mergeCell ref="B40:J41"/>
    <mergeCell ref="B43:J43"/>
    <mergeCell ref="B50:J50"/>
    <mergeCell ref="B48:J48"/>
    <mergeCell ref="B62:J65"/>
    <mergeCell ref="B123:J123"/>
    <mergeCell ref="B67:J69"/>
    <mergeCell ref="B116:J119"/>
    <mergeCell ref="B84:J84"/>
    <mergeCell ref="B52:J52"/>
    <mergeCell ref="B88:J88"/>
    <mergeCell ref="C134:J134"/>
    <mergeCell ref="C136:J136"/>
    <mergeCell ref="C137:J137"/>
    <mergeCell ref="C139:J139"/>
    <mergeCell ref="C141:J141"/>
    <mergeCell ref="C140:J140"/>
    <mergeCell ref="C149:J149"/>
    <mergeCell ref="C150:J150"/>
    <mergeCell ref="C152:J152"/>
    <mergeCell ref="C145:J145"/>
    <mergeCell ref="C144:J144"/>
    <mergeCell ref="C151:J151"/>
    <mergeCell ref="C146:I146"/>
    <mergeCell ref="C153:J153"/>
    <mergeCell ref="B107:J109"/>
    <mergeCell ref="B111:J114"/>
    <mergeCell ref="B73:J74"/>
    <mergeCell ref="B76:J76"/>
    <mergeCell ref="B78:J79"/>
    <mergeCell ref="B81:J82"/>
    <mergeCell ref="B90:J91"/>
    <mergeCell ref="B93:J105"/>
    <mergeCell ref="B86:J86"/>
    <mergeCell ref="C135:J135"/>
    <mergeCell ref="C133:J133"/>
    <mergeCell ref="C142:J142"/>
    <mergeCell ref="C143:J143"/>
    <mergeCell ref="C138:J138"/>
    <mergeCell ref="B125:J125"/>
  </mergeCells>
  <hyperlinks>
    <hyperlink ref="B37" location="Abbr" tooltip="Link to Acronyms and Abbreviations" display="Acronyms and Abbreviations" xr:uid="{9FBF1190-D50A-487B-B49E-2957ED3C4560}"/>
    <hyperlink ref="B33" location="Footnotes" tooltip="Link to footnotes" display="Footnotes" xr:uid="{799B22CF-3056-4549-860A-637DF0AC7C10}"/>
    <hyperlink ref="I2" location="'General Calculator'!A3" display="Return to General Calculator" xr:uid="{FF8C1C0B-C1B9-404C-B2FE-DAF3F12318D0}"/>
    <hyperlink ref="I3" location="'User Entry Calculator'!A3" display="Return to User Entry Calculator" xr:uid="{46966235-4DF4-4299-BCF5-5D2748F7286A}"/>
    <hyperlink ref="I3:K3" location="'Detailed Calculator'!A1" display="Go to Detailed Calculator" xr:uid="{F56D45A2-E678-4973-BE8A-CAC87C114ECB}"/>
    <hyperlink ref="B17" location="user_defined" tooltip="Link to User Entry Calculator User Guide" display="User Entry Calculator" xr:uid="{1268BDDE-B81B-4630-A643-E658EE1231C1}"/>
    <hyperlink ref="B16" location="Gen_calc" tooltip="Link to General Calculator User Guide" display="General Calculator" xr:uid="{9033B551-FA7A-4AE7-A4EA-2DD22F77F94B}"/>
  </hyperlinks>
  <printOptions horizontalCentered="1" gridLines="1"/>
  <pageMargins left="0.7" right="0.7" top="0.8" bottom="0.75" header="0.3" footer="0.3"/>
  <pageSetup scale="93" fitToHeight="0" orientation="landscape" verticalDpi="1200" r:id="rId1"/>
  <headerFooter differentFirst="1">
    <firstHeader>&amp;L&amp;11&amp;G&amp;C&amp;"-,Bold"&amp;11Transportation Refrigeration Unit Calculator (TRU-C)&amp;"-,Regular" 
(October 15, 2022)&amp;R&amp;11Office of Transportation and Air Quality
October 2022</firstHeader>
  </headerFooter>
  <rowBreaks count="1" manualBreakCount="1">
    <brk id="32" max="16383" man="1"/>
  </rowBreaks>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99B3-CCC9-47A8-93F9-7BC3970D7B71}">
  <sheetPr codeName="Sheet10">
    <tabColor rgb="FFFFC000"/>
  </sheetPr>
  <dimension ref="A1:K28"/>
  <sheetViews>
    <sheetView workbookViewId="0">
      <selection activeCell="C16" sqref="C16:C17"/>
    </sheetView>
  </sheetViews>
  <sheetFormatPr defaultRowHeight="15.6"/>
  <cols>
    <col min="1" max="1" width="18.59765625" bestFit="1" customWidth="1"/>
    <col min="3" max="3" width="15.09765625" bestFit="1" customWidth="1"/>
    <col min="11" max="11" width="11.8984375" bestFit="1" customWidth="1"/>
    <col min="13" max="13" width="13" customWidth="1"/>
  </cols>
  <sheetData>
    <row r="1" spans="1:11">
      <c r="A1" s="112" t="s">
        <v>183</v>
      </c>
    </row>
    <row r="3" spans="1:11">
      <c r="A3" s="18" t="s">
        <v>109</v>
      </c>
      <c r="C3" s="18" t="s">
        <v>76</v>
      </c>
      <c r="E3" s="18" t="s">
        <v>117</v>
      </c>
      <c r="G3" s="18" t="s">
        <v>118</v>
      </c>
      <c r="I3" s="18" t="s">
        <v>304</v>
      </c>
      <c r="K3" s="18" t="s">
        <v>178</v>
      </c>
    </row>
    <row r="4" spans="1:11">
      <c r="A4" s="64"/>
      <c r="C4" s="46"/>
      <c r="E4" s="241"/>
      <c r="G4" s="64"/>
      <c r="I4" s="64"/>
      <c r="K4" s="111">
        <f>1 * 10^(-6)</f>
        <v>9.9999999999999995E-7</v>
      </c>
    </row>
    <row r="5" spans="1:11">
      <c r="A5" s="64" t="s">
        <v>131</v>
      </c>
      <c r="C5" s="46" t="s">
        <v>114</v>
      </c>
      <c r="E5" s="241" t="s">
        <v>310</v>
      </c>
      <c r="G5" s="241" t="s">
        <v>311</v>
      </c>
    </row>
    <row r="6" spans="1:11">
      <c r="A6" s="64" t="s">
        <v>110</v>
      </c>
      <c r="C6" s="46" t="s">
        <v>115</v>
      </c>
      <c r="E6" s="24">
        <v>1999</v>
      </c>
      <c r="G6" s="24">
        <v>2000</v>
      </c>
    </row>
    <row r="7" spans="1:11">
      <c r="A7" s="64" t="s">
        <v>185</v>
      </c>
      <c r="C7" s="46" t="s">
        <v>116</v>
      </c>
      <c r="E7" s="24">
        <v>2000</v>
      </c>
      <c r="G7" s="24">
        <v>2001</v>
      </c>
    </row>
    <row r="8" spans="1:11">
      <c r="A8" s="64" t="s">
        <v>111</v>
      </c>
      <c r="E8" s="24">
        <v>2001</v>
      </c>
      <c r="G8" s="24">
        <v>2002</v>
      </c>
    </row>
    <row r="9" spans="1:11">
      <c r="A9" s="64" t="s">
        <v>112</v>
      </c>
      <c r="E9" s="24">
        <v>2002</v>
      </c>
      <c r="G9" s="24">
        <v>2003</v>
      </c>
    </row>
    <row r="10" spans="1:11">
      <c r="C10" s="366" t="s">
        <v>306</v>
      </c>
      <c r="E10" s="24">
        <v>2003</v>
      </c>
      <c r="G10" s="24">
        <v>2004</v>
      </c>
    </row>
    <row r="11" spans="1:11">
      <c r="C11" s="64" t="s">
        <v>205</v>
      </c>
      <c r="E11" s="24">
        <v>2004</v>
      </c>
      <c r="G11" s="24">
        <v>2005</v>
      </c>
    </row>
    <row r="12" spans="1:11">
      <c r="C12" s="64" t="s">
        <v>168</v>
      </c>
      <c r="E12" s="24">
        <v>2005</v>
      </c>
      <c r="G12" s="24">
        <v>2006</v>
      </c>
    </row>
    <row r="13" spans="1:11">
      <c r="E13" s="24">
        <v>2006</v>
      </c>
      <c r="G13" s="240">
        <v>2007</v>
      </c>
    </row>
    <row r="14" spans="1:11">
      <c r="E14" s="240">
        <v>2007</v>
      </c>
      <c r="G14" s="240">
        <v>2008</v>
      </c>
    </row>
    <row r="15" spans="1:11">
      <c r="C15" s="366" t="s">
        <v>367</v>
      </c>
      <c r="E15" s="240">
        <v>2008</v>
      </c>
      <c r="G15" s="240">
        <v>2009</v>
      </c>
    </row>
    <row r="16" spans="1:11">
      <c r="C16" s="64" t="s">
        <v>369</v>
      </c>
      <c r="E16" s="240">
        <v>2009</v>
      </c>
      <c r="G16" s="24">
        <v>2010</v>
      </c>
    </row>
    <row r="17" spans="3:7">
      <c r="C17" s="64" t="s">
        <v>368</v>
      </c>
      <c r="E17" s="24">
        <v>2010</v>
      </c>
      <c r="G17" s="240">
        <v>2011</v>
      </c>
    </row>
    <row r="18" spans="3:7">
      <c r="E18" s="240">
        <v>2011</v>
      </c>
      <c r="G18" s="240">
        <v>2012</v>
      </c>
    </row>
    <row r="19" spans="3:7">
      <c r="E19" s="240">
        <v>2012</v>
      </c>
      <c r="G19" s="240">
        <v>2013</v>
      </c>
    </row>
    <row r="20" spans="3:7">
      <c r="E20" s="240">
        <v>2013</v>
      </c>
      <c r="G20" s="24">
        <v>2014</v>
      </c>
    </row>
    <row r="21" spans="3:7">
      <c r="E21" s="24">
        <v>2014</v>
      </c>
      <c r="G21" s="240">
        <v>2015</v>
      </c>
    </row>
    <row r="22" spans="3:7">
      <c r="E22" s="240">
        <v>2015</v>
      </c>
      <c r="G22" s="240">
        <v>2016</v>
      </c>
    </row>
    <row r="23" spans="3:7">
      <c r="E23" s="240">
        <v>2016</v>
      </c>
      <c r="G23" s="240">
        <v>2017</v>
      </c>
    </row>
    <row r="24" spans="3:7">
      <c r="E24" s="240">
        <v>2017</v>
      </c>
      <c r="G24" s="24">
        <v>2018</v>
      </c>
    </row>
    <row r="25" spans="3:7">
      <c r="E25" s="24">
        <v>2018</v>
      </c>
      <c r="G25" s="240">
        <v>2019</v>
      </c>
    </row>
    <row r="26" spans="3:7">
      <c r="E26" s="240">
        <v>2019</v>
      </c>
      <c r="G26" s="240">
        <v>2020</v>
      </c>
    </row>
    <row r="27" spans="3:7">
      <c r="E27" s="240">
        <v>2020</v>
      </c>
      <c r="G27" s="81">
        <v>2021</v>
      </c>
    </row>
    <row r="28" spans="3:7">
      <c r="E28" s="81">
        <v>2021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96E5-2F5C-224E-BB86-174DA81D732F}">
  <sheetPr codeName="Sheet12"/>
  <dimension ref="A1:V92"/>
  <sheetViews>
    <sheetView workbookViewId="0"/>
  </sheetViews>
  <sheetFormatPr defaultColWidth="11.09765625" defaultRowHeight="15.6"/>
  <cols>
    <col min="1" max="1" width="34.69921875" style="10" customWidth="1"/>
    <col min="2" max="2" width="30.3984375" style="10" customWidth="1"/>
    <col min="3" max="16384" width="11.09765625" style="10"/>
  </cols>
  <sheetData>
    <row r="1" spans="1:22" ht="18">
      <c r="A1" s="175" t="s">
        <v>217</v>
      </c>
    </row>
    <row r="2" spans="1:22">
      <c r="A2" s="129"/>
    </row>
    <row r="3" spans="1:22">
      <c r="A3" s="57" t="s">
        <v>315</v>
      </c>
    </row>
    <row r="4" spans="1:22">
      <c r="A4" s="10" t="s">
        <v>292</v>
      </c>
      <c r="B4" s="10" t="s">
        <v>293</v>
      </c>
    </row>
    <row r="6" spans="1:22">
      <c r="A6" s="57" t="s">
        <v>258</v>
      </c>
    </row>
    <row r="7" spans="1:22">
      <c r="A7" s="10" t="s">
        <v>102</v>
      </c>
      <c r="B7" s="58" t="s">
        <v>260</v>
      </c>
    </row>
    <row r="8" spans="1:22">
      <c r="A8" s="140" t="s">
        <v>259</v>
      </c>
      <c r="B8" s="10" t="s">
        <v>264</v>
      </c>
    </row>
    <row r="10" spans="1:22">
      <c r="A10" s="57" t="s">
        <v>261</v>
      </c>
    </row>
    <row r="11" spans="1:22">
      <c r="A11" s="443" t="s">
        <v>352</v>
      </c>
      <c r="B11" s="444" t="s">
        <v>357</v>
      </c>
      <c r="C11" s="444"/>
      <c r="D11" s="444"/>
      <c r="E11" s="444"/>
      <c r="F11" s="444"/>
      <c r="G11" s="444"/>
      <c r="H11" s="444"/>
      <c r="I11" s="444"/>
      <c r="J11" s="444"/>
      <c r="K11" s="444"/>
      <c r="L11" s="444"/>
      <c r="M11" s="444"/>
      <c r="N11" s="444"/>
      <c r="O11" s="444"/>
      <c r="P11" s="444"/>
      <c r="Q11" s="444"/>
      <c r="R11" s="444"/>
      <c r="S11" s="444"/>
      <c r="T11" s="444"/>
      <c r="U11" s="444"/>
      <c r="V11" s="444"/>
    </row>
    <row r="12" spans="1:22">
      <c r="A12" s="445" t="s">
        <v>82</v>
      </c>
      <c r="B12" s="445" t="s">
        <v>266</v>
      </c>
      <c r="C12" s="444"/>
      <c r="D12" s="444"/>
      <c r="E12" s="444"/>
      <c r="F12" s="444"/>
      <c r="G12" s="444"/>
      <c r="H12" s="444"/>
      <c r="I12" s="444"/>
      <c r="J12" s="444"/>
      <c r="K12" s="444"/>
      <c r="L12" s="444"/>
      <c r="M12" s="444"/>
      <c r="N12" s="444"/>
      <c r="O12" s="444"/>
      <c r="P12" s="444"/>
      <c r="Q12" s="444"/>
      <c r="R12" s="444"/>
      <c r="S12" s="444"/>
      <c r="T12" s="444"/>
      <c r="U12" s="444"/>
      <c r="V12" s="444"/>
    </row>
    <row r="13" spans="1:22">
      <c r="A13" s="445" t="s">
        <v>83</v>
      </c>
      <c r="B13" s="445" t="s">
        <v>267</v>
      </c>
      <c r="C13" s="444"/>
      <c r="D13" s="444"/>
      <c r="E13" s="444"/>
      <c r="F13" s="444"/>
      <c r="G13" s="444"/>
      <c r="H13" s="444"/>
      <c r="I13" s="444"/>
      <c r="J13" s="444"/>
      <c r="K13" s="444"/>
      <c r="L13" s="444"/>
      <c r="M13" s="444"/>
      <c r="N13" s="444"/>
      <c r="O13" s="444"/>
      <c r="P13" s="444"/>
      <c r="Q13" s="444"/>
      <c r="R13" s="444"/>
      <c r="S13" s="444"/>
      <c r="T13" s="444"/>
      <c r="U13" s="444"/>
      <c r="V13" s="444"/>
    </row>
    <row r="14" spans="1:22">
      <c r="A14" s="445" t="s">
        <v>84</v>
      </c>
      <c r="B14" s="446" t="s">
        <v>268</v>
      </c>
      <c r="C14" s="444"/>
      <c r="D14" s="444"/>
      <c r="E14" s="444"/>
      <c r="F14" s="444"/>
      <c r="G14" s="444"/>
      <c r="H14" s="444"/>
      <c r="I14" s="444"/>
      <c r="J14" s="444"/>
      <c r="K14" s="444"/>
      <c r="L14" s="444"/>
      <c r="M14" s="444"/>
      <c r="N14" s="444"/>
      <c r="O14" s="444"/>
      <c r="P14" s="444"/>
      <c r="Q14" s="444"/>
      <c r="R14" s="444"/>
      <c r="S14" s="444"/>
      <c r="T14" s="444"/>
      <c r="U14" s="444"/>
      <c r="V14" s="444"/>
    </row>
    <row r="15" spans="1:22">
      <c r="A15" s="445" t="s">
        <v>85</v>
      </c>
      <c r="B15" s="445" t="s">
        <v>265</v>
      </c>
      <c r="C15" s="444"/>
      <c r="D15" s="444"/>
      <c r="E15" s="444"/>
      <c r="F15" s="444"/>
      <c r="G15" s="444"/>
      <c r="H15" s="444"/>
      <c r="I15" s="444"/>
      <c r="J15" s="444"/>
      <c r="K15" s="444"/>
      <c r="L15" s="444"/>
      <c r="M15" s="444"/>
      <c r="N15" s="444"/>
      <c r="O15" s="444"/>
      <c r="P15" s="444"/>
      <c r="Q15" s="444"/>
      <c r="R15" s="444"/>
      <c r="S15" s="444"/>
      <c r="T15" s="444"/>
      <c r="U15" s="444"/>
      <c r="V15" s="444"/>
    </row>
    <row r="16" spans="1:22">
      <c r="A16" s="447" t="s">
        <v>86</v>
      </c>
      <c r="B16" s="445" t="s">
        <v>87</v>
      </c>
      <c r="C16" s="444"/>
      <c r="D16" s="444"/>
      <c r="E16" s="444"/>
      <c r="F16" s="444"/>
      <c r="G16" s="444"/>
      <c r="H16" s="444"/>
      <c r="I16" s="444"/>
      <c r="J16" s="444"/>
      <c r="K16" s="444"/>
      <c r="L16" s="444"/>
      <c r="M16" s="444"/>
      <c r="N16" s="444"/>
      <c r="O16" s="444"/>
      <c r="P16" s="444"/>
      <c r="Q16" s="444"/>
      <c r="R16" s="444"/>
      <c r="S16" s="444"/>
      <c r="T16" s="444"/>
      <c r="U16" s="444"/>
      <c r="V16" s="444"/>
    </row>
    <row r="17" spans="1:22">
      <c r="A17" s="448"/>
      <c r="B17" s="445"/>
      <c r="C17" s="444"/>
      <c r="D17" s="444"/>
      <c r="E17" s="444"/>
      <c r="F17" s="444"/>
      <c r="G17" s="444"/>
      <c r="H17" s="444"/>
      <c r="I17" s="444"/>
      <c r="J17" s="444"/>
      <c r="K17" s="444"/>
      <c r="L17" s="444"/>
      <c r="M17" s="444"/>
      <c r="N17" s="444"/>
      <c r="O17" s="444"/>
      <c r="P17" s="444"/>
      <c r="Q17" s="444"/>
      <c r="R17" s="444"/>
      <c r="S17" s="444"/>
      <c r="T17" s="444"/>
      <c r="U17" s="444"/>
      <c r="V17" s="444"/>
    </row>
    <row r="18" spans="1:22">
      <c r="A18" s="449" t="s">
        <v>262</v>
      </c>
      <c r="B18" s="444"/>
      <c r="C18" s="444"/>
      <c r="D18" s="444"/>
      <c r="E18" s="444"/>
      <c r="F18" s="444"/>
      <c r="G18" s="444"/>
      <c r="H18" s="444"/>
      <c r="I18" s="444"/>
      <c r="J18" s="444"/>
      <c r="K18" s="444"/>
      <c r="L18" s="444"/>
      <c r="M18" s="444"/>
      <c r="N18" s="444"/>
      <c r="O18" s="444"/>
      <c r="P18" s="444"/>
      <c r="Q18" s="444"/>
      <c r="R18" s="444"/>
      <c r="S18" s="444"/>
      <c r="T18" s="444"/>
      <c r="U18" s="444"/>
      <c r="V18" s="444"/>
    </row>
    <row r="19" spans="1:22">
      <c r="A19" s="443" t="s">
        <v>274</v>
      </c>
      <c r="B19" s="169" t="s">
        <v>275</v>
      </c>
      <c r="C19" s="444"/>
      <c r="D19" s="444"/>
      <c r="E19" s="444"/>
      <c r="F19" s="444"/>
      <c r="G19" s="444"/>
      <c r="H19" s="444"/>
      <c r="I19" s="444"/>
      <c r="J19" s="444"/>
      <c r="K19" s="444"/>
      <c r="L19" s="444"/>
      <c r="M19" s="444"/>
      <c r="N19" s="444"/>
      <c r="O19" s="444"/>
      <c r="P19" s="444"/>
      <c r="Q19" s="444"/>
      <c r="R19" s="444"/>
      <c r="S19" s="444"/>
      <c r="T19" s="444"/>
      <c r="U19" s="444"/>
      <c r="V19" s="444"/>
    </row>
    <row r="20" spans="1:22">
      <c r="A20" s="443" t="s">
        <v>278</v>
      </c>
      <c r="B20" s="444" t="s">
        <v>282</v>
      </c>
      <c r="C20" s="444"/>
      <c r="D20" s="444"/>
      <c r="E20" s="444"/>
      <c r="F20" s="444"/>
      <c r="G20" s="444"/>
      <c r="H20" s="444"/>
      <c r="I20" s="444"/>
      <c r="J20" s="444"/>
      <c r="K20" s="444"/>
      <c r="L20" s="444"/>
      <c r="M20" s="444"/>
      <c r="N20" s="444"/>
      <c r="O20" s="444"/>
      <c r="P20" s="444"/>
      <c r="Q20" s="444"/>
      <c r="R20" s="444"/>
      <c r="S20" s="444"/>
      <c r="T20" s="444"/>
      <c r="U20" s="444"/>
      <c r="V20" s="444"/>
    </row>
    <row r="21" spans="1:22">
      <c r="A21" s="443" t="s">
        <v>352</v>
      </c>
      <c r="B21" s="444" t="s">
        <v>357</v>
      </c>
      <c r="C21" s="444"/>
      <c r="D21" s="444"/>
      <c r="E21" s="444"/>
      <c r="F21" s="444"/>
      <c r="G21" s="444"/>
      <c r="H21" s="444"/>
      <c r="I21" s="444"/>
      <c r="J21" s="444"/>
      <c r="K21" s="444"/>
      <c r="L21" s="444"/>
      <c r="M21" s="444"/>
      <c r="N21" s="444"/>
      <c r="O21" s="444"/>
      <c r="P21" s="444"/>
      <c r="Q21" s="444"/>
      <c r="R21" s="444"/>
      <c r="S21" s="444"/>
      <c r="T21" s="444"/>
      <c r="U21" s="444"/>
      <c r="V21" s="444"/>
    </row>
    <row r="22" spans="1:22">
      <c r="A22" s="139" t="s">
        <v>83</v>
      </c>
      <c r="B22" s="139" t="s">
        <v>267</v>
      </c>
    </row>
    <row r="24" spans="1:22">
      <c r="A24" s="57" t="s">
        <v>263</v>
      </c>
    </row>
    <row r="25" spans="1:22">
      <c r="A25" s="147" t="s">
        <v>276</v>
      </c>
      <c r="B25" s="140" t="s">
        <v>277</v>
      </c>
    </row>
    <row r="26" spans="1:22">
      <c r="B26" s="140"/>
    </row>
    <row r="27" spans="1:22">
      <c r="A27" s="57" t="s">
        <v>283</v>
      </c>
      <c r="B27" s="10" t="s">
        <v>284</v>
      </c>
    </row>
    <row r="28" spans="1:22" ht="18">
      <c r="A28" s="10" t="s">
        <v>271</v>
      </c>
      <c r="B28" s="10">
        <v>1</v>
      </c>
    </row>
    <row r="29" spans="1:22" ht="18">
      <c r="A29" s="10" t="s">
        <v>272</v>
      </c>
      <c r="B29" s="10">
        <v>25</v>
      </c>
    </row>
    <row r="30" spans="1:22" ht="18">
      <c r="A30" s="10" t="s">
        <v>273</v>
      </c>
      <c r="B30" s="10">
        <v>298</v>
      </c>
    </row>
    <row r="32" spans="1:22">
      <c r="A32" s="357" t="s">
        <v>325</v>
      </c>
      <c r="B32" s="12" t="s">
        <v>324</v>
      </c>
      <c r="C32" s="12"/>
      <c r="D32" s="12"/>
      <c r="E32" s="12"/>
      <c r="F32" s="12"/>
      <c r="G32" s="12"/>
      <c r="H32" s="12"/>
      <c r="I32" s="12"/>
    </row>
    <row r="33" spans="1:9">
      <c r="A33" s="12">
        <v>2015</v>
      </c>
      <c r="B33" s="351">
        <v>236.52500000000001</v>
      </c>
      <c r="C33" s="12"/>
      <c r="D33" s="12"/>
      <c r="E33" s="12"/>
      <c r="F33" s="12"/>
      <c r="G33" s="12"/>
      <c r="H33" s="12"/>
      <c r="I33" s="12"/>
    </row>
    <row r="34" spans="1:9">
      <c r="A34" s="12">
        <v>2016</v>
      </c>
      <c r="B34" s="351">
        <v>241.43199999999999</v>
      </c>
      <c r="C34" s="12"/>
      <c r="D34" s="12"/>
      <c r="E34" s="12"/>
      <c r="F34" s="12"/>
      <c r="G34" s="12"/>
      <c r="H34" s="12"/>
      <c r="I34" s="12"/>
    </row>
    <row r="35" spans="1:9">
      <c r="A35" s="12">
        <v>2017</v>
      </c>
      <c r="B35" s="351">
        <v>246.524</v>
      </c>
      <c r="C35" s="12"/>
      <c r="D35" s="12"/>
      <c r="E35" s="12"/>
      <c r="F35" s="12"/>
      <c r="G35" s="12"/>
      <c r="H35" s="12"/>
      <c r="I35" s="12"/>
    </row>
    <row r="36" spans="1:9">
      <c r="A36" s="12">
        <v>2018</v>
      </c>
      <c r="B36" s="351">
        <v>251.233</v>
      </c>
      <c r="C36" s="12"/>
      <c r="D36" s="12"/>
      <c r="E36" s="12"/>
      <c r="F36" s="12"/>
      <c r="G36" s="12"/>
      <c r="H36" s="12"/>
      <c r="I36" s="12"/>
    </row>
    <row r="37" spans="1:9">
      <c r="A37" s="12">
        <v>2019</v>
      </c>
      <c r="B37" s="12">
        <v>256.97399999999999</v>
      </c>
      <c r="C37" s="12"/>
      <c r="D37" s="12"/>
      <c r="E37" s="12"/>
      <c r="F37" s="12"/>
      <c r="G37" s="12"/>
      <c r="H37" s="12"/>
      <c r="I37" s="12"/>
    </row>
    <row r="38" spans="1:9">
      <c r="A38" s="12">
        <v>2020</v>
      </c>
      <c r="B38" s="12">
        <v>260.47399999999999</v>
      </c>
      <c r="C38" s="12"/>
      <c r="D38" s="12"/>
      <c r="E38" s="12"/>
      <c r="F38" s="12"/>
      <c r="G38" s="12"/>
      <c r="H38" s="12"/>
      <c r="I38" s="12"/>
    </row>
    <row r="39" spans="1:9">
      <c r="A39" s="57"/>
    </row>
    <row r="40" spans="1:9" ht="18">
      <c r="A40" s="175" t="s">
        <v>285</v>
      </c>
    </row>
    <row r="41" spans="1:9">
      <c r="A41" s="176"/>
      <c r="B41" s="176"/>
      <c r="C41" s="176"/>
      <c r="D41" s="176"/>
      <c r="E41" s="176"/>
      <c r="F41" s="176"/>
      <c r="G41" s="176"/>
      <c r="H41" s="176"/>
      <c r="I41" s="176"/>
    </row>
    <row r="42" spans="1:9">
      <c r="A42" s="480" t="s">
        <v>286</v>
      </c>
      <c r="B42" s="480"/>
      <c r="C42" s="480"/>
      <c r="D42" s="480"/>
      <c r="E42" s="480"/>
      <c r="F42" s="480"/>
      <c r="G42" s="480"/>
      <c r="H42" s="480"/>
      <c r="I42" s="480"/>
    </row>
    <row r="43" spans="1:9">
      <c r="A43" s="480"/>
      <c r="B43" s="480"/>
      <c r="C43" s="480"/>
      <c r="D43" s="480"/>
      <c r="E43" s="480"/>
      <c r="F43" s="480"/>
      <c r="G43" s="480"/>
      <c r="H43" s="480"/>
      <c r="I43" s="480"/>
    </row>
    <row r="44" spans="1:9">
      <c r="A44" s="480"/>
      <c r="B44" s="480"/>
      <c r="C44" s="480"/>
      <c r="D44" s="480"/>
      <c r="E44" s="480"/>
      <c r="F44" s="480"/>
      <c r="G44" s="480"/>
      <c r="H44" s="480"/>
      <c r="I44" s="480"/>
    </row>
    <row r="45" spans="1:9">
      <c r="A45" s="480"/>
      <c r="B45" s="480"/>
      <c r="C45" s="480"/>
      <c r="D45" s="480"/>
      <c r="E45" s="480"/>
      <c r="F45" s="480"/>
      <c r="G45" s="480"/>
      <c r="H45" s="480"/>
      <c r="I45" s="480"/>
    </row>
    <row r="46" spans="1:9">
      <c r="A46" s="480" t="s">
        <v>250</v>
      </c>
      <c r="B46" s="480"/>
      <c r="C46" s="480"/>
      <c r="D46" s="480"/>
      <c r="E46" s="480"/>
      <c r="F46" s="480"/>
      <c r="G46" s="480"/>
      <c r="H46" s="480"/>
      <c r="I46" s="480"/>
    </row>
    <row r="47" spans="1:9">
      <c r="A47" s="480"/>
      <c r="B47" s="480"/>
      <c r="C47" s="480"/>
      <c r="D47" s="480"/>
      <c r="E47" s="480"/>
      <c r="F47" s="480"/>
      <c r="G47" s="480"/>
      <c r="H47" s="480"/>
      <c r="I47" s="480"/>
    </row>
    <row r="48" spans="1:9">
      <c r="A48" s="480"/>
      <c r="B48" s="480"/>
      <c r="C48" s="480"/>
      <c r="D48" s="480"/>
      <c r="E48" s="480"/>
      <c r="F48" s="480"/>
      <c r="G48" s="480"/>
      <c r="H48" s="480"/>
      <c r="I48" s="480"/>
    </row>
    <row r="49" spans="1:9">
      <c r="A49" s="480"/>
      <c r="B49" s="480"/>
      <c r="C49" s="480"/>
      <c r="D49" s="480"/>
      <c r="E49" s="480"/>
      <c r="F49" s="480"/>
      <c r="G49" s="480"/>
      <c r="H49" s="480"/>
      <c r="I49" s="480"/>
    </row>
    <row r="50" spans="1:9">
      <c r="A50" s="115"/>
      <c r="B50" s="115"/>
      <c r="C50" s="115"/>
      <c r="D50" s="115"/>
      <c r="E50" s="115"/>
      <c r="F50" s="115"/>
      <c r="G50" s="115"/>
      <c r="H50" s="115"/>
      <c r="I50" s="115"/>
    </row>
    <row r="51" spans="1:9">
      <c r="A51" s="480" t="s">
        <v>251</v>
      </c>
      <c r="B51" s="480"/>
      <c r="C51" s="480"/>
      <c r="D51" s="480"/>
      <c r="E51" s="480"/>
      <c r="F51" s="480"/>
      <c r="G51" s="480"/>
      <c r="H51" s="480"/>
      <c r="I51" s="480"/>
    </row>
    <row r="52" spans="1:9">
      <c r="A52" s="480"/>
      <c r="B52" s="480"/>
      <c r="C52" s="480"/>
      <c r="D52" s="480"/>
      <c r="E52" s="480"/>
      <c r="F52" s="480"/>
      <c r="G52" s="480"/>
      <c r="H52" s="480"/>
      <c r="I52" s="480"/>
    </row>
    <row r="53" spans="1:9">
      <c r="A53" s="480"/>
      <c r="B53" s="480"/>
      <c r="C53" s="480"/>
      <c r="D53" s="480"/>
      <c r="E53" s="480"/>
      <c r="F53" s="480"/>
      <c r="G53" s="480"/>
      <c r="H53" s="480"/>
      <c r="I53" s="480"/>
    </row>
    <row r="54" spans="1:9">
      <c r="A54" s="480" t="s">
        <v>252</v>
      </c>
      <c r="B54" s="480"/>
      <c r="C54" s="480"/>
      <c r="D54" s="480"/>
      <c r="E54" s="480"/>
      <c r="F54" s="480"/>
      <c r="G54" s="480"/>
      <c r="H54" s="480"/>
      <c r="I54" s="480"/>
    </row>
    <row r="55" spans="1:9">
      <c r="A55" s="115"/>
      <c r="B55" s="115"/>
      <c r="C55" s="115"/>
      <c r="D55" s="115"/>
      <c r="E55" s="115"/>
      <c r="F55" s="115"/>
      <c r="G55" s="115"/>
      <c r="H55" s="115"/>
      <c r="I55" s="115"/>
    </row>
    <row r="56" spans="1:9">
      <c r="A56" s="115"/>
      <c r="B56" s="115"/>
      <c r="C56" s="115"/>
      <c r="D56" s="115"/>
      <c r="E56" s="115"/>
      <c r="F56" s="115"/>
      <c r="G56" s="115"/>
      <c r="H56" s="115"/>
      <c r="I56" s="115"/>
    </row>
    <row r="57" spans="1:9">
      <c r="A57" s="141"/>
      <c r="B57" s="141"/>
      <c r="C57" s="141"/>
      <c r="D57" s="141"/>
      <c r="E57" s="141"/>
      <c r="F57" s="141"/>
      <c r="G57" s="141"/>
      <c r="H57" s="141"/>
      <c r="I57" s="141"/>
    </row>
    <row r="58" spans="1:9" ht="18.75" customHeight="1">
      <c r="A58" s="480" t="s">
        <v>253</v>
      </c>
      <c r="B58" s="480"/>
      <c r="C58" s="480"/>
      <c r="D58" s="480"/>
      <c r="E58" s="480"/>
      <c r="F58" s="480"/>
      <c r="G58" s="480"/>
      <c r="H58" s="480"/>
      <c r="I58" s="480"/>
    </row>
    <row r="59" spans="1:9" ht="18.600000000000001">
      <c r="A59" s="162" t="s">
        <v>254</v>
      </c>
      <c r="B59" s="141"/>
      <c r="C59" s="141"/>
      <c r="D59" s="141"/>
      <c r="E59" s="141"/>
      <c r="F59" s="141"/>
      <c r="G59" s="141"/>
      <c r="H59" s="141"/>
      <c r="I59" s="141"/>
    </row>
    <row r="60" spans="1:9">
      <c r="A60" s="141"/>
      <c r="B60" s="141"/>
      <c r="C60" s="141"/>
      <c r="D60" s="141"/>
      <c r="E60" s="141"/>
      <c r="F60" s="141"/>
      <c r="G60" s="141"/>
      <c r="H60" s="141"/>
      <c r="I60" s="141"/>
    </row>
    <row r="61" spans="1:9">
      <c r="A61" s="141"/>
      <c r="B61" s="141"/>
      <c r="C61" s="141"/>
      <c r="D61" s="141"/>
      <c r="E61" s="141"/>
      <c r="F61" s="141"/>
      <c r="G61" s="141"/>
      <c r="H61" s="141"/>
      <c r="I61" s="141"/>
    </row>
    <row r="62" spans="1:9">
      <c r="A62" s="141"/>
      <c r="B62" s="141"/>
      <c r="C62" s="141"/>
      <c r="D62" s="141"/>
      <c r="E62" s="141"/>
      <c r="F62" s="141"/>
      <c r="G62" s="141"/>
      <c r="H62" s="141"/>
      <c r="I62" s="141"/>
    </row>
    <row r="63" spans="1:9">
      <c r="A63" s="141"/>
      <c r="B63" s="141"/>
      <c r="C63" s="141"/>
      <c r="D63" s="141"/>
      <c r="E63" s="141"/>
      <c r="F63" s="141"/>
      <c r="G63" s="141"/>
      <c r="H63" s="141"/>
      <c r="I63" s="141"/>
    </row>
    <row r="64" spans="1:9">
      <c r="A64" s="162" t="s">
        <v>288</v>
      </c>
      <c r="B64" s="141"/>
      <c r="C64" s="141"/>
      <c r="D64" s="141"/>
      <c r="E64" s="141"/>
      <c r="F64" s="141"/>
      <c r="G64" s="141"/>
      <c r="H64" s="141"/>
      <c r="I64" s="141"/>
    </row>
    <row r="65" spans="1:11">
      <c r="A65" s="141"/>
      <c r="B65" s="141"/>
      <c r="C65" s="141"/>
      <c r="D65" s="141"/>
      <c r="E65" s="141"/>
      <c r="F65" s="141"/>
      <c r="G65" s="141"/>
      <c r="H65" s="141"/>
      <c r="I65" s="141"/>
    </row>
    <row r="66" spans="1:11">
      <c r="A66" s="480" t="s">
        <v>197</v>
      </c>
      <c r="B66" s="480"/>
      <c r="C66" s="480"/>
      <c r="D66" s="480"/>
      <c r="E66" s="480"/>
      <c r="F66" s="480"/>
      <c r="G66" s="480"/>
      <c r="H66" s="480"/>
      <c r="I66" s="480"/>
    </row>
    <row r="67" spans="1:11">
      <c r="A67" s="480"/>
      <c r="B67" s="480"/>
      <c r="C67" s="480"/>
      <c r="D67" s="480"/>
      <c r="E67" s="480"/>
      <c r="F67" s="480"/>
      <c r="G67" s="480"/>
      <c r="H67" s="480"/>
      <c r="I67" s="480"/>
    </row>
    <row r="68" spans="1:11">
      <c r="A68" s="116"/>
      <c r="B68" s="116"/>
      <c r="C68" s="116"/>
      <c r="D68" s="116"/>
      <c r="E68" s="116"/>
      <c r="F68" s="116"/>
      <c r="G68" s="116"/>
      <c r="H68" s="116"/>
      <c r="I68" s="116"/>
    </row>
    <row r="69" spans="1:11">
      <c r="A69" s="116"/>
      <c r="B69" s="116"/>
      <c r="C69" s="116"/>
      <c r="D69" s="116"/>
      <c r="E69" s="116"/>
      <c r="F69" s="116"/>
      <c r="G69" s="116"/>
      <c r="H69" s="116"/>
      <c r="I69" s="116"/>
    </row>
    <row r="70" spans="1:11">
      <c r="A70" s="143"/>
      <c r="B70" s="143"/>
      <c r="C70" s="143"/>
      <c r="D70" s="143"/>
      <c r="E70" s="143"/>
      <c r="F70" s="143"/>
      <c r="G70" s="143"/>
      <c r="H70" s="143"/>
      <c r="I70" s="142"/>
    </row>
    <row r="71" spans="1:11" ht="18.600000000000001">
      <c r="A71" s="163" t="s">
        <v>255</v>
      </c>
      <c r="B71" s="143"/>
      <c r="C71" s="143"/>
      <c r="D71" s="143"/>
      <c r="E71" s="143"/>
      <c r="F71" s="143"/>
      <c r="G71" s="143"/>
      <c r="H71" s="143"/>
      <c r="I71" s="142"/>
    </row>
    <row r="72" spans="1:11">
      <c r="A72" s="163"/>
      <c r="B72" s="143"/>
      <c r="C72" s="143"/>
      <c r="D72" s="143"/>
      <c r="E72" s="143"/>
      <c r="F72" s="143"/>
      <c r="G72" s="143"/>
      <c r="H72" s="143"/>
      <c r="I72" s="142"/>
    </row>
    <row r="73" spans="1:11">
      <c r="A73" s="163"/>
      <c r="B73" s="143"/>
      <c r="C73" s="143"/>
      <c r="D73" s="143"/>
      <c r="E73" s="143"/>
      <c r="F73" s="143"/>
      <c r="G73" s="143"/>
      <c r="H73" s="143"/>
      <c r="I73" s="142"/>
    </row>
    <row r="74" spans="1:11" ht="31.5" customHeight="1">
      <c r="A74" s="481" t="s">
        <v>287</v>
      </c>
      <c r="B74" s="481"/>
      <c r="C74" s="481"/>
      <c r="D74" s="481"/>
      <c r="E74" s="481"/>
      <c r="F74" s="481"/>
      <c r="G74" s="481"/>
      <c r="H74" s="481"/>
      <c r="I74" s="481"/>
    </row>
    <row r="77" spans="1:11" ht="18">
      <c r="A77" s="450" t="s">
        <v>405</v>
      </c>
      <c r="B77" s="444"/>
      <c r="C77" s="444"/>
      <c r="D77" s="444"/>
      <c r="E77" s="444"/>
      <c r="F77" s="444"/>
      <c r="G77" s="444"/>
      <c r="H77" s="444"/>
      <c r="I77" s="444"/>
      <c r="J77" s="444"/>
      <c r="K77" s="444"/>
    </row>
    <row r="78" spans="1:11">
      <c r="A78" s="444"/>
      <c r="B78" s="444"/>
      <c r="C78" s="444"/>
      <c r="D78" s="444"/>
      <c r="E78" s="444"/>
      <c r="F78" s="444"/>
      <c r="G78" s="444"/>
      <c r="H78" s="444"/>
      <c r="I78" s="444"/>
      <c r="J78" s="444"/>
      <c r="K78" s="444"/>
    </row>
    <row r="79" spans="1:11">
      <c r="A79" s="444" t="s">
        <v>406</v>
      </c>
      <c r="B79" s="444"/>
      <c r="C79" s="444"/>
      <c r="D79" s="444"/>
      <c r="E79" s="444"/>
      <c r="F79" s="444"/>
      <c r="G79" s="444"/>
      <c r="H79" s="444"/>
      <c r="I79" s="444"/>
      <c r="J79" s="444"/>
      <c r="K79" s="444"/>
    </row>
    <row r="80" spans="1:11">
      <c r="A80" s="444" t="s">
        <v>407</v>
      </c>
      <c r="B80" s="444"/>
      <c r="C80" s="444"/>
      <c r="D80" s="444"/>
      <c r="E80" s="444"/>
      <c r="F80" s="444"/>
      <c r="G80" s="444"/>
      <c r="H80" s="444"/>
      <c r="I80" s="444"/>
      <c r="J80" s="444"/>
      <c r="K80" s="444"/>
    </row>
    <row r="81" spans="1:11">
      <c r="A81" s="444" t="s">
        <v>411</v>
      </c>
      <c r="B81" s="444"/>
      <c r="C81" s="444"/>
      <c r="D81" s="444"/>
      <c r="E81" s="444"/>
      <c r="F81" s="444"/>
      <c r="G81" s="444"/>
      <c r="H81" s="444"/>
      <c r="I81" s="444"/>
      <c r="J81" s="444"/>
      <c r="K81" s="444"/>
    </row>
    <row r="82" spans="1:11">
      <c r="A82" s="444" t="s">
        <v>408</v>
      </c>
      <c r="B82" s="444"/>
      <c r="C82" s="444"/>
      <c r="D82" s="444"/>
      <c r="E82" s="444"/>
      <c r="F82" s="444"/>
      <c r="G82" s="444"/>
      <c r="H82" s="444"/>
      <c r="I82" s="444"/>
      <c r="J82" s="444"/>
      <c r="K82" s="444"/>
    </row>
    <row r="83" spans="1:11">
      <c r="A83" s="444"/>
      <c r="B83" s="444"/>
      <c r="C83" s="444"/>
      <c r="D83" s="444"/>
      <c r="E83" s="444"/>
      <c r="F83" s="444"/>
      <c r="G83" s="444"/>
      <c r="H83" s="444"/>
      <c r="I83" s="444"/>
      <c r="J83" s="444"/>
      <c r="K83" s="444"/>
    </row>
    <row r="84" spans="1:11">
      <c r="A84" s="444" t="s">
        <v>409</v>
      </c>
      <c r="B84" s="444"/>
      <c r="C84" s="444"/>
      <c r="D84" s="444"/>
      <c r="E84" s="444"/>
      <c r="F84" s="444"/>
      <c r="G84" s="444"/>
      <c r="H84" s="444"/>
      <c r="I84" s="444"/>
      <c r="J84" s="444"/>
      <c r="K84" s="444"/>
    </row>
    <row r="85" spans="1:11">
      <c r="A85" s="444" t="s">
        <v>403</v>
      </c>
      <c r="B85" s="444"/>
      <c r="C85" s="444"/>
      <c r="D85" s="444"/>
      <c r="E85" s="444"/>
      <c r="F85" s="444"/>
      <c r="G85" s="444"/>
      <c r="H85" s="444"/>
      <c r="I85" s="444"/>
      <c r="J85" s="444"/>
      <c r="K85" s="444"/>
    </row>
    <row r="86" spans="1:11">
      <c r="A86" s="444" t="s">
        <v>404</v>
      </c>
      <c r="B86" s="444"/>
      <c r="C86" s="444"/>
      <c r="D86" s="444"/>
      <c r="E86" s="444"/>
      <c r="F86" s="444"/>
      <c r="G86" s="444"/>
      <c r="H86" s="444"/>
      <c r="I86" s="444"/>
      <c r="J86" s="444"/>
      <c r="K86" s="444"/>
    </row>
    <row r="87" spans="1:11">
      <c r="A87" s="444" t="s">
        <v>410</v>
      </c>
      <c r="B87" s="444"/>
      <c r="C87" s="444"/>
      <c r="D87" s="444"/>
      <c r="E87" s="444"/>
      <c r="F87" s="444"/>
      <c r="G87" s="444"/>
      <c r="H87" s="444"/>
      <c r="I87" s="444"/>
      <c r="J87" s="444"/>
      <c r="K87" s="444"/>
    </row>
    <row r="88" spans="1:11">
      <c r="A88" s="444" t="s">
        <v>412</v>
      </c>
      <c r="B88" s="444"/>
      <c r="C88" s="444"/>
      <c r="D88" s="444"/>
      <c r="E88" s="444"/>
      <c r="F88" s="444"/>
      <c r="G88" s="444"/>
      <c r="H88" s="444"/>
      <c r="I88" s="444"/>
      <c r="J88" s="444"/>
      <c r="K88" s="444"/>
    </row>
    <row r="89" spans="1:11">
      <c r="A89" s="444" t="s">
        <v>417</v>
      </c>
      <c r="B89" s="444"/>
      <c r="C89" s="444"/>
      <c r="D89" s="444"/>
      <c r="E89" s="444"/>
      <c r="F89" s="444"/>
      <c r="G89" s="444"/>
      <c r="H89" s="444"/>
      <c r="I89" s="444"/>
      <c r="J89" s="444"/>
      <c r="K89" s="444"/>
    </row>
    <row r="90" spans="1:11">
      <c r="A90" s="444" t="s">
        <v>413</v>
      </c>
      <c r="B90" s="444"/>
      <c r="C90" s="444"/>
      <c r="D90" s="444"/>
      <c r="E90" s="444"/>
      <c r="F90" s="444"/>
      <c r="G90" s="444"/>
      <c r="H90" s="444"/>
      <c r="I90" s="444"/>
      <c r="J90" s="444"/>
      <c r="K90" s="444"/>
    </row>
    <row r="91" spans="1:11">
      <c r="A91" s="451" t="s">
        <v>414</v>
      </c>
      <c r="B91" s="444"/>
      <c r="C91" s="444"/>
      <c r="D91" s="444"/>
      <c r="E91" s="444"/>
      <c r="F91" s="444"/>
      <c r="G91" s="444"/>
      <c r="H91" s="444"/>
      <c r="I91" s="444"/>
      <c r="J91" s="444"/>
      <c r="K91" s="444"/>
    </row>
    <row r="92" spans="1:11">
      <c r="A92" s="451" t="s">
        <v>415</v>
      </c>
      <c r="B92" s="444"/>
      <c r="C92" s="444"/>
      <c r="D92" s="444"/>
      <c r="E92" s="444"/>
      <c r="F92" s="444"/>
      <c r="G92" s="444"/>
      <c r="H92" s="444"/>
      <c r="I92" s="444"/>
      <c r="J92" s="444"/>
      <c r="K92" s="444"/>
    </row>
  </sheetData>
  <sheetProtection sheet="1" objects="1" scenarios="1"/>
  <mergeCells count="10">
    <mergeCell ref="A74:I74"/>
    <mergeCell ref="A46:I49"/>
    <mergeCell ref="A51:I53"/>
    <mergeCell ref="A54:I54"/>
    <mergeCell ref="A66:I67"/>
    <mergeCell ref="A43:I43"/>
    <mergeCell ref="A42:I42"/>
    <mergeCell ref="A44:I44"/>
    <mergeCell ref="A45:I45"/>
    <mergeCell ref="A58:I58"/>
  </mergeCells>
  <pageMargins left="0.7" right="0.7" top="0.75" bottom="0.75" header="0.3" footer="0.3"/>
  <pageSetup orientation="portrait"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42"/>
  <sheetViews>
    <sheetView tabSelected="1" topLeftCell="B1" zoomScaleNormal="100" workbookViewId="0">
      <pane xSplit="5" ySplit="4" topLeftCell="G5" activePane="bottomRight" state="frozen"/>
      <selection activeCell="B1" sqref="B1"/>
      <selection pane="topRight" activeCell="F1" sqref="F1"/>
      <selection pane="bottomLeft" activeCell="B5" sqref="B5"/>
      <selection pane="bottomRight" activeCell="B5" sqref="B5"/>
    </sheetView>
  </sheetViews>
  <sheetFormatPr defaultColWidth="0" defaultRowHeight="15.6" zeroHeight="1"/>
  <cols>
    <col min="1" max="1" width="19.09765625" hidden="1" customWidth="1"/>
    <col min="2" max="2" width="16.59765625" bestFit="1" customWidth="1"/>
    <col min="3" max="3" width="11.8984375" customWidth="1"/>
    <col min="4" max="5" width="12.59765625" customWidth="1"/>
    <col min="6" max="6" width="14.19921875" customWidth="1"/>
    <col min="7" max="7" width="13.3984375" customWidth="1"/>
    <col min="8" max="8" width="13.3984375" hidden="1" customWidth="1"/>
    <col min="9" max="9" width="12.09765625" bestFit="1" customWidth="1"/>
    <col min="10" max="10" width="16.5" bestFit="1" customWidth="1"/>
    <col min="11" max="11" width="15.5" customWidth="1"/>
    <col min="12" max="12" width="13.8984375" bestFit="1" customWidth="1"/>
    <col min="13" max="13" width="14.19921875" bestFit="1" customWidth="1"/>
    <col min="14" max="14" width="11.3984375" bestFit="1" customWidth="1"/>
    <col min="15" max="15" width="12.69921875" bestFit="1" customWidth="1"/>
    <col min="16" max="16" width="12.09765625" bestFit="1" customWidth="1"/>
    <col min="17" max="17" width="1.09765625" customWidth="1"/>
    <col min="18" max="19" width="16.59765625" customWidth="1"/>
    <col min="20" max="20" width="11.19921875" customWidth="1"/>
    <col min="21" max="21" width="1.09765625" customWidth="1"/>
    <col min="22" max="25" width="15" customWidth="1"/>
    <col min="26" max="27" width="15" hidden="1" customWidth="1"/>
    <col min="28" max="28" width="15" customWidth="1"/>
    <col min="29" max="29" width="1.09765625" customWidth="1"/>
    <col min="30" max="33" width="15.3984375" customWidth="1"/>
    <col min="34" max="35" width="15.3984375" hidden="1" customWidth="1"/>
    <col min="36" max="36" width="15.3984375" customWidth="1"/>
    <col min="37" max="37" width="1.09765625" customWidth="1"/>
    <col min="38" max="42" width="14.5" customWidth="1"/>
    <col min="43" max="43" width="1" customWidth="1"/>
    <col min="44" max="44" width="8.5" bestFit="1" customWidth="1"/>
    <col min="45" max="45" width="9.69921875" hidden="1" customWidth="1"/>
    <col min="46" max="46" width="8.5" bestFit="1" customWidth="1"/>
    <col min="47" max="48" width="8.09765625" customWidth="1"/>
    <col min="49" max="49" width="1.09765625" customWidth="1"/>
    <col min="50" max="52" width="12.59765625" customWidth="1"/>
    <col min="53" max="53" width="1.09765625" customWidth="1"/>
    <col min="54" max="56" width="12.59765625" customWidth="1"/>
    <col min="57" max="57" width="1.09765625" customWidth="1"/>
    <col min="58" max="67" width="0" hidden="1" customWidth="1"/>
    <col min="68" max="16384" width="11" hidden="1"/>
  </cols>
  <sheetData>
    <row r="1" spans="1:57" ht="23.4">
      <c r="B1" s="16" t="s">
        <v>75</v>
      </c>
      <c r="V1" s="465" t="s">
        <v>294</v>
      </c>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X1" s="466" t="s">
        <v>318</v>
      </c>
      <c r="AY1" s="466"/>
      <c r="AZ1" s="466"/>
      <c r="BA1" s="466"/>
      <c r="BB1" s="466"/>
      <c r="BC1" s="466"/>
      <c r="BD1" s="466"/>
    </row>
    <row r="2" spans="1:57" ht="15.75" customHeight="1">
      <c r="N2" s="303"/>
      <c r="O2" s="303"/>
      <c r="P2" s="303"/>
      <c r="V2" s="467" t="s">
        <v>125</v>
      </c>
      <c r="W2" s="467"/>
      <c r="X2" s="467"/>
      <c r="Y2" s="467"/>
      <c r="Z2" s="467"/>
      <c r="AA2" s="467"/>
      <c r="AB2" s="467"/>
      <c r="AC2" s="349"/>
      <c r="AD2" s="467" t="s">
        <v>126</v>
      </c>
      <c r="AE2" s="467"/>
      <c r="AF2" s="467"/>
      <c r="AG2" s="467"/>
      <c r="AH2" s="467"/>
      <c r="AI2" s="467"/>
      <c r="AJ2" s="467"/>
      <c r="AK2" s="349"/>
      <c r="AL2" s="468" t="s">
        <v>69</v>
      </c>
      <c r="AM2" s="468"/>
      <c r="AN2" s="468"/>
      <c r="AO2" s="468"/>
      <c r="AP2" s="468"/>
      <c r="AQ2" s="350"/>
      <c r="AR2" s="468" t="s">
        <v>70</v>
      </c>
      <c r="AS2" s="468"/>
      <c r="AT2" s="468"/>
      <c r="AU2" s="468"/>
      <c r="AV2" s="468"/>
      <c r="AX2" s="464" t="s">
        <v>316</v>
      </c>
      <c r="AY2" s="464"/>
      <c r="AZ2" s="464"/>
      <c r="BA2" s="7"/>
      <c r="BB2" s="464" t="s">
        <v>319</v>
      </c>
      <c r="BC2" s="464"/>
      <c r="BD2" s="464"/>
      <c r="BE2" s="7"/>
    </row>
    <row r="3" spans="1:57" ht="64.2" thickBot="1">
      <c r="A3" s="3" t="s">
        <v>109</v>
      </c>
      <c r="B3" s="3" t="s">
        <v>76</v>
      </c>
      <c r="C3" s="3" t="s">
        <v>113</v>
      </c>
      <c r="D3" s="93" t="s">
        <v>119</v>
      </c>
      <c r="E3" s="424" t="s">
        <v>367</v>
      </c>
      <c r="F3" s="93" t="s">
        <v>1</v>
      </c>
      <c r="G3" s="78" t="s">
        <v>303</v>
      </c>
      <c r="H3" s="78" t="s">
        <v>188</v>
      </c>
      <c r="I3" s="78" t="s">
        <v>196</v>
      </c>
      <c r="J3" s="78" t="s">
        <v>192</v>
      </c>
      <c r="K3" s="78" t="s">
        <v>195</v>
      </c>
      <c r="L3" s="78" t="s">
        <v>130</v>
      </c>
      <c r="M3" s="78" t="s">
        <v>120</v>
      </c>
      <c r="N3" s="304" t="s">
        <v>121</v>
      </c>
      <c r="O3" s="78" t="s">
        <v>122</v>
      </c>
      <c r="P3" s="78" t="s">
        <v>179</v>
      </c>
      <c r="Q3" s="14"/>
      <c r="R3" s="78" t="s">
        <v>193</v>
      </c>
      <c r="S3" s="117" t="s">
        <v>194</v>
      </c>
      <c r="T3" s="78" t="s">
        <v>74</v>
      </c>
      <c r="U3" s="14"/>
      <c r="V3" s="126" t="s">
        <v>226</v>
      </c>
      <c r="W3" s="126" t="s">
        <v>227</v>
      </c>
      <c r="X3" s="126" t="s">
        <v>224</v>
      </c>
      <c r="Y3" s="126" t="s">
        <v>225</v>
      </c>
      <c r="Z3" s="144" t="s">
        <v>243</v>
      </c>
      <c r="AA3" s="144" t="s">
        <v>244</v>
      </c>
      <c r="AB3" s="144" t="s">
        <v>237</v>
      </c>
      <c r="AC3" s="9"/>
      <c r="AD3" s="4" t="s">
        <v>226</v>
      </c>
      <c r="AE3" s="4" t="s">
        <v>227</v>
      </c>
      <c r="AF3" s="4" t="s">
        <v>224</v>
      </c>
      <c r="AG3" s="4" t="s">
        <v>225</v>
      </c>
      <c r="AH3" s="144" t="s">
        <v>243</v>
      </c>
      <c r="AI3" s="144" t="s">
        <v>244</v>
      </c>
      <c r="AJ3" s="177" t="s">
        <v>237</v>
      </c>
      <c r="AK3" s="9"/>
      <c r="AL3" s="126" t="s">
        <v>226</v>
      </c>
      <c r="AM3" s="126" t="s">
        <v>227</v>
      </c>
      <c r="AN3" s="126" t="s">
        <v>224</v>
      </c>
      <c r="AO3" s="126" t="s">
        <v>225</v>
      </c>
      <c r="AP3" s="177" t="s">
        <v>237</v>
      </c>
      <c r="AQ3" s="2"/>
      <c r="AR3" s="126" t="s">
        <v>226</v>
      </c>
      <c r="AS3" s="126" t="s">
        <v>227</v>
      </c>
      <c r="AT3" s="126" t="s">
        <v>224</v>
      </c>
      <c r="AU3" s="126" t="s">
        <v>225</v>
      </c>
      <c r="AV3" s="177" t="s">
        <v>237</v>
      </c>
      <c r="AW3" s="14"/>
      <c r="AX3" s="4" t="s">
        <v>180</v>
      </c>
      <c r="AY3" s="4" t="s">
        <v>127</v>
      </c>
      <c r="AZ3" s="4" t="s">
        <v>128</v>
      </c>
      <c r="BA3" s="9"/>
      <c r="BB3" s="4" t="s">
        <v>123</v>
      </c>
      <c r="BC3" s="4" t="s">
        <v>181</v>
      </c>
      <c r="BD3" s="4" t="s">
        <v>182</v>
      </c>
      <c r="BE3" s="9"/>
    </row>
    <row r="4" spans="1:57" ht="17.100000000000001" customHeight="1">
      <c r="A4" s="6" t="s">
        <v>55</v>
      </c>
      <c r="B4" s="6" t="s">
        <v>55</v>
      </c>
      <c r="C4" s="6" t="s">
        <v>55</v>
      </c>
      <c r="D4" s="94" t="s">
        <v>129</v>
      </c>
      <c r="E4" s="188" t="s">
        <v>55</v>
      </c>
      <c r="F4" s="6" t="s">
        <v>55</v>
      </c>
      <c r="G4" s="97" t="s">
        <v>153</v>
      </c>
      <c r="H4" s="97" t="s">
        <v>153</v>
      </c>
      <c r="I4" s="97" t="s">
        <v>153</v>
      </c>
      <c r="J4" s="97" t="s">
        <v>153</v>
      </c>
      <c r="K4" s="97" t="s">
        <v>153</v>
      </c>
      <c r="L4" s="97" t="s">
        <v>153</v>
      </c>
      <c r="M4" s="97" t="s">
        <v>153</v>
      </c>
      <c r="N4" s="97" t="s">
        <v>153</v>
      </c>
      <c r="O4" s="97" t="s">
        <v>153</v>
      </c>
      <c r="P4" s="97" t="s">
        <v>153</v>
      </c>
      <c r="Q4" s="100"/>
      <c r="R4" s="98" t="s">
        <v>56</v>
      </c>
      <c r="S4" s="98" t="s">
        <v>56</v>
      </c>
      <c r="T4" s="98" t="s">
        <v>56</v>
      </c>
      <c r="U4" s="13"/>
      <c r="V4" s="98" t="s">
        <v>56</v>
      </c>
      <c r="W4" s="98" t="s">
        <v>56</v>
      </c>
      <c r="X4" s="98" t="s">
        <v>56</v>
      </c>
      <c r="Y4" s="98" t="s">
        <v>56</v>
      </c>
      <c r="Z4" s="98" t="s">
        <v>56</v>
      </c>
      <c r="AA4" s="98" t="s">
        <v>56</v>
      </c>
      <c r="AB4" s="98" t="s">
        <v>56</v>
      </c>
      <c r="AC4" s="5"/>
      <c r="AD4" s="98" t="s">
        <v>56</v>
      </c>
      <c r="AE4" s="98" t="s">
        <v>56</v>
      </c>
      <c r="AF4" s="98" t="s">
        <v>56</v>
      </c>
      <c r="AG4" s="98" t="s">
        <v>56</v>
      </c>
      <c r="AH4" s="98" t="s">
        <v>56</v>
      </c>
      <c r="AI4" s="98" t="s">
        <v>56</v>
      </c>
      <c r="AJ4" s="98" t="s">
        <v>56</v>
      </c>
      <c r="AK4" s="5"/>
      <c r="AL4" s="99" t="s">
        <v>56</v>
      </c>
      <c r="AM4" s="99" t="s">
        <v>56</v>
      </c>
      <c r="AN4" s="99" t="s">
        <v>56</v>
      </c>
      <c r="AO4" s="99" t="s">
        <v>56</v>
      </c>
      <c r="AP4" s="99" t="s">
        <v>56</v>
      </c>
      <c r="AQ4" s="5"/>
      <c r="AR4" s="99" t="s">
        <v>56</v>
      </c>
      <c r="AS4" s="99" t="s">
        <v>56</v>
      </c>
      <c r="AT4" s="99" t="s">
        <v>56</v>
      </c>
      <c r="AU4" s="99" t="s">
        <v>56</v>
      </c>
      <c r="AV4" s="99" t="s">
        <v>56</v>
      </c>
      <c r="AW4" s="13"/>
      <c r="AX4" s="178" t="s">
        <v>56</v>
      </c>
      <c r="AY4" s="178" t="s">
        <v>56</v>
      </c>
      <c r="AZ4" s="178" t="s">
        <v>56</v>
      </c>
      <c r="BA4" s="101"/>
      <c r="BB4" s="178" t="s">
        <v>56</v>
      </c>
      <c r="BC4" s="178" t="s">
        <v>56</v>
      </c>
      <c r="BD4" s="178" t="s">
        <v>56</v>
      </c>
      <c r="BE4" s="6"/>
    </row>
    <row r="5" spans="1:57">
      <c r="A5" s="103" t="s">
        <v>110</v>
      </c>
      <c r="B5" s="103"/>
      <c r="C5" s="103"/>
      <c r="D5" s="104"/>
      <c r="E5" s="410"/>
      <c r="F5" s="103"/>
      <c r="G5" s="13" t="str">
        <f>IF(OR(ISBLANK($B5),ISBLANK($C5)),"",INDEX('TRU Ops &amp; Costs'!$D$4:$D$74,MATCH($B5&amp;$C5,'TRU Ops &amp; Costs'!$P$4:$P$74,0))/0.7457)</f>
        <v/>
      </c>
      <c r="H5" s="66" t="str">
        <f>IF(OR(ISBLANK($B5),ISBLANK($C5)),"",INDEX('TRU Ops &amp; Costs'!$E$4:$E$74,MATCH($B5&amp;$C5,'TRU Ops &amp; Costs'!$P$4:$P$74,0)))</f>
        <v/>
      </c>
      <c r="I5" s="13" t="str">
        <f>IF(OR(ISBLANK($B5),ISBLANK($C5)),"",INDEX('TRU Ops &amp; Costs'!$F$4:$F$74,MATCH($B5&amp;$C5,'TRU Ops &amp; Costs'!$P$4:$P$74,0)))</f>
        <v/>
      </c>
      <c r="J5" s="65" t="str">
        <f>IF(OR(ISBLANK($B5),ISBLANK($C5)),"",INDEX('TRU Ops &amp; Costs'!$G$4:$G$74,MATCH($B5&amp;$C5,'TRU Ops &amp; Costs'!$P$4:$P$74,0)))</f>
        <v/>
      </c>
      <c r="K5" s="13" t="str">
        <f>IF(OR(ISBLANK($B5),ISBLANK($C5)),"",$I5*$J5)</f>
        <v/>
      </c>
      <c r="L5" s="70" t="str">
        <f>IF(ISBLANK($F5),"",INDEX('Diesel Fuel Prices'!$D$5:$D$31,MATCH($F5,'Diesel Fuel Prices'!$B$5:$B$31,0))*References!$B$38/References!$B$37)</f>
        <v/>
      </c>
      <c r="M5" s="70" t="str">
        <f>IF(ISBLANK($F5),"",VLOOKUP($F5,'Electricity Prices'!$B$4:$F$31,5,FALSE)*References!$B$38/References!$B$37)</f>
        <v/>
      </c>
      <c r="N5" s="71" t="str">
        <f>IF(OR(ISBLANK($B5),ISBLANK($C5)),"",INDEX('TRU Ops &amp; Costs'!$I$4:$I$74,MATCH($B5&amp;$C5,'TRU Ops &amp; Costs'!$P$4:$P$74,0)))</f>
        <v/>
      </c>
      <c r="O5" s="71" t="str">
        <f>IF(OR(ISBLANK($B5),ISBLANK($C5)),"",IF(E5="Yard",INDEX('TRU Ops &amp; Costs'!$J$4:$J$74,MATCH($B5&amp;$C5,'TRU Ops &amp; Costs'!$P$4:$P$74,0)),INDEX('TRU Ops &amp; Costs'!$K$4:$K$74,MATCH($B5&amp;$C5,'TRU Ops &amp; Costs'!$P$4:$P$74,0))))</f>
        <v/>
      </c>
      <c r="P5" s="71" t="str">
        <f>IF(OR(ISBLANK($B5),ISBLANK($C5)),"",$K5*INDEX('TRU Ops &amp; Costs'!$M$4:$M$74,MATCH($B5&amp;$C5,'TRU Ops &amp; Costs'!$P$4:$P$74,0))*-INDEX('TRU Ops &amp; Costs'!$L$4:$L$74,MATCH($B5&amp;$C5,'TRU Ops &amp; Costs'!$P$4:$P$74,0)))</f>
        <v/>
      </c>
      <c r="Q5" s="13"/>
      <c r="R5" s="127" t="str">
        <f t="shared" ref="R5:R40" si="0">IF(OR(ISBLANK($B5),ISBLANK($C5),ISBLANK($D5)),"",$D5*$G5*0.7457*$H5*$K5)</f>
        <v/>
      </c>
      <c r="S5" s="127" t="str">
        <f t="shared" ref="S5:S40" si="1">IF(OR(ISBLANK($B5),ISBLANK($C5),ISBLANK($D5)),"",R5/EfficiencyImprovement)</f>
        <v/>
      </c>
      <c r="T5" s="167" t="str">
        <f>IF(ISBLANK($F5),"",INDEX('eGRID2018 Subregion'!$J$7:$J$33,MATCH($F5,RegionGEN,0)))</f>
        <v/>
      </c>
      <c r="U5" s="13"/>
      <c r="V5" s="202" t="str">
        <f>IF(OR(ISBLANK($B5),ISBLANK($C5),$R5=""),"",ROUND($R5*INDEX('Diesel TRU Emission Factors'!$D$6:$D$76,MATCH($B5&amp;$C5,'Diesel TRU Emission Factors'!$R$6:$R$77,0))*GramsToMT,4))</f>
        <v/>
      </c>
      <c r="W5" s="202" t="str">
        <f>IF(OR(ISBLANK($B5),ISBLANK($C5),$R5=""),"",ROUND($R5*INDEX('Diesel TRU Emission Factors'!$E$6:$E$76,MATCH($B5&amp;$C5,'Diesel TRU Emission Factors'!$R$6:$R$77,0))*GramsToMT,4))</f>
        <v/>
      </c>
      <c r="X5" s="202" t="str">
        <f>IF(OR(ISBLANK($B5),ISBLANK($C5),$R5=""),"",ROUND($R5*INDEX('Diesel TRU Emission Factors'!$H$6:$H$76,MATCH($B5&amp;$C5,'Diesel TRU Emission Factors'!$R$6:$R$77,0))*GramsToMT,4))</f>
        <v/>
      </c>
      <c r="Y5" s="204" t="str">
        <f>IF(OR(ISBLANK($B5),ISBLANK($C5),$R5=""),"",ROUND($R5*INDEX('Diesel TRU Emission Factors'!$F$6:$F$76,MATCH($B5&amp;$C5,'Diesel TRU Emission Factors'!$R$6:$R$77,0))*GramsToMT,1))</f>
        <v/>
      </c>
      <c r="Z5" s="204" t="str">
        <f>IF(OR(ISBLANK($B5),ISBLANK($C5),$R5=""),"",$R5*INDEX('Diesel TRU Emission Factors'!$G$6:$G$76,MATCH($B5&amp;$C5,'Diesel TRU Emission Factors'!$R$6:$R$77,0))*GramsToMT)</f>
        <v/>
      </c>
      <c r="AA5" s="206" t="str">
        <f>IF(ISBLANK(F5),"",R5*GalTokWh*'Diesel TRU Emission Factors'!$P$4/1000000)</f>
        <v/>
      </c>
      <c r="AB5" s="206" t="str">
        <f>IF(ISBLANK($F5),"",ROUND(Y5*References!$B$28+Z5*References!$B$29+'General Calculator'!AA5*References!$B$30,1))</f>
        <v/>
      </c>
      <c r="AC5" s="5"/>
      <c r="AD5" s="202" t="str">
        <f>IF(OR(ISBLANK($F5),$S5="",$T5=""),"",ROUND($S5*(1+$T5)*INDEX('eGRID2018 Subregion'!$C$7:$C$33,MATCH($F5,RegionGEN,0))*GramsToMT,4))</f>
        <v/>
      </c>
      <c r="AE5" s="202" t="str">
        <f>IF(OR(ISBLANK($F5),$S5="",$T5=""),"",ROUND($S5*(1+$T5)*INDEX('eGRID2018 Subregion'!$D$7:$D$33,MATCH($F5,RegionGEN,0))*GramsToMT,4))</f>
        <v/>
      </c>
      <c r="AF5" s="202" t="str">
        <f>IF(OR(ISBLANK($F5),$S5="",$T5=""),"",ROUND($S5*(1+$T5)*INDEX('eGRID2018 Subregion'!$I$7:$I$33,MATCH($F5,RegionGEN,0))*GramsToMT,4))</f>
        <v/>
      </c>
      <c r="AG5" s="204" t="str">
        <f>IF(OR(ISBLANK($F5),$S5="",$T5=""),"",ROUND($S5*(1+$T5)*INDEX('eGRID2018 Subregion'!$E$7:$E$33,MATCH($F5,RegionGEN,0))*GramsToMT,1))</f>
        <v/>
      </c>
      <c r="AH5" s="204" t="str">
        <f>IF(OR(ISBLANK($F5),$S5="",$T5=""),"",$S5*(1+$T5)*INDEX('eGRID2018 Subregion'!$F$7:$F$33,MATCH($F5,RegionGEN,0))*GramsToMT)</f>
        <v/>
      </c>
      <c r="AI5" s="204" t="str">
        <f>IF(OR(ISBLANK($F5),$S5="",$T5=""),"",$S5*(1+$T5)*INDEX('eGRID2018 Subregion'!$G$7:$G$33,MATCH($F5,RegionGEN,0))*GramsToMT)</f>
        <v/>
      </c>
      <c r="AJ5" s="204" t="str">
        <f>IF(ISBLANK($F5),"",ROUND(AG5*References!$B$28+AH5*References!$B$29+'General Calculator'!AI5*References!$B$30,1))</f>
        <v/>
      </c>
      <c r="AK5" s="5"/>
      <c r="AL5" s="202" t="str">
        <f t="shared" ref="AL5:AL40" si="2">IF(OR($V5="",$AD5=""),"",ROUND($AD5-$V5,4))</f>
        <v/>
      </c>
      <c r="AM5" s="202" t="str">
        <f t="shared" ref="AM5:AM40" si="3">IF(OR($W5="",$AE5=""),"",ROUND($AE5-$W5,4))</f>
        <v/>
      </c>
      <c r="AN5" s="202" t="str">
        <f t="shared" ref="AN5:AN40" si="4">IF(OR($X5="",$AF5=""),"",ROUND($AF5-$X5,4))</f>
        <v/>
      </c>
      <c r="AO5" s="204" t="str">
        <f t="shared" ref="AO5:AO40" si="5">IF(OR($Y5="",$AG5=""),"",ROUND($AG5-$Y5,1))</f>
        <v/>
      </c>
      <c r="AP5" s="204" t="str">
        <f t="shared" ref="AP5:AP40" si="6">IF(OR($AB5="",$AJ5=""),"",ROUND($AJ5-$AB5,1))</f>
        <v/>
      </c>
      <c r="AQ5" s="1"/>
      <c r="AR5" s="164" t="str">
        <f t="shared" ref="AR5:AR40" si="7">IF(OR($V5="",$AL5="",$V5=0),"",ROUND($AL5/$V5,2))</f>
        <v/>
      </c>
      <c r="AS5" s="164" t="str">
        <f>IF(OR($W5="",$AM5="",$W5=0),"", $AM5/$W5)</f>
        <v/>
      </c>
      <c r="AT5" s="164" t="str">
        <f t="shared" ref="AT5:AT40" si="8">IF(OR($X5="",$AN5="",$X5=0),"",ROUND($AN5/$X5,2))</f>
        <v/>
      </c>
      <c r="AU5" s="164" t="str">
        <f t="shared" ref="AU5:AU40" si="9">IF(OR($Y5="",$AO5="",$Y5=0),"",ROUND($AO5/$Y5,2))</f>
        <v/>
      </c>
      <c r="AV5" s="164" t="str">
        <f t="shared" ref="AV5:AV40" si="10">IF(OR($AB5="",$AP5="",$AB5=0),"",ROUND($AP5/$AB5,2))</f>
        <v/>
      </c>
      <c r="AW5" s="13"/>
      <c r="AX5" s="180" t="str">
        <f t="shared" ref="AX5:AX40" si="11">IF(OR(ISBLANK($D5),$N5=""),"",$D5*$N5)</f>
        <v/>
      </c>
      <c r="AY5" s="180" t="str">
        <f t="shared" ref="AY5:AY40" si="12">IF(OR(ISBLANK($D5),$O5=""),"",$D5*$O5)</f>
        <v/>
      </c>
      <c r="AZ5" s="180" t="str">
        <f>IF(OR($AX5="",$AY5=""),"",$AX5+$AY5)</f>
        <v/>
      </c>
      <c r="BA5" s="5"/>
      <c r="BB5" s="180" t="str">
        <f t="shared" ref="BB5:BB40" si="13">IF(OR(ISBLANK($D5),$P5=""),"",$D5*$P5)</f>
        <v/>
      </c>
      <c r="BC5" s="180" t="str">
        <f>IF(OR($R5="",$L5="",$M5="",$S5="",$T5=""),"",($R5*$L5*GalTokWh)-($S5*$M5*(1+$T5)))</f>
        <v/>
      </c>
      <c r="BD5" s="180" t="str">
        <f>IF(OR($BB5="",$BC5=""),"",$BB5+$BC5)</f>
        <v/>
      </c>
      <c r="BE5" s="5"/>
    </row>
    <row r="6" spans="1:57">
      <c r="A6" s="105"/>
      <c r="B6" s="105"/>
      <c r="C6" s="105"/>
      <c r="D6" s="106"/>
      <c r="E6" s="411"/>
      <c r="F6" s="105"/>
      <c r="G6" s="13" t="str">
        <f>IF(OR(ISBLANK($B6),ISBLANK($C6)),"",INDEX('TRU Ops &amp; Costs'!$D$4:$D$74,MATCH($B6&amp;$C6,'TRU Ops &amp; Costs'!$P$4:$P$74,0))/0.7457)</f>
        <v/>
      </c>
      <c r="H6" s="66" t="str">
        <f>IF(OR(ISBLANK($B6),ISBLANK($C6)),"",INDEX('TRU Ops &amp; Costs'!$E$4:$E$74,MATCH($B6&amp;$C6,'TRU Ops &amp; Costs'!$P$4:$P$74,0)))</f>
        <v/>
      </c>
      <c r="I6" s="13" t="str">
        <f>IF(OR(ISBLANK($B6),ISBLANK($C6)),"",INDEX('TRU Ops &amp; Costs'!$F$4:$F$74,MATCH($B6&amp;$C6,'TRU Ops &amp; Costs'!$P$4:$P$74,0)))</f>
        <v/>
      </c>
      <c r="J6" s="65" t="str">
        <f>IF(OR(ISBLANK($B6),ISBLANK($C6)),"",INDEX('TRU Ops &amp; Costs'!$G$4:$G$74,MATCH($B6&amp;$C6,'TRU Ops &amp; Costs'!$P$4:$P$74,0)))</f>
        <v/>
      </c>
      <c r="K6" s="13" t="str">
        <f t="shared" ref="K6:K40" si="14">IF(OR(ISBLANK($B6),ISBLANK($C6)),"",$I6*$J6)</f>
        <v/>
      </c>
      <c r="L6" s="70" t="str">
        <f>IF(ISBLANK($F6),"",INDEX('Diesel Fuel Prices'!$D$5:$D$31,MATCH($F6,'Diesel Fuel Prices'!$B$5:$B$31,0))*References!$B$38/References!$B$37)</f>
        <v/>
      </c>
      <c r="M6" s="70" t="str">
        <f>IF(ISBLANK($F6),"",VLOOKUP($F6,'Electricity Prices'!$B$4:$F$31,5,FALSE)*References!$B$38/References!$B$37)</f>
        <v/>
      </c>
      <c r="N6" s="71" t="str">
        <f>IF(OR(ISBLANK($B6),ISBLANK($C6)),"",INDEX('TRU Ops &amp; Costs'!$I$4:$I$74,MATCH($B6&amp;$C6,'TRU Ops &amp; Costs'!$P$4:$P$74,0)))</f>
        <v/>
      </c>
      <c r="O6" s="71" t="str">
        <f>IF(OR(ISBLANK($B6),ISBLANK($C6)),"",IF(E6="Yard",INDEX('TRU Ops &amp; Costs'!$J$4:$J$74,MATCH($B6&amp;$C6,'TRU Ops &amp; Costs'!$P$4:$P$74,0)),INDEX('TRU Ops &amp; Costs'!$K$4:$K$74,MATCH($B6&amp;$C6,'TRU Ops &amp; Costs'!$P$4:$P$74,0))))</f>
        <v/>
      </c>
      <c r="P6" s="71" t="str">
        <f>IF(OR(ISBLANK($B6),ISBLANK($C6)),"",$K6*INDEX('TRU Ops &amp; Costs'!$M$4:$M$74,MATCH($B6&amp;$C6,'TRU Ops &amp; Costs'!$P$4:$P$74,0))*-INDEX('TRU Ops &amp; Costs'!$L$4:$L$74,MATCH($B6&amp;$C6,'TRU Ops &amp; Costs'!$P$4:$P$74,0)))</f>
        <v/>
      </c>
      <c r="Q6" s="13"/>
      <c r="R6" s="128" t="str">
        <f t="shared" si="0"/>
        <v/>
      </c>
      <c r="S6" s="128" t="str">
        <f t="shared" si="1"/>
        <v/>
      </c>
      <c r="T6" s="168" t="str">
        <f>IF(ISBLANK($F6),"",INDEX('eGRID2018 Subregion'!$J$7:$J$33,MATCH($F6,RegionGEN,0)))</f>
        <v/>
      </c>
      <c r="U6" s="13"/>
      <c r="V6" s="203" t="str">
        <f>IF(OR(ISBLANK($B6),ISBLANK($C6),$R6=""),"",ROUND($R6*INDEX('Diesel TRU Emission Factors'!$D$6:$D$76,MATCH($B6&amp;$C6,'Diesel TRU Emission Factors'!$R$6:$R$77,0))*GramsToMT,4))</f>
        <v/>
      </c>
      <c r="W6" s="203" t="str">
        <f>IF(OR(ISBLANK($B6),ISBLANK($C6),$R6=""),"",ROUND($R6*INDEX('Diesel TRU Emission Factors'!$E$6:$E$76,MATCH($B6&amp;$C6,'Diesel TRU Emission Factors'!$R$6:$R$77,0))*GramsToMT,4))</f>
        <v/>
      </c>
      <c r="X6" s="203" t="str">
        <f>IF(OR(ISBLANK($B6),ISBLANK($C6),$R6=""),"",ROUND($R6*INDEX('Diesel TRU Emission Factors'!$H$6:$H$76,MATCH($B6&amp;$C6,'Diesel TRU Emission Factors'!$R$6:$R$77,0))*GramsToMT,4))</f>
        <v/>
      </c>
      <c r="Y6" s="205" t="str">
        <f>IF(OR(ISBLANK($B6),ISBLANK($C6),$R6=""),"",ROUND($R6*INDEX('Diesel TRU Emission Factors'!$F$6:$F$76,MATCH($B6&amp;$C6,'Diesel TRU Emission Factors'!$R$6:$R$77,0))*GramsToMT,1))</f>
        <v/>
      </c>
      <c r="Z6" s="205" t="str">
        <f>IF(OR(ISBLANK($B6),ISBLANK($C6),$R6=""),"",$R6*INDEX('Diesel TRU Emission Factors'!$G$6:$G$76,MATCH($B6&amp;$C6,'Diesel TRU Emission Factors'!$R$6:$R$77,0))*GramsToMT)</f>
        <v/>
      </c>
      <c r="AA6" s="207" t="str">
        <f>IF(ISBLANK(F6),"",R6*GalTokWh*'Diesel TRU Emission Factors'!$P$4/1000000)</f>
        <v/>
      </c>
      <c r="AB6" s="207" t="str">
        <f>IF(ISBLANK($F6),"",ROUND(Y6*References!$B$28+Z6*References!$B$29+'General Calculator'!AA6*References!$B$30,1))</f>
        <v/>
      </c>
      <c r="AC6" s="5"/>
      <c r="AD6" s="203" t="str">
        <f>IF(OR(ISBLANK($F6),$S6="",$T6=""),"",ROUND($S6*(1+$T6)*INDEX('eGRID2018 Subregion'!$C$7:$C$33,MATCH($F6,RegionGEN,0))*GramsToMT,4))</f>
        <v/>
      </c>
      <c r="AE6" s="203" t="str">
        <f>IF(OR(ISBLANK($F6),$S6="",$T6=""),"",ROUND($S6*(1+$T6)*INDEX('eGRID2018 Subregion'!$D$7:$D$33,MATCH($F6,RegionGEN,0))*GramsToMT,4))</f>
        <v/>
      </c>
      <c r="AF6" s="203" t="str">
        <f>IF(OR(ISBLANK($F6),$S6="",$T6=""),"",ROUND($S6*(1+$T6)*INDEX('eGRID2018 Subregion'!$I$7:$I$33,MATCH($F6,RegionGEN,0))*GramsToMT,4))</f>
        <v/>
      </c>
      <c r="AG6" s="205" t="str">
        <f>IF(OR(ISBLANK($F6),$S6="",$T6=""),"",ROUND($S6*(1+$T6)*INDEX('eGRID2018 Subregion'!$E$7:$E$33,MATCH($F6,RegionGEN,0))*GramsToMT,1))</f>
        <v/>
      </c>
      <c r="AH6" s="205" t="str">
        <f>IF(OR(ISBLANK($F6),$S6="",$T6=""),"",$S6*(1+$T6)*INDEX('eGRID2018 Subregion'!$F$7:$F$33,MATCH($F6,RegionGEN,0))*GramsToMT)</f>
        <v/>
      </c>
      <c r="AI6" s="205" t="str">
        <f>IF(OR(ISBLANK($F6),$S6="",$T6=""),"",$S6*(1+$T6)*INDEX('eGRID2018 Subregion'!$G$7:$G$33,MATCH($F6,RegionGEN,0))*GramsToMT)</f>
        <v/>
      </c>
      <c r="AJ6" s="205" t="str">
        <f>IF(ISBLANK($F6),"",ROUND(AG6*References!$B$28+AH6*References!$B$29+'General Calculator'!AI6*References!$B$30,1))</f>
        <v/>
      </c>
      <c r="AK6" s="5"/>
      <c r="AL6" s="203" t="str">
        <f t="shared" si="2"/>
        <v/>
      </c>
      <c r="AM6" s="203" t="str">
        <f t="shared" si="3"/>
        <v/>
      </c>
      <c r="AN6" s="203" t="str">
        <f t="shared" si="4"/>
        <v/>
      </c>
      <c r="AO6" s="205" t="str">
        <f t="shared" si="5"/>
        <v/>
      </c>
      <c r="AP6" s="205" t="str">
        <f t="shared" si="6"/>
        <v/>
      </c>
      <c r="AQ6" s="1"/>
      <c r="AR6" s="165" t="str">
        <f t="shared" si="7"/>
        <v/>
      </c>
      <c r="AS6" s="165" t="str">
        <f t="shared" ref="AS6" si="15">IF(OR(W6="",AM6="",W6=0),"", AM6/W6)</f>
        <v/>
      </c>
      <c r="AT6" s="165" t="str">
        <f t="shared" si="8"/>
        <v/>
      </c>
      <c r="AU6" s="165" t="str">
        <f t="shared" si="9"/>
        <v/>
      </c>
      <c r="AV6" s="165" t="str">
        <f t="shared" si="10"/>
        <v/>
      </c>
      <c r="AW6" s="13"/>
      <c r="AX6" s="179" t="str">
        <f t="shared" si="11"/>
        <v/>
      </c>
      <c r="AY6" s="179" t="str">
        <f t="shared" si="12"/>
        <v/>
      </c>
      <c r="AZ6" s="179" t="str">
        <f t="shared" ref="AZ6:AZ40" si="16">IF(OR($AX6="",$AY6=""),"",$AX6+$AY6)</f>
        <v/>
      </c>
      <c r="BA6" s="5"/>
      <c r="BB6" s="179" t="str">
        <f t="shared" si="13"/>
        <v/>
      </c>
      <c r="BC6" s="179" t="str">
        <f t="shared" ref="BC6:BC40" si="17">IF(OR($R6="",$L6="",$M6="",$S6="",$T6=""),"",($R6*$L6*GalTokWh)-($S6*$M6*(1+$T6)))</f>
        <v/>
      </c>
      <c r="BD6" s="179" t="str">
        <f t="shared" ref="BD6:BD40" si="18">IF(OR($BB6="",$BC6=""),"",$BB6+$BC6)</f>
        <v/>
      </c>
      <c r="BE6" s="5"/>
    </row>
    <row r="7" spans="1:57">
      <c r="A7" s="103"/>
      <c r="B7" s="103"/>
      <c r="C7" s="103"/>
      <c r="D7" s="104"/>
      <c r="E7" s="410"/>
      <c r="F7" s="103"/>
      <c r="G7" s="13" t="str">
        <f>IF(OR(ISBLANK($B7),ISBLANK($C7)),"",INDEX('TRU Ops &amp; Costs'!$D$4:$D$74,MATCH($B7&amp;$C7,'TRU Ops &amp; Costs'!$P$4:$P$74,0))/0.7457)</f>
        <v/>
      </c>
      <c r="H7" s="66" t="str">
        <f>IF(OR(ISBLANK($B7),ISBLANK($C7)),"",INDEX('TRU Ops &amp; Costs'!$E$4:$E$74,MATCH($B7&amp;$C7,'TRU Ops &amp; Costs'!$P$4:$P$74,0)))</f>
        <v/>
      </c>
      <c r="I7" s="13" t="str">
        <f>IF(OR(ISBLANK($B7),ISBLANK($C7)),"",INDEX('TRU Ops &amp; Costs'!$F$4:$F$74,MATCH($B7&amp;$C7,'TRU Ops &amp; Costs'!$P$4:$P$74,0)))</f>
        <v/>
      </c>
      <c r="J7" s="65" t="str">
        <f>IF(OR(ISBLANK($B7),ISBLANK($C7)),"",INDEX('TRU Ops &amp; Costs'!$G$4:$G$74,MATCH($B7&amp;$C7,'TRU Ops &amp; Costs'!$P$4:$P$74,0)))</f>
        <v/>
      </c>
      <c r="K7" s="13" t="str">
        <f t="shared" si="14"/>
        <v/>
      </c>
      <c r="L7" s="70" t="str">
        <f>IF(ISBLANK($F7),"",INDEX('Diesel Fuel Prices'!$D$5:$D$31,MATCH($F7,'Diesel Fuel Prices'!$B$5:$B$31,0))*References!$B$38/References!$B$37)</f>
        <v/>
      </c>
      <c r="M7" s="70" t="str">
        <f>IF(ISBLANK($F7),"",VLOOKUP($F7,'Electricity Prices'!$B$4:$F$31,5,FALSE)*References!$B$38/References!$B$37)</f>
        <v/>
      </c>
      <c r="N7" s="71" t="str">
        <f>IF(OR(ISBLANK($B7),ISBLANK($C7)),"",INDEX('TRU Ops &amp; Costs'!$I$4:$I$74,MATCH($B7&amp;$C7,'TRU Ops &amp; Costs'!$P$4:$P$74,0)))</f>
        <v/>
      </c>
      <c r="O7" s="71" t="str">
        <f>IF(OR(ISBLANK($B7),ISBLANK($C7)),"",IF(E7="Yard",INDEX('TRU Ops &amp; Costs'!$J$4:$J$74,MATCH($B7&amp;$C7,'TRU Ops &amp; Costs'!$P$4:$P$74,0)),INDEX('TRU Ops &amp; Costs'!$K$4:$K$74,MATCH($B7&amp;$C7,'TRU Ops &amp; Costs'!$P$4:$P$74,0))))</f>
        <v/>
      </c>
      <c r="P7" s="71" t="str">
        <f>IF(OR(ISBLANK($B7),ISBLANK($C7)),"",$K7*INDEX('TRU Ops &amp; Costs'!$M$4:$M$74,MATCH($B7&amp;$C7,'TRU Ops &amp; Costs'!$P$4:$P$74,0))*-INDEX('TRU Ops &amp; Costs'!$L$4:$L$74,MATCH($B7&amp;$C7,'TRU Ops &amp; Costs'!$P$4:$P$74,0)))</f>
        <v/>
      </c>
      <c r="Q7" s="13"/>
      <c r="R7" s="127" t="str">
        <f t="shared" si="0"/>
        <v/>
      </c>
      <c r="S7" s="127" t="str">
        <f t="shared" si="1"/>
        <v/>
      </c>
      <c r="T7" s="167" t="str">
        <f>IF(ISBLANK($F7),"",INDEX('eGRID2018 Subregion'!$J$7:$J$33,MATCH($F7,RegionGEN,0)))</f>
        <v/>
      </c>
      <c r="U7" s="13"/>
      <c r="V7" s="202" t="str">
        <f>IF(OR(ISBLANK($B7),ISBLANK($C7),$R7=""),"",ROUND($R7*INDEX('Diesel TRU Emission Factors'!$D$6:$D$76,MATCH($B7&amp;$C7,'Diesel TRU Emission Factors'!$R$6:$R$77,0))*GramsToMT,4))</f>
        <v/>
      </c>
      <c r="W7" s="202" t="str">
        <f>IF(OR(ISBLANK($B7),ISBLANK($C7),$R7=""),"",ROUND($R7*INDEX('Diesel TRU Emission Factors'!$E$6:$E$76,MATCH($B7&amp;$C7,'Diesel TRU Emission Factors'!$R$6:$R$77,0))*GramsToMT,4))</f>
        <v/>
      </c>
      <c r="X7" s="202" t="str">
        <f>IF(OR(ISBLANK($B7),ISBLANK($C7),$R7=""),"",ROUND($R7*INDEX('Diesel TRU Emission Factors'!$H$6:$H$76,MATCH($B7&amp;$C7,'Diesel TRU Emission Factors'!$R$6:$R$77,0))*GramsToMT,4))</f>
        <v/>
      </c>
      <c r="Y7" s="204" t="str">
        <f>IF(OR(ISBLANK($B7),ISBLANK($C7),$R7=""),"",ROUND($R7*INDEX('Diesel TRU Emission Factors'!$F$6:$F$76,MATCH($B7&amp;$C7,'Diesel TRU Emission Factors'!$R$6:$R$77,0))*GramsToMT,1))</f>
        <v/>
      </c>
      <c r="Z7" s="204" t="str">
        <f>IF(OR(ISBLANK($B7),ISBLANK($C7),$R7=""),"",$R7*INDEX('Diesel TRU Emission Factors'!$G$6:$G$76,MATCH($B7&amp;$C7,'Diesel TRU Emission Factors'!$R$6:$R$77,0))*GramsToMT)</f>
        <v/>
      </c>
      <c r="AA7" s="206" t="str">
        <f>IF(ISBLANK(F7),"",R7*GalTokWh*'Diesel TRU Emission Factors'!$P$4/1000000)</f>
        <v/>
      </c>
      <c r="AB7" s="206" t="str">
        <f>IF(ISBLANK($F7),"",ROUND(Y7*References!$B$28+Z7*References!$B$29+'General Calculator'!AA7*References!$B$30,1))</f>
        <v/>
      </c>
      <c r="AC7" s="5"/>
      <c r="AD7" s="202" t="str">
        <f>IF(OR(ISBLANK($F7),$S7="",$T7=""),"",ROUND($S7*(1+$T7)*INDEX('eGRID2018 Subregion'!$C$7:$C$33,MATCH($F7,RegionGEN,0))*GramsToMT,4))</f>
        <v/>
      </c>
      <c r="AE7" s="202" t="str">
        <f>IF(OR(ISBLANK($F7),$S7="",$T7=""),"",ROUND($S7*(1+$T7)*INDEX('eGRID2018 Subregion'!$D$7:$D$33,MATCH($F7,RegionGEN,0))*GramsToMT,4))</f>
        <v/>
      </c>
      <c r="AF7" s="202" t="str">
        <f>IF(OR(ISBLANK($F7),$S7="",$T7=""),"",ROUND($S7*(1+$T7)*INDEX('eGRID2018 Subregion'!$I$7:$I$33,MATCH($F7,RegionGEN,0))*GramsToMT,4))</f>
        <v/>
      </c>
      <c r="AG7" s="204" t="str">
        <f>IF(OR(ISBLANK($F7),$S7="",$T7=""),"",ROUND($S7*(1+$T7)*INDEX('eGRID2018 Subregion'!$E$7:$E$33,MATCH($F7,RegionGEN,0))*GramsToMT,1))</f>
        <v/>
      </c>
      <c r="AH7" s="204" t="str">
        <f>IF(OR(ISBLANK($F7),$S7="",$T7=""),"",$S7*(1+$T7)*INDEX('eGRID2018 Subregion'!$F$7:$F$33,MATCH($F7,RegionGEN,0))*GramsToMT)</f>
        <v/>
      </c>
      <c r="AI7" s="204" t="str">
        <f>IF(OR(ISBLANK($F7),$S7="",$T7=""),"",$S7*(1+$T7)*INDEX('eGRID2018 Subregion'!$G$7:$G$33,MATCH($F7,RegionGEN,0))*GramsToMT)</f>
        <v/>
      </c>
      <c r="AJ7" s="204" t="str">
        <f>IF(ISBLANK($F7),"",ROUND(AG7*References!$B$28+AH7*References!$B$29+'General Calculator'!AI7*References!$B$30,1))</f>
        <v/>
      </c>
      <c r="AK7" s="5"/>
      <c r="AL7" s="202" t="str">
        <f t="shared" si="2"/>
        <v/>
      </c>
      <c r="AM7" s="202" t="str">
        <f t="shared" si="3"/>
        <v/>
      </c>
      <c r="AN7" s="202" t="str">
        <f t="shared" si="4"/>
        <v/>
      </c>
      <c r="AO7" s="204" t="str">
        <f t="shared" si="5"/>
        <v/>
      </c>
      <c r="AP7" s="204" t="str">
        <f t="shared" si="6"/>
        <v/>
      </c>
      <c r="AQ7" s="1"/>
      <c r="AR7" s="164" t="str">
        <f t="shared" si="7"/>
        <v/>
      </c>
      <c r="AS7" s="164" t="str">
        <f>IF(OR($W7="",$AM7="",$W7=0),"", $AM7/$W7)</f>
        <v/>
      </c>
      <c r="AT7" s="164" t="str">
        <f t="shared" si="8"/>
        <v/>
      </c>
      <c r="AU7" s="164" t="str">
        <f t="shared" si="9"/>
        <v/>
      </c>
      <c r="AV7" s="164" t="str">
        <f t="shared" si="10"/>
        <v/>
      </c>
      <c r="AW7" s="13"/>
      <c r="AX7" s="180" t="str">
        <f t="shared" si="11"/>
        <v/>
      </c>
      <c r="AY7" s="180" t="str">
        <f t="shared" si="12"/>
        <v/>
      </c>
      <c r="AZ7" s="180" t="str">
        <f>IF(OR($AX7="",$AY7=""),"",$AX7+$AY7)</f>
        <v/>
      </c>
      <c r="BA7" s="5"/>
      <c r="BB7" s="180" t="str">
        <f t="shared" si="13"/>
        <v/>
      </c>
      <c r="BC7" s="180" t="str">
        <f>IF(OR($R7="",$L7="",$M7="",$S7="",$T7=""),"",($R7*$L7*GalTokWh)-($S7*$M7*(1+$T7)))</f>
        <v/>
      </c>
      <c r="BD7" s="180" t="str">
        <f>IF(OR($BB7="",$BC7=""),"",$BB7+$BC7)</f>
        <v/>
      </c>
      <c r="BE7" s="5"/>
    </row>
    <row r="8" spans="1:57">
      <c r="A8" s="105"/>
      <c r="B8" s="105"/>
      <c r="C8" s="105"/>
      <c r="D8" s="106"/>
      <c r="E8" s="411"/>
      <c r="F8" s="105"/>
      <c r="G8" s="13" t="str">
        <f>IF(OR(ISBLANK($B8),ISBLANK($C8)),"",INDEX('TRU Ops &amp; Costs'!$D$4:$D$74,MATCH($B8&amp;$C8,'TRU Ops &amp; Costs'!$P$4:$P$74,0))/0.7457)</f>
        <v/>
      </c>
      <c r="H8" s="66" t="str">
        <f>IF(OR(ISBLANK($B8),ISBLANK($C8)),"",INDEX('TRU Ops &amp; Costs'!$E$4:$E$74,MATCH($B8&amp;$C8,'TRU Ops &amp; Costs'!$P$4:$P$74,0)))</f>
        <v/>
      </c>
      <c r="I8" s="13" t="str">
        <f>IF(OR(ISBLANK($B8),ISBLANK($C8)),"",INDEX('TRU Ops &amp; Costs'!$F$4:$F$74,MATCH($B8&amp;$C8,'TRU Ops &amp; Costs'!$P$4:$P$74,0)))</f>
        <v/>
      </c>
      <c r="J8" s="65" t="str">
        <f>IF(OR(ISBLANK($B8),ISBLANK($C8)),"",INDEX('TRU Ops &amp; Costs'!$G$4:$G$74,MATCH($B8&amp;$C8,'TRU Ops &amp; Costs'!$P$4:$P$74,0)))</f>
        <v/>
      </c>
      <c r="K8" s="13" t="str">
        <f t="shared" si="14"/>
        <v/>
      </c>
      <c r="L8" s="70" t="str">
        <f>IF(ISBLANK($F8),"",INDEX('Diesel Fuel Prices'!$D$5:$D$31,MATCH($F8,'Diesel Fuel Prices'!$B$5:$B$31,0))*References!$B$38/References!$B$37)</f>
        <v/>
      </c>
      <c r="M8" s="70" t="str">
        <f>IF(ISBLANK($F8),"",VLOOKUP($F8,'Electricity Prices'!$B$4:$F$31,5,FALSE)*References!$B$38/References!$B$37)</f>
        <v/>
      </c>
      <c r="N8" s="71" t="str">
        <f>IF(OR(ISBLANK($B8),ISBLANK($C8)),"",INDEX('TRU Ops &amp; Costs'!$I$4:$I$74,MATCH($B8&amp;$C8,'TRU Ops &amp; Costs'!$P$4:$P$74,0)))</f>
        <v/>
      </c>
      <c r="O8" s="71" t="str">
        <f>IF(OR(ISBLANK($B8),ISBLANK($C8)),"",IF(E8="Yard",INDEX('TRU Ops &amp; Costs'!$J$4:$J$74,MATCH($B8&amp;$C8,'TRU Ops &amp; Costs'!$P$4:$P$74,0)),INDEX('TRU Ops &amp; Costs'!$K$4:$K$74,MATCH($B8&amp;$C8,'TRU Ops &amp; Costs'!$P$4:$P$74,0))))</f>
        <v/>
      </c>
      <c r="P8" s="71" t="str">
        <f>IF(OR(ISBLANK($B8),ISBLANK($C8)),"",$K8*INDEX('TRU Ops &amp; Costs'!$M$4:$M$74,MATCH($B8&amp;$C8,'TRU Ops &amp; Costs'!$P$4:$P$74,0))*-INDEX('TRU Ops &amp; Costs'!$L$4:$L$74,MATCH($B8&amp;$C8,'TRU Ops &amp; Costs'!$P$4:$P$74,0)))</f>
        <v/>
      </c>
      <c r="Q8" s="13"/>
      <c r="R8" s="128" t="str">
        <f t="shared" si="0"/>
        <v/>
      </c>
      <c r="S8" s="128" t="str">
        <f t="shared" si="1"/>
        <v/>
      </c>
      <c r="T8" s="168" t="str">
        <f>IF(ISBLANK($F8),"",INDEX('eGRID2018 Subregion'!$J$7:$J$33,MATCH($F8,RegionGEN,0)))</f>
        <v/>
      </c>
      <c r="U8" s="13"/>
      <c r="V8" s="203" t="str">
        <f>IF(OR(ISBLANK($B8),ISBLANK($C8),$R8=""),"",ROUND($R8*INDEX('Diesel TRU Emission Factors'!$D$6:$D$76,MATCH($B8&amp;$C8,'Diesel TRU Emission Factors'!$R$6:$R$77,0))*GramsToMT,4))</f>
        <v/>
      </c>
      <c r="W8" s="203" t="str">
        <f>IF(OR(ISBLANK($B8),ISBLANK($C8),$R8=""),"",ROUND($R8*INDEX('Diesel TRU Emission Factors'!$E$6:$E$76,MATCH($B8&amp;$C8,'Diesel TRU Emission Factors'!$R$6:$R$77,0))*GramsToMT,4))</f>
        <v/>
      </c>
      <c r="X8" s="203" t="str">
        <f>IF(OR(ISBLANK($B8),ISBLANK($C8),$R8=""),"",ROUND($R8*INDEX('Diesel TRU Emission Factors'!$H$6:$H$76,MATCH($B8&amp;$C8,'Diesel TRU Emission Factors'!$R$6:$R$77,0))*GramsToMT,4))</f>
        <v/>
      </c>
      <c r="Y8" s="205" t="str">
        <f>IF(OR(ISBLANK($B8),ISBLANK($C8),$R8=""),"",ROUND($R8*INDEX('Diesel TRU Emission Factors'!$F$6:$F$76,MATCH($B8&amp;$C8,'Diesel TRU Emission Factors'!$R$6:$R$77,0))*GramsToMT,1))</f>
        <v/>
      </c>
      <c r="Z8" s="205" t="str">
        <f>IF(OR(ISBLANK($B8),ISBLANK($C8),$R8=""),"",$R8*INDEX('Diesel TRU Emission Factors'!$G$6:$G$76,MATCH($B8&amp;$C8,'Diesel TRU Emission Factors'!$R$6:$R$77,0))*GramsToMT)</f>
        <v/>
      </c>
      <c r="AA8" s="207" t="str">
        <f>IF(ISBLANK(F8),"",R8*GalTokWh*'Diesel TRU Emission Factors'!$P$4/1000000)</f>
        <v/>
      </c>
      <c r="AB8" s="207" t="str">
        <f>IF(ISBLANK($F8),"",ROUND(Y8*References!$B$28+Z8*References!$B$29+'General Calculator'!AA8*References!$B$30,1))</f>
        <v/>
      </c>
      <c r="AC8" s="5"/>
      <c r="AD8" s="203" t="str">
        <f>IF(OR(ISBLANK($F8),$S8="",$T8=""),"",ROUND($S8*(1+$T8)*INDEX('eGRID2018 Subregion'!$C$7:$C$33,MATCH($F8,RegionGEN,0))*GramsToMT,4))</f>
        <v/>
      </c>
      <c r="AE8" s="203" t="str">
        <f>IF(OR(ISBLANK($F8),$S8="",$T8=""),"",ROUND($S8*(1+$T8)*INDEX('eGRID2018 Subregion'!$D$7:$D$33,MATCH($F8,RegionGEN,0))*GramsToMT,4))</f>
        <v/>
      </c>
      <c r="AF8" s="203" t="str">
        <f>IF(OR(ISBLANK($F8),$S8="",$T8=""),"",ROUND($S8*(1+$T8)*INDEX('eGRID2018 Subregion'!$I$7:$I$33,MATCH($F8,RegionGEN,0))*GramsToMT,4))</f>
        <v/>
      </c>
      <c r="AG8" s="205" t="str">
        <f>IF(OR(ISBLANK($F8),$S8="",$T8=""),"",ROUND($S8*(1+$T8)*INDEX('eGRID2018 Subregion'!$E$7:$E$33,MATCH($F8,RegionGEN,0))*GramsToMT,1))</f>
        <v/>
      </c>
      <c r="AH8" s="205" t="str">
        <f>IF(OR(ISBLANK($F8),$S8="",$T8=""),"",$S8*(1+$T8)*INDEX('eGRID2018 Subregion'!$F$7:$F$33,MATCH($F8,RegionGEN,0))*GramsToMT)</f>
        <v/>
      </c>
      <c r="AI8" s="205" t="str">
        <f>IF(OR(ISBLANK($F8),$S8="",$T8=""),"",$S8*(1+$T8)*INDEX('eGRID2018 Subregion'!$G$7:$G$33,MATCH($F8,RegionGEN,0))*GramsToMT)</f>
        <v/>
      </c>
      <c r="AJ8" s="205" t="str">
        <f>IF(ISBLANK($F8),"",ROUND(AG8*References!$B$28+AH8*References!$B$29+'General Calculator'!AI8*References!$B$30,1))</f>
        <v/>
      </c>
      <c r="AK8" s="5"/>
      <c r="AL8" s="203" t="str">
        <f t="shared" si="2"/>
        <v/>
      </c>
      <c r="AM8" s="203" t="str">
        <f t="shared" si="3"/>
        <v/>
      </c>
      <c r="AN8" s="203" t="str">
        <f t="shared" si="4"/>
        <v/>
      </c>
      <c r="AO8" s="205" t="str">
        <f t="shared" si="5"/>
        <v/>
      </c>
      <c r="AP8" s="205" t="str">
        <f t="shared" si="6"/>
        <v/>
      </c>
      <c r="AQ8" s="1"/>
      <c r="AR8" s="165" t="str">
        <f t="shared" si="7"/>
        <v/>
      </c>
      <c r="AS8" s="165" t="str">
        <f t="shared" ref="AS8" si="19">IF(OR(W8="",AM8="",W8=0),"", AM8/W8)</f>
        <v/>
      </c>
      <c r="AT8" s="165" t="str">
        <f t="shared" si="8"/>
        <v/>
      </c>
      <c r="AU8" s="165" t="str">
        <f t="shared" si="9"/>
        <v/>
      </c>
      <c r="AV8" s="165" t="str">
        <f t="shared" si="10"/>
        <v/>
      </c>
      <c r="AW8" s="13"/>
      <c r="AX8" s="179" t="str">
        <f t="shared" si="11"/>
        <v/>
      </c>
      <c r="AY8" s="179" t="str">
        <f t="shared" si="12"/>
        <v/>
      </c>
      <c r="AZ8" s="179" t="str">
        <f t="shared" si="16"/>
        <v/>
      </c>
      <c r="BA8" s="5"/>
      <c r="BB8" s="179" t="str">
        <f t="shared" si="13"/>
        <v/>
      </c>
      <c r="BC8" s="179" t="str">
        <f t="shared" si="17"/>
        <v/>
      </c>
      <c r="BD8" s="179" t="str">
        <f t="shared" si="18"/>
        <v/>
      </c>
      <c r="BE8" s="5"/>
    </row>
    <row r="9" spans="1:57">
      <c r="A9" s="103"/>
      <c r="B9" s="103"/>
      <c r="C9" s="103"/>
      <c r="D9" s="104"/>
      <c r="E9" s="410"/>
      <c r="F9" s="103"/>
      <c r="G9" s="13" t="str">
        <f>IF(OR(ISBLANK($B9),ISBLANK($C9)),"",INDEX('TRU Ops &amp; Costs'!$D$4:$D$74,MATCH($B9&amp;$C9,'TRU Ops &amp; Costs'!$P$4:$P$74,0))/0.7457)</f>
        <v/>
      </c>
      <c r="H9" s="66" t="str">
        <f>IF(OR(ISBLANK($B9),ISBLANK($C9)),"",INDEX('TRU Ops &amp; Costs'!$E$4:$E$74,MATCH($B9&amp;$C9,'TRU Ops &amp; Costs'!$P$4:$P$74,0)))</f>
        <v/>
      </c>
      <c r="I9" s="13" t="str">
        <f>IF(OR(ISBLANK($B9),ISBLANK($C9)),"",INDEX('TRU Ops &amp; Costs'!$F$4:$F$74,MATCH($B9&amp;$C9,'TRU Ops &amp; Costs'!$P$4:$P$74,0)))</f>
        <v/>
      </c>
      <c r="J9" s="65" t="str">
        <f>IF(OR(ISBLANK($B9),ISBLANK($C9)),"",INDEX('TRU Ops &amp; Costs'!$G$4:$G$74,MATCH($B9&amp;$C9,'TRU Ops &amp; Costs'!$P$4:$P$74,0)))</f>
        <v/>
      </c>
      <c r="K9" s="13" t="str">
        <f t="shared" si="14"/>
        <v/>
      </c>
      <c r="L9" s="70" t="str">
        <f>IF(ISBLANK($F9),"",INDEX('Diesel Fuel Prices'!$D$5:$D$31,MATCH($F9,'Diesel Fuel Prices'!$B$5:$B$31,0))*References!$B$38/References!$B$37)</f>
        <v/>
      </c>
      <c r="M9" s="70" t="str">
        <f>IF(ISBLANK($F9),"",VLOOKUP($F9,'Electricity Prices'!$B$4:$F$31,5,FALSE)*References!$B$38/References!$B$37)</f>
        <v/>
      </c>
      <c r="N9" s="71" t="str">
        <f>IF(OR(ISBLANK($B9),ISBLANK($C9)),"",INDEX('TRU Ops &amp; Costs'!$I$4:$I$74,MATCH($B9&amp;$C9,'TRU Ops &amp; Costs'!$P$4:$P$74,0)))</f>
        <v/>
      </c>
      <c r="O9" s="71" t="str">
        <f>IF(OR(ISBLANK($B9),ISBLANK($C9)),"",IF(E9="Yard",INDEX('TRU Ops &amp; Costs'!$J$4:$J$74,MATCH($B9&amp;$C9,'TRU Ops &amp; Costs'!$P$4:$P$74,0)),INDEX('TRU Ops &amp; Costs'!$K$4:$K$74,MATCH($B9&amp;$C9,'TRU Ops &amp; Costs'!$P$4:$P$74,0))))</f>
        <v/>
      </c>
      <c r="P9" s="71" t="str">
        <f>IF(OR(ISBLANK($B9),ISBLANK($C9)),"",$K9*INDEX('TRU Ops &amp; Costs'!$M$4:$M$74,MATCH($B9&amp;$C9,'TRU Ops &amp; Costs'!$P$4:$P$74,0))*-INDEX('TRU Ops &amp; Costs'!$L$4:$L$74,MATCH($B9&amp;$C9,'TRU Ops &amp; Costs'!$P$4:$P$74,0)))</f>
        <v/>
      </c>
      <c r="Q9" s="13"/>
      <c r="R9" s="127" t="str">
        <f t="shared" si="0"/>
        <v/>
      </c>
      <c r="S9" s="127" t="str">
        <f t="shared" si="1"/>
        <v/>
      </c>
      <c r="T9" s="167" t="str">
        <f>IF(ISBLANK($F9),"",INDEX('eGRID2018 Subregion'!$J$7:$J$33,MATCH($F9,RegionGEN,0)))</f>
        <v/>
      </c>
      <c r="U9" s="13"/>
      <c r="V9" s="202" t="str">
        <f>IF(OR(ISBLANK($B9),ISBLANK($C9),$R9=""),"",ROUND($R9*INDEX('Diesel TRU Emission Factors'!$D$6:$D$76,MATCH($B9&amp;$C9,'Diesel TRU Emission Factors'!$R$6:$R$77,0))*GramsToMT,4))</f>
        <v/>
      </c>
      <c r="W9" s="202" t="str">
        <f>IF(OR(ISBLANK($B9),ISBLANK($C9),$R9=""),"",ROUND($R9*INDEX('Diesel TRU Emission Factors'!$E$6:$E$76,MATCH($B9&amp;$C9,'Diesel TRU Emission Factors'!$R$6:$R$77,0))*GramsToMT,4))</f>
        <v/>
      </c>
      <c r="X9" s="202" t="str">
        <f>IF(OR(ISBLANK($B9),ISBLANK($C9),$R9=""),"",ROUND($R9*INDEX('Diesel TRU Emission Factors'!$H$6:$H$76,MATCH($B9&amp;$C9,'Diesel TRU Emission Factors'!$R$6:$R$77,0))*GramsToMT,4))</f>
        <v/>
      </c>
      <c r="Y9" s="204" t="str">
        <f>IF(OR(ISBLANK($B9),ISBLANK($C9),$R9=""),"",ROUND($R9*INDEX('Diesel TRU Emission Factors'!$F$6:$F$76,MATCH($B9&amp;$C9,'Diesel TRU Emission Factors'!$R$6:$R$77,0))*GramsToMT,1))</f>
        <v/>
      </c>
      <c r="Z9" s="204" t="str">
        <f>IF(OR(ISBLANK($B9),ISBLANK($C9),$R9=""),"",$R9*INDEX('Diesel TRU Emission Factors'!$G$6:$G$76,MATCH($B9&amp;$C9,'Diesel TRU Emission Factors'!$R$6:$R$77,0))*GramsToMT)</f>
        <v/>
      </c>
      <c r="AA9" s="206" t="str">
        <f>IF(ISBLANK(F9),"",R9*GalTokWh*'Diesel TRU Emission Factors'!$P$4/1000000)</f>
        <v/>
      </c>
      <c r="AB9" s="206" t="str">
        <f>IF(ISBLANK($F9),"",ROUND(Y9*References!$B$28+Z9*References!$B$29+'General Calculator'!AA9*References!$B$30,1))</f>
        <v/>
      </c>
      <c r="AC9" s="5"/>
      <c r="AD9" s="202" t="str">
        <f>IF(OR(ISBLANK($F9),$S9="",$T9=""),"",ROUND($S9*(1+$T9)*INDEX('eGRID2018 Subregion'!$C$7:$C$33,MATCH($F9,RegionGEN,0))*GramsToMT,4))</f>
        <v/>
      </c>
      <c r="AE9" s="202" t="str">
        <f>IF(OR(ISBLANK($F9),$S9="",$T9=""),"",ROUND($S9*(1+$T9)*INDEX('eGRID2018 Subregion'!$D$7:$D$33,MATCH($F9,RegionGEN,0))*GramsToMT,4))</f>
        <v/>
      </c>
      <c r="AF9" s="202" t="str">
        <f>IF(OR(ISBLANK($F9),$S9="",$T9=""),"",ROUND($S9*(1+$T9)*INDEX('eGRID2018 Subregion'!$I$7:$I$33,MATCH($F9,RegionGEN,0))*GramsToMT,4))</f>
        <v/>
      </c>
      <c r="AG9" s="204" t="str">
        <f>IF(OR(ISBLANK($F9),$S9="",$T9=""),"",ROUND($S9*(1+$T9)*INDEX('eGRID2018 Subregion'!$E$7:$E$33,MATCH($F9,RegionGEN,0))*GramsToMT,1))</f>
        <v/>
      </c>
      <c r="AH9" s="204" t="str">
        <f>IF(OR(ISBLANK($F9),$S9="",$T9=""),"",$S9*(1+$T9)*INDEX('eGRID2018 Subregion'!$F$7:$F$33,MATCH($F9,RegionGEN,0))*GramsToMT)</f>
        <v/>
      </c>
      <c r="AI9" s="204" t="str">
        <f>IF(OR(ISBLANK($F9),$S9="",$T9=""),"",$S9*(1+$T9)*INDEX('eGRID2018 Subregion'!$G$7:$G$33,MATCH($F9,RegionGEN,0))*GramsToMT)</f>
        <v/>
      </c>
      <c r="AJ9" s="204" t="str">
        <f>IF(ISBLANK($F9),"",ROUND(AG9*References!$B$28+AH9*References!$B$29+'General Calculator'!AI9*References!$B$30,1))</f>
        <v/>
      </c>
      <c r="AK9" s="5"/>
      <c r="AL9" s="202" t="str">
        <f t="shared" si="2"/>
        <v/>
      </c>
      <c r="AM9" s="202" t="str">
        <f t="shared" si="3"/>
        <v/>
      </c>
      <c r="AN9" s="202" t="str">
        <f t="shared" si="4"/>
        <v/>
      </c>
      <c r="AO9" s="204" t="str">
        <f t="shared" si="5"/>
        <v/>
      </c>
      <c r="AP9" s="204" t="str">
        <f t="shared" si="6"/>
        <v/>
      </c>
      <c r="AQ9" s="1"/>
      <c r="AR9" s="164" t="str">
        <f t="shared" si="7"/>
        <v/>
      </c>
      <c r="AS9" s="164" t="str">
        <f>IF(OR($W9="",$AM9="",$W9=0),"", $AM9/$W9)</f>
        <v/>
      </c>
      <c r="AT9" s="164" t="str">
        <f t="shared" si="8"/>
        <v/>
      </c>
      <c r="AU9" s="164" t="str">
        <f t="shared" si="9"/>
        <v/>
      </c>
      <c r="AV9" s="164" t="str">
        <f t="shared" si="10"/>
        <v/>
      </c>
      <c r="AW9" s="13"/>
      <c r="AX9" s="180" t="str">
        <f t="shared" si="11"/>
        <v/>
      </c>
      <c r="AY9" s="180" t="str">
        <f t="shared" si="12"/>
        <v/>
      </c>
      <c r="AZ9" s="180" t="str">
        <f>IF(OR($AX9="",$AY9=""),"",$AX9+$AY9)</f>
        <v/>
      </c>
      <c r="BA9" s="5"/>
      <c r="BB9" s="180" t="str">
        <f t="shared" si="13"/>
        <v/>
      </c>
      <c r="BC9" s="180" t="str">
        <f>IF(OR($R9="",$L9="",$M9="",$S9="",$T9=""),"",($R9*$L9*GalTokWh)-($S9*$M9*(1+$T9)))</f>
        <v/>
      </c>
      <c r="BD9" s="180" t="str">
        <f>IF(OR($BB9="",$BC9=""),"",$BB9+$BC9)</f>
        <v/>
      </c>
      <c r="BE9" s="5"/>
    </row>
    <row r="10" spans="1:57">
      <c r="A10" s="105"/>
      <c r="B10" s="105"/>
      <c r="C10" s="105"/>
      <c r="D10" s="106"/>
      <c r="E10" s="411"/>
      <c r="F10" s="105"/>
      <c r="G10" s="13" t="str">
        <f>IF(OR(ISBLANK($B10),ISBLANK($C10)),"",INDEX('TRU Ops &amp; Costs'!$D$4:$D$74,MATCH($B10&amp;$C10,'TRU Ops &amp; Costs'!$P$4:$P$74,0))/0.7457)</f>
        <v/>
      </c>
      <c r="H10" s="66" t="str">
        <f>IF(OR(ISBLANK($B10),ISBLANK($C10)),"",INDEX('TRU Ops &amp; Costs'!$E$4:$E$74,MATCH($B10&amp;$C10,'TRU Ops &amp; Costs'!$P$4:$P$74,0)))</f>
        <v/>
      </c>
      <c r="I10" s="13" t="str">
        <f>IF(OR(ISBLANK($B10),ISBLANK($C10)),"",INDEX('TRU Ops &amp; Costs'!$F$4:$F$74,MATCH($B10&amp;$C10,'TRU Ops &amp; Costs'!$P$4:$P$74,0)))</f>
        <v/>
      </c>
      <c r="J10" s="65" t="str">
        <f>IF(OR(ISBLANK($B10),ISBLANK($C10)),"",INDEX('TRU Ops &amp; Costs'!$G$4:$G$74,MATCH($B10&amp;$C10,'TRU Ops &amp; Costs'!$P$4:$P$74,0)))</f>
        <v/>
      </c>
      <c r="K10" s="13" t="str">
        <f t="shared" si="14"/>
        <v/>
      </c>
      <c r="L10" s="70" t="str">
        <f>IF(ISBLANK($F10),"",INDEX('Diesel Fuel Prices'!$D$5:$D$31,MATCH($F10,'Diesel Fuel Prices'!$B$5:$B$31,0))*References!$B$38/References!$B$37)</f>
        <v/>
      </c>
      <c r="M10" s="70" t="str">
        <f>IF(ISBLANK($F10),"",VLOOKUP($F10,'Electricity Prices'!$B$4:$F$31,5,FALSE)*References!$B$38/References!$B$37)</f>
        <v/>
      </c>
      <c r="N10" s="71" t="str">
        <f>IF(OR(ISBLANK($B10),ISBLANK($C10)),"",INDEX('TRU Ops &amp; Costs'!$I$4:$I$74,MATCH($B10&amp;$C10,'TRU Ops &amp; Costs'!$P$4:$P$74,0)))</f>
        <v/>
      </c>
      <c r="O10" s="71" t="str">
        <f>IF(OR(ISBLANK($B10),ISBLANK($C10)),"",IF(E10="Yard",INDEX('TRU Ops &amp; Costs'!$J$4:$J$74,MATCH($B10&amp;$C10,'TRU Ops &amp; Costs'!$P$4:$P$74,0)),INDEX('TRU Ops &amp; Costs'!$K$4:$K$74,MATCH($B10&amp;$C10,'TRU Ops &amp; Costs'!$P$4:$P$74,0))))</f>
        <v/>
      </c>
      <c r="P10" s="71" t="str">
        <f>IF(OR(ISBLANK($B10),ISBLANK($C10)),"",$K10*INDEX('TRU Ops &amp; Costs'!$M$4:$M$74,MATCH($B10&amp;$C10,'TRU Ops &amp; Costs'!$P$4:$P$74,0))*-INDEX('TRU Ops &amp; Costs'!$L$4:$L$74,MATCH($B10&amp;$C10,'TRU Ops &amp; Costs'!$P$4:$P$74,0)))</f>
        <v/>
      </c>
      <c r="Q10" s="13"/>
      <c r="R10" s="128" t="str">
        <f t="shared" si="0"/>
        <v/>
      </c>
      <c r="S10" s="128" t="str">
        <f t="shared" si="1"/>
        <v/>
      </c>
      <c r="T10" s="168" t="str">
        <f>IF(ISBLANK($F10),"",INDEX('eGRID2018 Subregion'!$J$7:$J$33,MATCH($F10,RegionGEN,0)))</f>
        <v/>
      </c>
      <c r="U10" s="13"/>
      <c r="V10" s="203" t="str">
        <f>IF(OR(ISBLANK($B10),ISBLANK($C10),$R10=""),"",ROUND($R10*INDEX('Diesel TRU Emission Factors'!$D$6:$D$76,MATCH($B10&amp;$C10,'Diesel TRU Emission Factors'!$R$6:$R$77,0))*GramsToMT,4))</f>
        <v/>
      </c>
      <c r="W10" s="203" t="str">
        <f>IF(OR(ISBLANK($B10),ISBLANK($C10),$R10=""),"",ROUND($R10*INDEX('Diesel TRU Emission Factors'!$E$6:$E$76,MATCH($B10&amp;$C10,'Diesel TRU Emission Factors'!$R$6:$R$77,0))*GramsToMT,4))</f>
        <v/>
      </c>
      <c r="X10" s="203" t="str">
        <f>IF(OR(ISBLANK($B10),ISBLANK($C10),$R10=""),"",ROUND($R10*INDEX('Diesel TRU Emission Factors'!$H$6:$H$76,MATCH($B10&amp;$C10,'Diesel TRU Emission Factors'!$R$6:$R$77,0))*GramsToMT,4))</f>
        <v/>
      </c>
      <c r="Y10" s="205" t="str">
        <f>IF(OR(ISBLANK($B10),ISBLANK($C10),$R10=""),"",ROUND($R10*INDEX('Diesel TRU Emission Factors'!$F$6:$F$76,MATCH($B10&amp;$C10,'Diesel TRU Emission Factors'!$R$6:$R$77,0))*GramsToMT,1))</f>
        <v/>
      </c>
      <c r="Z10" s="205" t="str">
        <f>IF(OR(ISBLANK($B10),ISBLANK($C10),$R10=""),"",$R10*INDEX('Diesel TRU Emission Factors'!$G$6:$G$76,MATCH($B10&amp;$C10,'Diesel TRU Emission Factors'!$R$6:$R$77,0))*GramsToMT)</f>
        <v/>
      </c>
      <c r="AA10" s="207" t="str">
        <f>IF(ISBLANK(F10),"",R10*GalTokWh*'Diesel TRU Emission Factors'!$P$4/1000000)</f>
        <v/>
      </c>
      <c r="AB10" s="207" t="str">
        <f>IF(ISBLANK($F10),"",ROUND(Y10*References!$B$28+Z10*References!$B$29+'General Calculator'!AA10*References!$B$30,1))</f>
        <v/>
      </c>
      <c r="AC10" s="5"/>
      <c r="AD10" s="203" t="str">
        <f>IF(OR(ISBLANK($F10),$S10="",$T10=""),"",ROUND($S10*(1+$T10)*INDEX('eGRID2018 Subregion'!$C$7:$C$33,MATCH($F10,RegionGEN,0))*GramsToMT,4))</f>
        <v/>
      </c>
      <c r="AE10" s="203" t="str">
        <f>IF(OR(ISBLANK($F10),$S10="",$T10=""),"",ROUND($S10*(1+$T10)*INDEX('eGRID2018 Subregion'!$D$7:$D$33,MATCH($F10,RegionGEN,0))*GramsToMT,4))</f>
        <v/>
      </c>
      <c r="AF10" s="203" t="str">
        <f>IF(OR(ISBLANK($F10),$S10="",$T10=""),"",ROUND($S10*(1+$T10)*INDEX('eGRID2018 Subregion'!$I$7:$I$33,MATCH($F10,RegionGEN,0))*GramsToMT,4))</f>
        <v/>
      </c>
      <c r="AG10" s="205" t="str">
        <f>IF(OR(ISBLANK($F10),$S10="",$T10=""),"",ROUND($S10*(1+$T10)*INDEX('eGRID2018 Subregion'!$E$7:$E$33,MATCH($F10,RegionGEN,0))*GramsToMT,1))</f>
        <v/>
      </c>
      <c r="AH10" s="205" t="str">
        <f>IF(OR(ISBLANK($F10),$S10="",$T10=""),"",$S10*(1+$T10)*INDEX('eGRID2018 Subregion'!$F$7:$F$33,MATCH($F10,RegionGEN,0))*GramsToMT)</f>
        <v/>
      </c>
      <c r="AI10" s="205" t="str">
        <f>IF(OR(ISBLANK($F10),$S10="",$T10=""),"",$S10*(1+$T10)*INDEX('eGRID2018 Subregion'!$G$7:$G$33,MATCH($F10,RegionGEN,0))*GramsToMT)</f>
        <v/>
      </c>
      <c r="AJ10" s="205" t="str">
        <f>IF(ISBLANK($F10),"",ROUND(AG10*References!$B$28+AH10*References!$B$29+'General Calculator'!AI10*References!$B$30,1))</f>
        <v/>
      </c>
      <c r="AK10" s="5"/>
      <c r="AL10" s="203" t="str">
        <f t="shared" si="2"/>
        <v/>
      </c>
      <c r="AM10" s="203" t="str">
        <f t="shared" si="3"/>
        <v/>
      </c>
      <c r="AN10" s="203" t="str">
        <f t="shared" si="4"/>
        <v/>
      </c>
      <c r="AO10" s="205" t="str">
        <f t="shared" si="5"/>
        <v/>
      </c>
      <c r="AP10" s="205" t="str">
        <f t="shared" si="6"/>
        <v/>
      </c>
      <c r="AQ10" s="1"/>
      <c r="AR10" s="165" t="str">
        <f t="shared" si="7"/>
        <v/>
      </c>
      <c r="AS10" s="165" t="str">
        <f t="shared" ref="AS10" si="20">IF(OR(W10="",AM10="",W10=0),"", AM10/W10)</f>
        <v/>
      </c>
      <c r="AT10" s="165" t="str">
        <f t="shared" si="8"/>
        <v/>
      </c>
      <c r="AU10" s="165" t="str">
        <f t="shared" si="9"/>
        <v/>
      </c>
      <c r="AV10" s="165" t="str">
        <f t="shared" si="10"/>
        <v/>
      </c>
      <c r="AW10" s="13"/>
      <c r="AX10" s="179" t="str">
        <f t="shared" si="11"/>
        <v/>
      </c>
      <c r="AY10" s="179" t="str">
        <f t="shared" si="12"/>
        <v/>
      </c>
      <c r="AZ10" s="179" t="str">
        <f t="shared" si="16"/>
        <v/>
      </c>
      <c r="BA10" s="5"/>
      <c r="BB10" s="179" t="str">
        <f t="shared" si="13"/>
        <v/>
      </c>
      <c r="BC10" s="179" t="str">
        <f t="shared" si="17"/>
        <v/>
      </c>
      <c r="BD10" s="179" t="str">
        <f t="shared" si="18"/>
        <v/>
      </c>
      <c r="BE10" s="5"/>
    </row>
    <row r="11" spans="1:57">
      <c r="A11" s="103"/>
      <c r="B11" s="103"/>
      <c r="C11" s="103"/>
      <c r="D11" s="104"/>
      <c r="E11" s="410"/>
      <c r="F11" s="103"/>
      <c r="G11" s="13" t="str">
        <f>IF(OR(ISBLANK($B11),ISBLANK($C11)),"",INDEX('TRU Ops &amp; Costs'!$D$4:$D$74,MATCH($B11&amp;$C11,'TRU Ops &amp; Costs'!$P$4:$P$74,0))/0.7457)</f>
        <v/>
      </c>
      <c r="H11" s="66" t="str">
        <f>IF(OR(ISBLANK($B11),ISBLANK($C11)),"",INDEX('TRU Ops &amp; Costs'!$E$4:$E$74,MATCH($B11&amp;$C11,'TRU Ops &amp; Costs'!$P$4:$P$74,0)))</f>
        <v/>
      </c>
      <c r="I11" s="13" t="str">
        <f>IF(OR(ISBLANK($B11),ISBLANK($C11)),"",INDEX('TRU Ops &amp; Costs'!$F$4:$F$74,MATCH($B11&amp;$C11,'TRU Ops &amp; Costs'!$P$4:$P$74,0)))</f>
        <v/>
      </c>
      <c r="J11" s="65" t="str">
        <f>IF(OR(ISBLANK($B11),ISBLANK($C11)),"",INDEX('TRU Ops &amp; Costs'!$G$4:$G$74,MATCH($B11&amp;$C11,'TRU Ops &amp; Costs'!$P$4:$P$74,0)))</f>
        <v/>
      </c>
      <c r="K11" s="13" t="str">
        <f t="shared" si="14"/>
        <v/>
      </c>
      <c r="L11" s="70" t="str">
        <f>IF(ISBLANK($F11),"",INDEX('Diesel Fuel Prices'!$D$5:$D$31,MATCH($F11,'Diesel Fuel Prices'!$B$5:$B$31,0))*References!$B$38/References!$B$37)</f>
        <v/>
      </c>
      <c r="M11" s="70" t="str">
        <f>IF(ISBLANK($F11),"",VLOOKUP($F11,'Electricity Prices'!$B$4:$F$31,5,FALSE)*References!$B$38/References!$B$37)</f>
        <v/>
      </c>
      <c r="N11" s="71" t="str">
        <f>IF(OR(ISBLANK($B11),ISBLANK($C11)),"",INDEX('TRU Ops &amp; Costs'!$I$4:$I$74,MATCH($B11&amp;$C11,'TRU Ops &amp; Costs'!$P$4:$P$74,0)))</f>
        <v/>
      </c>
      <c r="O11" s="71" t="str">
        <f>IF(OR(ISBLANK($B11),ISBLANK($C11)),"",IF(E11="Yard",INDEX('TRU Ops &amp; Costs'!$J$4:$J$74,MATCH($B11&amp;$C11,'TRU Ops &amp; Costs'!$P$4:$P$74,0)),INDEX('TRU Ops &amp; Costs'!$K$4:$K$74,MATCH($B11&amp;$C11,'TRU Ops &amp; Costs'!$P$4:$P$74,0))))</f>
        <v/>
      </c>
      <c r="P11" s="71" t="str">
        <f>IF(OR(ISBLANK($B11),ISBLANK($C11)),"",$K11*INDEX('TRU Ops &amp; Costs'!$M$4:$M$74,MATCH($B11&amp;$C11,'TRU Ops &amp; Costs'!$P$4:$P$74,0))*-INDEX('TRU Ops &amp; Costs'!$L$4:$L$74,MATCH($B11&amp;$C11,'TRU Ops &amp; Costs'!$P$4:$P$74,0)))</f>
        <v/>
      </c>
      <c r="Q11" s="13"/>
      <c r="R11" s="127" t="str">
        <f t="shared" si="0"/>
        <v/>
      </c>
      <c r="S11" s="127" t="str">
        <f t="shared" si="1"/>
        <v/>
      </c>
      <c r="T11" s="167" t="str">
        <f>IF(ISBLANK($F11),"",INDEX('eGRID2018 Subregion'!$J$7:$J$33,MATCH($F11,RegionGEN,0)))</f>
        <v/>
      </c>
      <c r="U11" s="13"/>
      <c r="V11" s="202" t="str">
        <f>IF(OR(ISBLANK($B11),ISBLANK($C11),$R11=""),"",ROUND($R11*INDEX('Diesel TRU Emission Factors'!$D$6:$D$76,MATCH($B11&amp;$C11,'Diesel TRU Emission Factors'!$R$6:$R$77,0))*GramsToMT,4))</f>
        <v/>
      </c>
      <c r="W11" s="202" t="str">
        <f>IF(OR(ISBLANK($B11),ISBLANK($C11),$R11=""),"",ROUND($R11*INDEX('Diesel TRU Emission Factors'!$E$6:$E$76,MATCH($B11&amp;$C11,'Diesel TRU Emission Factors'!$R$6:$R$77,0))*GramsToMT,4))</f>
        <v/>
      </c>
      <c r="X11" s="202" t="str">
        <f>IF(OR(ISBLANK($B11),ISBLANK($C11),$R11=""),"",ROUND($R11*INDEX('Diesel TRU Emission Factors'!$H$6:$H$76,MATCH($B11&amp;$C11,'Diesel TRU Emission Factors'!$R$6:$R$77,0))*GramsToMT,4))</f>
        <v/>
      </c>
      <c r="Y11" s="204" t="str">
        <f>IF(OR(ISBLANK($B11),ISBLANK($C11),$R11=""),"",ROUND($R11*INDEX('Diesel TRU Emission Factors'!$F$6:$F$76,MATCH($B11&amp;$C11,'Diesel TRU Emission Factors'!$R$6:$R$77,0))*GramsToMT,1))</f>
        <v/>
      </c>
      <c r="Z11" s="204" t="str">
        <f>IF(OR(ISBLANK($B11),ISBLANK($C11),$R11=""),"",$R11*INDEX('Diesel TRU Emission Factors'!$G$6:$G$76,MATCH($B11&amp;$C11,'Diesel TRU Emission Factors'!$R$6:$R$77,0))*GramsToMT)</f>
        <v/>
      </c>
      <c r="AA11" s="206" t="str">
        <f>IF(ISBLANK(F11),"",R11*GalTokWh*'Diesel TRU Emission Factors'!$P$4/1000000)</f>
        <v/>
      </c>
      <c r="AB11" s="206" t="str">
        <f>IF(ISBLANK($F11),"",ROUND(Y11*References!$B$28+Z11*References!$B$29+'General Calculator'!AA11*References!$B$30,1))</f>
        <v/>
      </c>
      <c r="AC11" s="5"/>
      <c r="AD11" s="202" t="str">
        <f>IF(OR(ISBLANK($F11),$S11="",$T11=""),"",ROUND($S11*(1+$T11)*INDEX('eGRID2018 Subregion'!$C$7:$C$33,MATCH($F11,RegionGEN,0))*GramsToMT,4))</f>
        <v/>
      </c>
      <c r="AE11" s="202" t="str">
        <f>IF(OR(ISBLANK($F11),$S11="",$T11=""),"",ROUND($S11*(1+$T11)*INDEX('eGRID2018 Subregion'!$D$7:$D$33,MATCH($F11,RegionGEN,0))*GramsToMT,4))</f>
        <v/>
      </c>
      <c r="AF11" s="202" t="str">
        <f>IF(OR(ISBLANK($F11),$S11="",$T11=""),"",ROUND($S11*(1+$T11)*INDEX('eGRID2018 Subregion'!$I$7:$I$33,MATCH($F11,RegionGEN,0))*GramsToMT,4))</f>
        <v/>
      </c>
      <c r="AG11" s="204" t="str">
        <f>IF(OR(ISBLANK($F11),$S11="",$T11=""),"",ROUND($S11*(1+$T11)*INDEX('eGRID2018 Subregion'!$E$7:$E$33,MATCH($F11,RegionGEN,0))*GramsToMT,1))</f>
        <v/>
      </c>
      <c r="AH11" s="204" t="str">
        <f>IF(OR(ISBLANK($F11),$S11="",$T11=""),"",$S11*(1+$T11)*INDEX('eGRID2018 Subregion'!$F$7:$F$33,MATCH($F11,RegionGEN,0))*GramsToMT)</f>
        <v/>
      </c>
      <c r="AI11" s="204" t="str">
        <f>IF(OR(ISBLANK($F11),$S11="",$T11=""),"",$S11*(1+$T11)*INDEX('eGRID2018 Subregion'!$G$7:$G$33,MATCH($F11,RegionGEN,0))*GramsToMT)</f>
        <v/>
      </c>
      <c r="AJ11" s="204" t="str">
        <f>IF(ISBLANK($F11),"",ROUND(AG11*References!$B$28+AH11*References!$B$29+'General Calculator'!AI11*References!$B$30,1))</f>
        <v/>
      </c>
      <c r="AK11" s="5"/>
      <c r="AL11" s="202" t="str">
        <f t="shared" si="2"/>
        <v/>
      </c>
      <c r="AM11" s="202" t="str">
        <f t="shared" si="3"/>
        <v/>
      </c>
      <c r="AN11" s="202" t="str">
        <f t="shared" si="4"/>
        <v/>
      </c>
      <c r="AO11" s="204" t="str">
        <f t="shared" si="5"/>
        <v/>
      </c>
      <c r="AP11" s="204" t="str">
        <f t="shared" si="6"/>
        <v/>
      </c>
      <c r="AQ11" s="1"/>
      <c r="AR11" s="164" t="str">
        <f t="shared" si="7"/>
        <v/>
      </c>
      <c r="AS11" s="164" t="str">
        <f>IF(OR($W11="",$AM11="",$W11=0),"", $AM11/$W11)</f>
        <v/>
      </c>
      <c r="AT11" s="164" t="str">
        <f t="shared" si="8"/>
        <v/>
      </c>
      <c r="AU11" s="164" t="str">
        <f t="shared" si="9"/>
        <v/>
      </c>
      <c r="AV11" s="164" t="str">
        <f t="shared" si="10"/>
        <v/>
      </c>
      <c r="AW11" s="13"/>
      <c r="AX11" s="180" t="str">
        <f t="shared" si="11"/>
        <v/>
      </c>
      <c r="AY11" s="180" t="str">
        <f t="shared" si="12"/>
        <v/>
      </c>
      <c r="AZ11" s="180" t="str">
        <f>IF(OR($AX11="",$AY11=""),"",$AX11+$AY11)</f>
        <v/>
      </c>
      <c r="BA11" s="5"/>
      <c r="BB11" s="180" t="str">
        <f t="shared" si="13"/>
        <v/>
      </c>
      <c r="BC11" s="180" t="str">
        <f>IF(OR($R11="",$L11="",$M11="",$S11="",$T11=""),"",($R11*$L11*GalTokWh)-($S11*$M11*(1+$T11)))</f>
        <v/>
      </c>
      <c r="BD11" s="180" t="str">
        <f>IF(OR($BB11="",$BC11=""),"",$BB11+$BC11)</f>
        <v/>
      </c>
      <c r="BE11" s="5"/>
    </row>
    <row r="12" spans="1:57">
      <c r="A12" s="105"/>
      <c r="B12" s="105"/>
      <c r="C12" s="105"/>
      <c r="D12" s="106"/>
      <c r="E12" s="411"/>
      <c r="F12" s="105"/>
      <c r="G12" s="13" t="str">
        <f>IF(OR(ISBLANK($B12),ISBLANK($C12)),"",INDEX('TRU Ops &amp; Costs'!$D$4:$D$74,MATCH($B12&amp;$C12,'TRU Ops &amp; Costs'!$P$4:$P$74,0))/0.7457)</f>
        <v/>
      </c>
      <c r="H12" s="66" t="str">
        <f>IF(OR(ISBLANK($B12),ISBLANK($C12)),"",INDEX('TRU Ops &amp; Costs'!$E$4:$E$74,MATCH($B12&amp;$C12,'TRU Ops &amp; Costs'!$P$4:$P$74,0)))</f>
        <v/>
      </c>
      <c r="I12" s="13" t="str">
        <f>IF(OR(ISBLANK($B12),ISBLANK($C12)),"",INDEX('TRU Ops &amp; Costs'!$F$4:$F$74,MATCH($B12&amp;$C12,'TRU Ops &amp; Costs'!$P$4:$P$74,0)))</f>
        <v/>
      </c>
      <c r="J12" s="65" t="str">
        <f>IF(OR(ISBLANK($B12),ISBLANK($C12)),"",INDEX('TRU Ops &amp; Costs'!$G$4:$G$74,MATCH($B12&amp;$C12,'TRU Ops &amp; Costs'!$P$4:$P$74,0)))</f>
        <v/>
      </c>
      <c r="K12" s="13" t="str">
        <f t="shared" si="14"/>
        <v/>
      </c>
      <c r="L12" s="70" t="str">
        <f>IF(ISBLANK($F12),"",INDEX('Diesel Fuel Prices'!$D$5:$D$31,MATCH($F12,'Diesel Fuel Prices'!$B$5:$B$31,0))*References!$B$38/References!$B$37)</f>
        <v/>
      </c>
      <c r="M12" s="70" t="str">
        <f>IF(ISBLANK($F12),"",VLOOKUP($F12,'Electricity Prices'!$B$4:$F$31,5,FALSE)*References!$B$38/References!$B$37)</f>
        <v/>
      </c>
      <c r="N12" s="71" t="str">
        <f>IF(OR(ISBLANK($B12),ISBLANK($C12)),"",INDEX('TRU Ops &amp; Costs'!$I$4:$I$74,MATCH($B12&amp;$C12,'TRU Ops &amp; Costs'!$P$4:$P$74,0)))</f>
        <v/>
      </c>
      <c r="O12" s="71" t="str">
        <f>IF(OR(ISBLANK($B12),ISBLANK($C12)),"",IF(E12="Yard",INDEX('TRU Ops &amp; Costs'!$J$4:$J$74,MATCH($B12&amp;$C12,'TRU Ops &amp; Costs'!$P$4:$P$74,0)),INDEX('TRU Ops &amp; Costs'!$K$4:$K$74,MATCH($B12&amp;$C12,'TRU Ops &amp; Costs'!$P$4:$P$74,0))))</f>
        <v/>
      </c>
      <c r="P12" s="71" t="str">
        <f>IF(OR(ISBLANK($B12),ISBLANK($C12)),"",$K12*INDEX('TRU Ops &amp; Costs'!$M$4:$M$74,MATCH($B12&amp;$C12,'TRU Ops &amp; Costs'!$P$4:$P$74,0))*-INDEX('TRU Ops &amp; Costs'!$L$4:$L$74,MATCH($B12&amp;$C12,'TRU Ops &amp; Costs'!$P$4:$P$74,0)))</f>
        <v/>
      </c>
      <c r="Q12" s="13"/>
      <c r="R12" s="128" t="str">
        <f t="shared" si="0"/>
        <v/>
      </c>
      <c r="S12" s="128" t="str">
        <f t="shared" si="1"/>
        <v/>
      </c>
      <c r="T12" s="168" t="str">
        <f>IF(ISBLANK($F12),"",INDEX('eGRID2018 Subregion'!$J$7:$J$33,MATCH($F12,RegionGEN,0)))</f>
        <v/>
      </c>
      <c r="U12" s="13"/>
      <c r="V12" s="203" t="str">
        <f>IF(OR(ISBLANK($B12),ISBLANK($C12),$R12=""),"",ROUND($R12*INDEX('Diesel TRU Emission Factors'!$D$6:$D$76,MATCH($B12&amp;$C12,'Diesel TRU Emission Factors'!$R$6:$R$77,0))*GramsToMT,4))</f>
        <v/>
      </c>
      <c r="W12" s="203" t="str">
        <f>IF(OR(ISBLANK($B12),ISBLANK($C12),$R12=""),"",ROUND($R12*INDEX('Diesel TRU Emission Factors'!$E$6:$E$76,MATCH($B12&amp;$C12,'Diesel TRU Emission Factors'!$R$6:$R$77,0))*GramsToMT,4))</f>
        <v/>
      </c>
      <c r="X12" s="203" t="str">
        <f>IF(OR(ISBLANK($B12),ISBLANK($C12),$R12=""),"",ROUND($R12*INDEX('Diesel TRU Emission Factors'!$H$6:$H$76,MATCH($B12&amp;$C12,'Diesel TRU Emission Factors'!$R$6:$R$77,0))*GramsToMT,4))</f>
        <v/>
      </c>
      <c r="Y12" s="205" t="str">
        <f>IF(OR(ISBLANK($B12),ISBLANK($C12),$R12=""),"",ROUND($R12*INDEX('Diesel TRU Emission Factors'!$F$6:$F$76,MATCH($B12&amp;$C12,'Diesel TRU Emission Factors'!$R$6:$R$77,0))*GramsToMT,1))</f>
        <v/>
      </c>
      <c r="Z12" s="205" t="str">
        <f>IF(OR(ISBLANK($B12),ISBLANK($C12),$R12=""),"",$R12*INDEX('Diesel TRU Emission Factors'!$G$6:$G$76,MATCH($B12&amp;$C12,'Diesel TRU Emission Factors'!$R$6:$R$77,0))*GramsToMT)</f>
        <v/>
      </c>
      <c r="AA12" s="207" t="str">
        <f>IF(ISBLANK(F12),"",R12*GalTokWh*'Diesel TRU Emission Factors'!$P$4/1000000)</f>
        <v/>
      </c>
      <c r="AB12" s="207" t="str">
        <f>IF(ISBLANK($F12),"",ROUND(Y12*References!$B$28+Z12*References!$B$29+'General Calculator'!AA12*References!$B$30,1))</f>
        <v/>
      </c>
      <c r="AC12" s="5"/>
      <c r="AD12" s="203" t="str">
        <f>IF(OR(ISBLANK($F12),$S12="",$T12=""),"",ROUND($S12*(1+$T12)*INDEX('eGRID2018 Subregion'!$C$7:$C$33,MATCH($F12,RegionGEN,0))*GramsToMT,4))</f>
        <v/>
      </c>
      <c r="AE12" s="203" t="str">
        <f>IF(OR(ISBLANK($F12),$S12="",$T12=""),"",ROUND($S12*(1+$T12)*INDEX('eGRID2018 Subregion'!$D$7:$D$33,MATCH($F12,RegionGEN,0))*GramsToMT,4))</f>
        <v/>
      </c>
      <c r="AF12" s="203" t="str">
        <f>IF(OR(ISBLANK($F12),$S12="",$T12=""),"",ROUND($S12*(1+$T12)*INDEX('eGRID2018 Subregion'!$I$7:$I$33,MATCH($F12,RegionGEN,0))*GramsToMT,4))</f>
        <v/>
      </c>
      <c r="AG12" s="205" t="str">
        <f>IF(OR(ISBLANK($F12),$S12="",$T12=""),"",ROUND($S12*(1+$T12)*INDEX('eGRID2018 Subregion'!$E$7:$E$33,MATCH($F12,RegionGEN,0))*GramsToMT,1))</f>
        <v/>
      </c>
      <c r="AH12" s="205" t="str">
        <f>IF(OR(ISBLANK($F12),$S12="",$T12=""),"",$S12*(1+$T12)*INDEX('eGRID2018 Subregion'!$F$7:$F$33,MATCH($F12,RegionGEN,0))*GramsToMT)</f>
        <v/>
      </c>
      <c r="AI12" s="205" t="str">
        <f>IF(OR(ISBLANK($F12),$S12="",$T12=""),"",$S12*(1+$T12)*INDEX('eGRID2018 Subregion'!$G$7:$G$33,MATCH($F12,RegionGEN,0))*GramsToMT)</f>
        <v/>
      </c>
      <c r="AJ12" s="205" t="str">
        <f>IF(ISBLANK($F12),"",ROUND(AG12*References!$B$28+AH12*References!$B$29+'General Calculator'!AI12*References!$B$30,1))</f>
        <v/>
      </c>
      <c r="AK12" s="5"/>
      <c r="AL12" s="203" t="str">
        <f t="shared" si="2"/>
        <v/>
      </c>
      <c r="AM12" s="203" t="str">
        <f t="shared" si="3"/>
        <v/>
      </c>
      <c r="AN12" s="203" t="str">
        <f t="shared" si="4"/>
        <v/>
      </c>
      <c r="AO12" s="205" t="str">
        <f t="shared" si="5"/>
        <v/>
      </c>
      <c r="AP12" s="205" t="str">
        <f t="shared" si="6"/>
        <v/>
      </c>
      <c r="AQ12" s="1"/>
      <c r="AR12" s="165" t="str">
        <f t="shared" si="7"/>
        <v/>
      </c>
      <c r="AS12" s="165" t="str">
        <f t="shared" ref="AS12" si="21">IF(OR(W12="",AM12="",W12=0),"", AM12/W12)</f>
        <v/>
      </c>
      <c r="AT12" s="165" t="str">
        <f t="shared" si="8"/>
        <v/>
      </c>
      <c r="AU12" s="165" t="str">
        <f t="shared" si="9"/>
        <v/>
      </c>
      <c r="AV12" s="165" t="str">
        <f t="shared" si="10"/>
        <v/>
      </c>
      <c r="AW12" s="13"/>
      <c r="AX12" s="179" t="str">
        <f t="shared" si="11"/>
        <v/>
      </c>
      <c r="AY12" s="179" t="str">
        <f t="shared" si="12"/>
        <v/>
      </c>
      <c r="AZ12" s="179" t="str">
        <f t="shared" si="16"/>
        <v/>
      </c>
      <c r="BA12" s="5"/>
      <c r="BB12" s="179" t="str">
        <f t="shared" si="13"/>
        <v/>
      </c>
      <c r="BC12" s="179" t="str">
        <f t="shared" si="17"/>
        <v/>
      </c>
      <c r="BD12" s="179" t="str">
        <f t="shared" si="18"/>
        <v/>
      </c>
      <c r="BE12" s="5"/>
    </row>
    <row r="13" spans="1:57">
      <c r="A13" s="103"/>
      <c r="B13" s="103"/>
      <c r="C13" s="103"/>
      <c r="D13" s="104"/>
      <c r="E13" s="410"/>
      <c r="F13" s="103"/>
      <c r="G13" s="13" t="str">
        <f>IF(OR(ISBLANK($B13),ISBLANK($C13)),"",INDEX('TRU Ops &amp; Costs'!$D$4:$D$74,MATCH($B13&amp;$C13,'TRU Ops &amp; Costs'!$P$4:$P$74,0))/0.7457)</f>
        <v/>
      </c>
      <c r="H13" s="66" t="str">
        <f>IF(OR(ISBLANK($B13),ISBLANK($C13)),"",INDEX('TRU Ops &amp; Costs'!$E$4:$E$74,MATCH($B13&amp;$C13,'TRU Ops &amp; Costs'!$P$4:$P$74,0)))</f>
        <v/>
      </c>
      <c r="I13" s="13" t="str">
        <f>IF(OR(ISBLANK($B13),ISBLANK($C13)),"",INDEX('TRU Ops &amp; Costs'!$F$4:$F$74,MATCH($B13&amp;$C13,'TRU Ops &amp; Costs'!$P$4:$P$74,0)))</f>
        <v/>
      </c>
      <c r="J13" s="65" t="str">
        <f>IF(OR(ISBLANK($B13),ISBLANK($C13)),"",INDEX('TRU Ops &amp; Costs'!$G$4:$G$74,MATCH($B13&amp;$C13,'TRU Ops &amp; Costs'!$P$4:$P$74,0)))</f>
        <v/>
      </c>
      <c r="K13" s="13" t="str">
        <f t="shared" si="14"/>
        <v/>
      </c>
      <c r="L13" s="70" t="str">
        <f>IF(ISBLANK($F13),"",INDEX('Diesel Fuel Prices'!$D$5:$D$31,MATCH($F13,'Diesel Fuel Prices'!$B$5:$B$31,0))*References!$B$38/References!$B$37)</f>
        <v/>
      </c>
      <c r="M13" s="70" t="str">
        <f>IF(ISBLANK($F13),"",VLOOKUP($F13,'Electricity Prices'!$B$4:$F$31,5,FALSE)*References!$B$38/References!$B$37)</f>
        <v/>
      </c>
      <c r="N13" s="71" t="str">
        <f>IF(OR(ISBLANK($B13),ISBLANK($C13)),"",INDEX('TRU Ops &amp; Costs'!$I$4:$I$74,MATCH($B13&amp;$C13,'TRU Ops &amp; Costs'!$P$4:$P$74,0)))</f>
        <v/>
      </c>
      <c r="O13" s="71" t="str">
        <f>IF(OR(ISBLANK($B13),ISBLANK($C13)),"",IF(E13="Yard",INDEX('TRU Ops &amp; Costs'!$J$4:$J$74,MATCH($B13&amp;$C13,'TRU Ops &amp; Costs'!$P$4:$P$74,0)),INDEX('TRU Ops &amp; Costs'!$K$4:$K$74,MATCH($B13&amp;$C13,'TRU Ops &amp; Costs'!$P$4:$P$74,0))))</f>
        <v/>
      </c>
      <c r="P13" s="71" t="str">
        <f>IF(OR(ISBLANK($B13),ISBLANK($C13)),"",$K13*INDEX('TRU Ops &amp; Costs'!$M$4:$M$74,MATCH($B13&amp;$C13,'TRU Ops &amp; Costs'!$P$4:$P$74,0))*-INDEX('TRU Ops &amp; Costs'!$L$4:$L$74,MATCH($B13&amp;$C13,'TRU Ops &amp; Costs'!$P$4:$P$74,0)))</f>
        <v/>
      </c>
      <c r="Q13" s="13"/>
      <c r="R13" s="127" t="str">
        <f t="shared" si="0"/>
        <v/>
      </c>
      <c r="S13" s="127" t="str">
        <f t="shared" si="1"/>
        <v/>
      </c>
      <c r="T13" s="167" t="str">
        <f>IF(ISBLANK($F13),"",INDEX('eGRID2018 Subregion'!$J$7:$J$33,MATCH($F13,RegionGEN,0)))</f>
        <v/>
      </c>
      <c r="U13" s="13"/>
      <c r="V13" s="202" t="str">
        <f>IF(OR(ISBLANK($B13),ISBLANK($C13),$R13=""),"",ROUND($R13*INDEX('Diesel TRU Emission Factors'!$D$6:$D$76,MATCH($B13&amp;$C13,'Diesel TRU Emission Factors'!$R$6:$R$77,0))*GramsToMT,4))</f>
        <v/>
      </c>
      <c r="W13" s="202" t="str">
        <f>IF(OR(ISBLANK($B13),ISBLANK($C13),$R13=""),"",ROUND($R13*INDEX('Diesel TRU Emission Factors'!$E$6:$E$76,MATCH($B13&amp;$C13,'Diesel TRU Emission Factors'!$R$6:$R$77,0))*GramsToMT,4))</f>
        <v/>
      </c>
      <c r="X13" s="202" t="str">
        <f>IF(OR(ISBLANK($B13),ISBLANK($C13),$R13=""),"",ROUND($R13*INDEX('Diesel TRU Emission Factors'!$H$6:$H$76,MATCH($B13&amp;$C13,'Diesel TRU Emission Factors'!$R$6:$R$77,0))*GramsToMT,4))</f>
        <v/>
      </c>
      <c r="Y13" s="204" t="str">
        <f>IF(OR(ISBLANK($B13),ISBLANK($C13),$R13=""),"",ROUND($R13*INDEX('Diesel TRU Emission Factors'!$F$6:$F$76,MATCH($B13&amp;$C13,'Diesel TRU Emission Factors'!$R$6:$R$77,0))*GramsToMT,1))</f>
        <v/>
      </c>
      <c r="Z13" s="204" t="str">
        <f>IF(OR(ISBLANK($B13),ISBLANK($C13),$R13=""),"",$R13*INDEX('Diesel TRU Emission Factors'!$G$6:$G$76,MATCH($B13&amp;$C13,'Diesel TRU Emission Factors'!$R$6:$R$77,0))*GramsToMT)</f>
        <v/>
      </c>
      <c r="AA13" s="206" t="str">
        <f>IF(ISBLANK(F13),"",R13*GalTokWh*'Diesel TRU Emission Factors'!$P$4/1000000)</f>
        <v/>
      </c>
      <c r="AB13" s="206" t="str">
        <f>IF(ISBLANK($F13),"",ROUND(Y13*References!$B$28+Z13*References!$B$29+'General Calculator'!AA13*References!$B$30,1))</f>
        <v/>
      </c>
      <c r="AC13" s="5"/>
      <c r="AD13" s="202" t="str">
        <f>IF(OR(ISBLANK($F13),$S13="",$T13=""),"",ROUND($S13*(1+$T13)*INDEX('eGRID2018 Subregion'!$C$7:$C$33,MATCH($F13,RegionGEN,0))*GramsToMT,4))</f>
        <v/>
      </c>
      <c r="AE13" s="202" t="str">
        <f>IF(OR(ISBLANK($F13),$S13="",$T13=""),"",ROUND($S13*(1+$T13)*INDEX('eGRID2018 Subregion'!$D$7:$D$33,MATCH($F13,RegionGEN,0))*GramsToMT,4))</f>
        <v/>
      </c>
      <c r="AF13" s="202" t="str">
        <f>IF(OR(ISBLANK($F13),$S13="",$T13=""),"",ROUND($S13*(1+$T13)*INDEX('eGRID2018 Subregion'!$I$7:$I$33,MATCH($F13,RegionGEN,0))*GramsToMT,4))</f>
        <v/>
      </c>
      <c r="AG13" s="204" t="str">
        <f>IF(OR(ISBLANK($F13),$S13="",$T13=""),"",ROUND($S13*(1+$T13)*INDEX('eGRID2018 Subregion'!$E$7:$E$33,MATCH($F13,RegionGEN,0))*GramsToMT,1))</f>
        <v/>
      </c>
      <c r="AH13" s="204" t="str">
        <f>IF(OR(ISBLANK($F13),$S13="",$T13=""),"",$S13*(1+$T13)*INDEX('eGRID2018 Subregion'!$F$7:$F$33,MATCH($F13,RegionGEN,0))*GramsToMT)</f>
        <v/>
      </c>
      <c r="AI13" s="204" t="str">
        <f>IF(OR(ISBLANK($F13),$S13="",$T13=""),"",$S13*(1+$T13)*INDEX('eGRID2018 Subregion'!$G$7:$G$33,MATCH($F13,RegionGEN,0))*GramsToMT)</f>
        <v/>
      </c>
      <c r="AJ13" s="204" t="str">
        <f>IF(ISBLANK($F13),"",ROUND(AG13*References!$B$28+AH13*References!$B$29+'General Calculator'!AI13*References!$B$30,1))</f>
        <v/>
      </c>
      <c r="AK13" s="5"/>
      <c r="AL13" s="202" t="str">
        <f t="shared" si="2"/>
        <v/>
      </c>
      <c r="AM13" s="202" t="str">
        <f t="shared" si="3"/>
        <v/>
      </c>
      <c r="AN13" s="202" t="str">
        <f t="shared" si="4"/>
        <v/>
      </c>
      <c r="AO13" s="204" t="str">
        <f t="shared" si="5"/>
        <v/>
      </c>
      <c r="AP13" s="204" t="str">
        <f t="shared" si="6"/>
        <v/>
      </c>
      <c r="AQ13" s="1"/>
      <c r="AR13" s="164" t="str">
        <f t="shared" si="7"/>
        <v/>
      </c>
      <c r="AS13" s="164" t="str">
        <f>IF(OR($W13="",$AM13="",$W13=0),"", $AM13/$W13)</f>
        <v/>
      </c>
      <c r="AT13" s="164" t="str">
        <f t="shared" si="8"/>
        <v/>
      </c>
      <c r="AU13" s="164" t="str">
        <f t="shared" si="9"/>
        <v/>
      </c>
      <c r="AV13" s="164" t="str">
        <f t="shared" si="10"/>
        <v/>
      </c>
      <c r="AW13" s="13"/>
      <c r="AX13" s="180" t="str">
        <f t="shared" si="11"/>
        <v/>
      </c>
      <c r="AY13" s="180" t="str">
        <f t="shared" si="12"/>
        <v/>
      </c>
      <c r="AZ13" s="180" t="str">
        <f>IF(OR($AX13="",$AY13=""),"",$AX13+$AY13)</f>
        <v/>
      </c>
      <c r="BA13" s="5"/>
      <c r="BB13" s="180" t="str">
        <f t="shared" si="13"/>
        <v/>
      </c>
      <c r="BC13" s="180" t="str">
        <f>IF(OR($R13="",$L13="",$M13="",$S13="",$T13=""),"",($R13*$L13*GalTokWh)-($S13*$M13*(1+$T13)))</f>
        <v/>
      </c>
      <c r="BD13" s="180" t="str">
        <f>IF(OR($BB13="",$BC13=""),"",$BB13+$BC13)</f>
        <v/>
      </c>
      <c r="BE13" s="5"/>
    </row>
    <row r="14" spans="1:57">
      <c r="A14" s="105"/>
      <c r="B14" s="105"/>
      <c r="C14" s="105"/>
      <c r="D14" s="106"/>
      <c r="E14" s="411"/>
      <c r="F14" s="105"/>
      <c r="G14" s="13" t="str">
        <f>IF(OR(ISBLANK($B14),ISBLANK($C14)),"",INDEX('TRU Ops &amp; Costs'!$D$4:$D$74,MATCH($B14&amp;$C14,'TRU Ops &amp; Costs'!$P$4:$P$74,0))/0.7457)</f>
        <v/>
      </c>
      <c r="H14" s="66" t="str">
        <f>IF(OR(ISBLANK($B14),ISBLANK($C14)),"",INDEX('TRU Ops &amp; Costs'!$E$4:$E$74,MATCH($B14&amp;$C14,'TRU Ops &amp; Costs'!$P$4:$P$74,0)))</f>
        <v/>
      </c>
      <c r="I14" s="13" t="str">
        <f>IF(OR(ISBLANK($B14),ISBLANK($C14)),"",INDEX('TRU Ops &amp; Costs'!$F$4:$F$74,MATCH($B14&amp;$C14,'TRU Ops &amp; Costs'!$P$4:$P$74,0)))</f>
        <v/>
      </c>
      <c r="J14" s="65" t="str">
        <f>IF(OR(ISBLANK($B14),ISBLANK($C14)),"",INDEX('TRU Ops &amp; Costs'!$G$4:$G$74,MATCH($B14&amp;$C14,'TRU Ops &amp; Costs'!$P$4:$P$74,0)))</f>
        <v/>
      </c>
      <c r="K14" s="13" t="str">
        <f t="shared" si="14"/>
        <v/>
      </c>
      <c r="L14" s="70" t="str">
        <f>IF(ISBLANK($F14),"",INDEX('Diesel Fuel Prices'!$D$5:$D$31,MATCH($F14,'Diesel Fuel Prices'!$B$5:$B$31,0))*References!$B$38/References!$B$37)</f>
        <v/>
      </c>
      <c r="M14" s="70" t="str">
        <f>IF(ISBLANK($F14),"",VLOOKUP($F14,'Electricity Prices'!$B$4:$F$31,5,FALSE)*References!$B$38/References!$B$37)</f>
        <v/>
      </c>
      <c r="N14" s="71" t="str">
        <f>IF(OR(ISBLANK($B14),ISBLANK($C14)),"",INDEX('TRU Ops &amp; Costs'!$I$4:$I$74,MATCH($B14&amp;$C14,'TRU Ops &amp; Costs'!$P$4:$P$74,0)))</f>
        <v/>
      </c>
      <c r="O14" s="71" t="str">
        <f>IF(OR(ISBLANK($B14),ISBLANK($C14)),"",IF(E14="Yard",INDEX('TRU Ops &amp; Costs'!$J$4:$J$74,MATCH($B14&amp;$C14,'TRU Ops &amp; Costs'!$P$4:$P$74,0)),INDEX('TRU Ops &amp; Costs'!$K$4:$K$74,MATCH($B14&amp;$C14,'TRU Ops &amp; Costs'!$P$4:$P$74,0))))</f>
        <v/>
      </c>
      <c r="P14" s="71" t="str">
        <f>IF(OR(ISBLANK($B14),ISBLANK($C14)),"",$K14*INDEX('TRU Ops &amp; Costs'!$M$4:$M$74,MATCH($B14&amp;$C14,'TRU Ops &amp; Costs'!$P$4:$P$74,0))*-INDEX('TRU Ops &amp; Costs'!$L$4:$L$74,MATCH($B14&amp;$C14,'TRU Ops &amp; Costs'!$P$4:$P$74,0)))</f>
        <v/>
      </c>
      <c r="Q14" s="13"/>
      <c r="R14" s="128" t="str">
        <f t="shared" si="0"/>
        <v/>
      </c>
      <c r="S14" s="128" t="str">
        <f t="shared" si="1"/>
        <v/>
      </c>
      <c r="T14" s="168" t="str">
        <f>IF(ISBLANK($F14),"",INDEX('eGRID2018 Subregion'!$J$7:$J$33,MATCH($F14,RegionGEN,0)))</f>
        <v/>
      </c>
      <c r="U14" s="13"/>
      <c r="V14" s="203" t="str">
        <f>IF(OR(ISBLANK($B14),ISBLANK($C14),$R14=""),"",ROUND($R14*INDEX('Diesel TRU Emission Factors'!$D$6:$D$76,MATCH($B14&amp;$C14,'Diesel TRU Emission Factors'!$R$6:$R$77,0))*GramsToMT,4))</f>
        <v/>
      </c>
      <c r="W14" s="203" t="str">
        <f>IF(OR(ISBLANK($B14),ISBLANK($C14),$R14=""),"",ROUND($R14*INDEX('Diesel TRU Emission Factors'!$E$6:$E$76,MATCH($B14&amp;$C14,'Diesel TRU Emission Factors'!$R$6:$R$77,0))*GramsToMT,4))</f>
        <v/>
      </c>
      <c r="X14" s="203" t="str">
        <f>IF(OR(ISBLANK($B14),ISBLANK($C14),$R14=""),"",ROUND($R14*INDEX('Diesel TRU Emission Factors'!$H$6:$H$76,MATCH($B14&amp;$C14,'Diesel TRU Emission Factors'!$R$6:$R$77,0))*GramsToMT,4))</f>
        <v/>
      </c>
      <c r="Y14" s="205" t="str">
        <f>IF(OR(ISBLANK($B14),ISBLANK($C14),$R14=""),"",ROUND($R14*INDEX('Diesel TRU Emission Factors'!$F$6:$F$76,MATCH($B14&amp;$C14,'Diesel TRU Emission Factors'!$R$6:$R$77,0))*GramsToMT,1))</f>
        <v/>
      </c>
      <c r="Z14" s="205" t="str">
        <f>IF(OR(ISBLANK($B14),ISBLANK($C14),$R14=""),"",$R14*INDEX('Diesel TRU Emission Factors'!$G$6:$G$76,MATCH($B14&amp;$C14,'Diesel TRU Emission Factors'!$R$6:$R$77,0))*GramsToMT)</f>
        <v/>
      </c>
      <c r="AA14" s="207" t="str">
        <f>IF(ISBLANK(F14),"",R14*GalTokWh*'Diesel TRU Emission Factors'!$P$4/1000000)</f>
        <v/>
      </c>
      <c r="AB14" s="207" t="str">
        <f>IF(ISBLANK($F14),"",ROUND(Y14*References!$B$28+Z14*References!$B$29+'General Calculator'!AA14*References!$B$30,1))</f>
        <v/>
      </c>
      <c r="AC14" s="5"/>
      <c r="AD14" s="203" t="str">
        <f>IF(OR(ISBLANK($F14),$S14="",$T14=""),"",ROUND($S14*(1+$T14)*INDEX('eGRID2018 Subregion'!$C$7:$C$33,MATCH($F14,RegionGEN,0))*GramsToMT,4))</f>
        <v/>
      </c>
      <c r="AE14" s="203" t="str">
        <f>IF(OR(ISBLANK($F14),$S14="",$T14=""),"",ROUND($S14*(1+$T14)*INDEX('eGRID2018 Subregion'!$D$7:$D$33,MATCH($F14,RegionGEN,0))*GramsToMT,4))</f>
        <v/>
      </c>
      <c r="AF14" s="203" t="str">
        <f>IF(OR(ISBLANK($F14),$S14="",$T14=""),"",ROUND($S14*(1+$T14)*INDEX('eGRID2018 Subregion'!$I$7:$I$33,MATCH($F14,RegionGEN,0))*GramsToMT,4))</f>
        <v/>
      </c>
      <c r="AG14" s="205" t="str">
        <f>IF(OR(ISBLANK($F14),$S14="",$T14=""),"",ROUND($S14*(1+$T14)*INDEX('eGRID2018 Subregion'!$E$7:$E$33,MATCH($F14,RegionGEN,0))*GramsToMT,1))</f>
        <v/>
      </c>
      <c r="AH14" s="205" t="str">
        <f>IF(OR(ISBLANK($F14),$S14="",$T14=""),"",$S14*(1+$T14)*INDEX('eGRID2018 Subregion'!$F$7:$F$33,MATCH($F14,RegionGEN,0))*GramsToMT)</f>
        <v/>
      </c>
      <c r="AI14" s="205" t="str">
        <f>IF(OR(ISBLANK($F14),$S14="",$T14=""),"",$S14*(1+$T14)*INDEX('eGRID2018 Subregion'!$G$7:$G$33,MATCH($F14,RegionGEN,0))*GramsToMT)</f>
        <v/>
      </c>
      <c r="AJ14" s="205" t="str">
        <f>IF(ISBLANK($F14),"",ROUND(AG14*References!$B$28+AH14*References!$B$29+'General Calculator'!AI14*References!$B$30,1))</f>
        <v/>
      </c>
      <c r="AK14" s="5"/>
      <c r="AL14" s="203" t="str">
        <f t="shared" si="2"/>
        <v/>
      </c>
      <c r="AM14" s="203" t="str">
        <f t="shared" si="3"/>
        <v/>
      </c>
      <c r="AN14" s="203" t="str">
        <f t="shared" si="4"/>
        <v/>
      </c>
      <c r="AO14" s="205" t="str">
        <f t="shared" si="5"/>
        <v/>
      </c>
      <c r="AP14" s="205" t="str">
        <f t="shared" si="6"/>
        <v/>
      </c>
      <c r="AQ14" s="1"/>
      <c r="AR14" s="165" t="str">
        <f t="shared" si="7"/>
        <v/>
      </c>
      <c r="AS14" s="165" t="str">
        <f t="shared" ref="AS14" si="22">IF(OR(W14="",AM14="",W14=0),"", AM14/W14)</f>
        <v/>
      </c>
      <c r="AT14" s="165" t="str">
        <f t="shared" si="8"/>
        <v/>
      </c>
      <c r="AU14" s="165" t="str">
        <f t="shared" si="9"/>
        <v/>
      </c>
      <c r="AV14" s="165" t="str">
        <f t="shared" si="10"/>
        <v/>
      </c>
      <c r="AW14" s="13"/>
      <c r="AX14" s="179" t="str">
        <f t="shared" si="11"/>
        <v/>
      </c>
      <c r="AY14" s="179" t="str">
        <f t="shared" si="12"/>
        <v/>
      </c>
      <c r="AZ14" s="179" t="str">
        <f t="shared" si="16"/>
        <v/>
      </c>
      <c r="BA14" s="5"/>
      <c r="BB14" s="179" t="str">
        <f t="shared" si="13"/>
        <v/>
      </c>
      <c r="BC14" s="179" t="str">
        <f t="shared" si="17"/>
        <v/>
      </c>
      <c r="BD14" s="179" t="str">
        <f t="shared" si="18"/>
        <v/>
      </c>
      <c r="BE14" s="5"/>
    </row>
    <row r="15" spans="1:57">
      <c r="A15" s="103"/>
      <c r="B15" s="103"/>
      <c r="C15" s="103"/>
      <c r="D15" s="104"/>
      <c r="E15" s="410"/>
      <c r="F15" s="103"/>
      <c r="G15" s="13" t="str">
        <f>IF(OR(ISBLANK($B15),ISBLANK($C15)),"",INDEX('TRU Ops &amp; Costs'!$D$4:$D$74,MATCH($B15&amp;$C15,'TRU Ops &amp; Costs'!$P$4:$P$74,0))/0.7457)</f>
        <v/>
      </c>
      <c r="H15" s="66" t="str">
        <f>IF(OR(ISBLANK($B15),ISBLANK($C15)),"",INDEX('TRU Ops &amp; Costs'!$E$4:$E$74,MATCH($B15&amp;$C15,'TRU Ops &amp; Costs'!$P$4:$P$74,0)))</f>
        <v/>
      </c>
      <c r="I15" s="13" t="str">
        <f>IF(OR(ISBLANK($B15),ISBLANK($C15)),"",INDEX('TRU Ops &amp; Costs'!$F$4:$F$74,MATCH($B15&amp;$C15,'TRU Ops &amp; Costs'!$P$4:$P$74,0)))</f>
        <v/>
      </c>
      <c r="J15" s="65" t="str">
        <f>IF(OR(ISBLANK($B15),ISBLANK($C15)),"",INDEX('TRU Ops &amp; Costs'!$G$4:$G$74,MATCH($B15&amp;$C15,'TRU Ops &amp; Costs'!$P$4:$P$74,0)))</f>
        <v/>
      </c>
      <c r="K15" s="13" t="str">
        <f t="shared" si="14"/>
        <v/>
      </c>
      <c r="L15" s="70" t="str">
        <f>IF(ISBLANK($F15),"",INDEX('Diesel Fuel Prices'!$D$5:$D$31,MATCH($F15,'Diesel Fuel Prices'!$B$5:$B$31,0))*References!$B$38/References!$B$37)</f>
        <v/>
      </c>
      <c r="M15" s="70" t="str">
        <f>IF(ISBLANK($F15),"",VLOOKUP($F15,'Electricity Prices'!$B$4:$F$31,5,FALSE)*References!$B$38/References!$B$37)</f>
        <v/>
      </c>
      <c r="N15" s="71" t="str">
        <f>IF(OR(ISBLANK($B15),ISBLANK($C15)),"",INDEX('TRU Ops &amp; Costs'!$I$4:$I$74,MATCH($B15&amp;$C15,'TRU Ops &amp; Costs'!$P$4:$P$74,0)))</f>
        <v/>
      </c>
      <c r="O15" s="71" t="str">
        <f>IF(OR(ISBLANK($B15),ISBLANK($C15)),"",IF(E15="Yard",INDEX('TRU Ops &amp; Costs'!$J$4:$J$74,MATCH($B15&amp;$C15,'TRU Ops &amp; Costs'!$P$4:$P$74,0)),INDEX('TRU Ops &amp; Costs'!$K$4:$K$74,MATCH($B15&amp;$C15,'TRU Ops &amp; Costs'!$P$4:$P$74,0))))</f>
        <v/>
      </c>
      <c r="P15" s="71" t="str">
        <f>IF(OR(ISBLANK($B15),ISBLANK($C15)),"",$K15*INDEX('TRU Ops &amp; Costs'!$M$4:$M$74,MATCH($B15&amp;$C15,'TRU Ops &amp; Costs'!$P$4:$P$74,0))*-INDEX('TRU Ops &amp; Costs'!$L$4:$L$74,MATCH($B15&amp;$C15,'TRU Ops &amp; Costs'!$P$4:$P$74,0)))</f>
        <v/>
      </c>
      <c r="Q15" s="13"/>
      <c r="R15" s="127" t="str">
        <f t="shared" si="0"/>
        <v/>
      </c>
      <c r="S15" s="127" t="str">
        <f t="shared" si="1"/>
        <v/>
      </c>
      <c r="T15" s="167" t="str">
        <f>IF(ISBLANK($F15),"",INDEX('eGRID2018 Subregion'!$J$7:$J$33,MATCH($F15,RegionGEN,0)))</f>
        <v/>
      </c>
      <c r="U15" s="13"/>
      <c r="V15" s="202" t="str">
        <f>IF(OR(ISBLANK($B15),ISBLANK($C15),$R15=""),"",ROUND($R15*INDEX('Diesel TRU Emission Factors'!$D$6:$D$76,MATCH($B15&amp;$C15,'Diesel TRU Emission Factors'!$R$6:$R$77,0))*GramsToMT,4))</f>
        <v/>
      </c>
      <c r="W15" s="202" t="str">
        <f>IF(OR(ISBLANK($B15),ISBLANK($C15),$R15=""),"",ROUND($R15*INDEX('Diesel TRU Emission Factors'!$E$6:$E$76,MATCH($B15&amp;$C15,'Diesel TRU Emission Factors'!$R$6:$R$77,0))*GramsToMT,4))</f>
        <v/>
      </c>
      <c r="X15" s="202" t="str">
        <f>IF(OR(ISBLANK($B15),ISBLANK($C15),$R15=""),"",ROUND($R15*INDEX('Diesel TRU Emission Factors'!$H$6:$H$76,MATCH($B15&amp;$C15,'Diesel TRU Emission Factors'!$R$6:$R$77,0))*GramsToMT,4))</f>
        <v/>
      </c>
      <c r="Y15" s="204" t="str">
        <f>IF(OR(ISBLANK($B15),ISBLANK($C15),$R15=""),"",ROUND($R15*INDEX('Diesel TRU Emission Factors'!$F$6:$F$76,MATCH($B15&amp;$C15,'Diesel TRU Emission Factors'!$R$6:$R$77,0))*GramsToMT,1))</f>
        <v/>
      </c>
      <c r="Z15" s="204" t="str">
        <f>IF(OR(ISBLANK($B15),ISBLANK($C15),$R15=""),"",$R15*INDEX('Diesel TRU Emission Factors'!$G$6:$G$76,MATCH($B15&amp;$C15,'Diesel TRU Emission Factors'!$R$6:$R$77,0))*GramsToMT)</f>
        <v/>
      </c>
      <c r="AA15" s="206" t="str">
        <f>IF(ISBLANK(F15),"",R15*GalTokWh*'Diesel TRU Emission Factors'!$P$4/1000000)</f>
        <v/>
      </c>
      <c r="AB15" s="206" t="str">
        <f>IF(ISBLANK($F15),"",ROUND(Y15*References!$B$28+Z15*References!$B$29+'General Calculator'!AA15*References!$B$30,1))</f>
        <v/>
      </c>
      <c r="AC15" s="5"/>
      <c r="AD15" s="202" t="str">
        <f>IF(OR(ISBLANK($F15),$S15="",$T15=""),"",ROUND($S15*(1+$T15)*INDEX('eGRID2018 Subregion'!$C$7:$C$33,MATCH($F15,RegionGEN,0))*GramsToMT,4))</f>
        <v/>
      </c>
      <c r="AE15" s="202" t="str">
        <f>IF(OR(ISBLANK($F15),$S15="",$T15=""),"",ROUND($S15*(1+$T15)*INDEX('eGRID2018 Subregion'!$D$7:$D$33,MATCH($F15,RegionGEN,0))*GramsToMT,4))</f>
        <v/>
      </c>
      <c r="AF15" s="202" t="str">
        <f>IF(OR(ISBLANK($F15),$S15="",$T15=""),"",ROUND($S15*(1+$T15)*INDEX('eGRID2018 Subregion'!$I$7:$I$33,MATCH($F15,RegionGEN,0))*GramsToMT,4))</f>
        <v/>
      </c>
      <c r="AG15" s="204" t="str">
        <f>IF(OR(ISBLANK($F15),$S15="",$T15=""),"",ROUND($S15*(1+$T15)*INDEX('eGRID2018 Subregion'!$E$7:$E$33,MATCH($F15,RegionGEN,0))*GramsToMT,1))</f>
        <v/>
      </c>
      <c r="AH15" s="204" t="str">
        <f>IF(OR(ISBLANK($F15),$S15="",$T15=""),"",$S15*(1+$T15)*INDEX('eGRID2018 Subregion'!$F$7:$F$33,MATCH($F15,RegionGEN,0))*GramsToMT)</f>
        <v/>
      </c>
      <c r="AI15" s="204" t="str">
        <f>IF(OR(ISBLANK($F15),$S15="",$T15=""),"",$S15*(1+$T15)*INDEX('eGRID2018 Subregion'!$G$7:$G$33,MATCH($F15,RegionGEN,0))*GramsToMT)</f>
        <v/>
      </c>
      <c r="AJ15" s="204" t="str">
        <f>IF(ISBLANK($F15),"",ROUND(AG15*References!$B$28+AH15*References!$B$29+'General Calculator'!AI15*References!$B$30,1))</f>
        <v/>
      </c>
      <c r="AK15" s="5"/>
      <c r="AL15" s="202" t="str">
        <f t="shared" si="2"/>
        <v/>
      </c>
      <c r="AM15" s="202" t="str">
        <f t="shared" si="3"/>
        <v/>
      </c>
      <c r="AN15" s="202" t="str">
        <f t="shared" si="4"/>
        <v/>
      </c>
      <c r="AO15" s="204" t="str">
        <f t="shared" si="5"/>
        <v/>
      </c>
      <c r="AP15" s="204" t="str">
        <f t="shared" si="6"/>
        <v/>
      </c>
      <c r="AQ15" s="1"/>
      <c r="AR15" s="164" t="str">
        <f t="shared" si="7"/>
        <v/>
      </c>
      <c r="AS15" s="164" t="str">
        <f>IF(OR($W15="",$AM15="",$W15=0),"", $AM15/$W15)</f>
        <v/>
      </c>
      <c r="AT15" s="164" t="str">
        <f t="shared" si="8"/>
        <v/>
      </c>
      <c r="AU15" s="164" t="str">
        <f t="shared" si="9"/>
        <v/>
      </c>
      <c r="AV15" s="164" t="str">
        <f t="shared" si="10"/>
        <v/>
      </c>
      <c r="AW15" s="13"/>
      <c r="AX15" s="180" t="str">
        <f t="shared" si="11"/>
        <v/>
      </c>
      <c r="AY15" s="180" t="str">
        <f t="shared" si="12"/>
        <v/>
      </c>
      <c r="AZ15" s="180" t="str">
        <f>IF(OR($AX15="",$AY15=""),"",$AX15+$AY15)</f>
        <v/>
      </c>
      <c r="BA15" s="5"/>
      <c r="BB15" s="180" t="str">
        <f t="shared" si="13"/>
        <v/>
      </c>
      <c r="BC15" s="180" t="str">
        <f>IF(OR($R15="",$L15="",$M15="",$S15="",$T15=""),"",($R15*$L15*GalTokWh)-($S15*$M15*(1+$T15)))</f>
        <v/>
      </c>
      <c r="BD15" s="180" t="str">
        <f>IF(OR($BB15="",$BC15=""),"",$BB15+$BC15)</f>
        <v/>
      </c>
      <c r="BE15" s="5"/>
    </row>
    <row r="16" spans="1:57">
      <c r="A16" s="105"/>
      <c r="B16" s="105"/>
      <c r="C16" s="105"/>
      <c r="D16" s="106"/>
      <c r="E16" s="411"/>
      <c r="F16" s="105"/>
      <c r="G16" s="13" t="str">
        <f>IF(OR(ISBLANK($B16),ISBLANK($C16)),"",INDEX('TRU Ops &amp; Costs'!$D$4:$D$74,MATCH($B16&amp;$C16,'TRU Ops &amp; Costs'!$P$4:$P$74,0))/0.7457)</f>
        <v/>
      </c>
      <c r="H16" s="66" t="str">
        <f>IF(OR(ISBLANK($B16),ISBLANK($C16)),"",INDEX('TRU Ops &amp; Costs'!$E$4:$E$74,MATCH($B16&amp;$C16,'TRU Ops &amp; Costs'!$P$4:$P$74,0)))</f>
        <v/>
      </c>
      <c r="I16" s="13" t="str">
        <f>IF(OR(ISBLANK($B16),ISBLANK($C16)),"",INDEX('TRU Ops &amp; Costs'!$F$4:$F$74,MATCH($B16&amp;$C16,'TRU Ops &amp; Costs'!$P$4:$P$74,0)))</f>
        <v/>
      </c>
      <c r="J16" s="65" t="str">
        <f>IF(OR(ISBLANK($B16),ISBLANK($C16)),"",INDEX('TRU Ops &amp; Costs'!$G$4:$G$74,MATCH($B16&amp;$C16,'TRU Ops &amp; Costs'!$P$4:$P$74,0)))</f>
        <v/>
      </c>
      <c r="K16" s="13" t="str">
        <f t="shared" si="14"/>
        <v/>
      </c>
      <c r="L16" s="70" t="str">
        <f>IF(ISBLANK($F16),"",INDEX('Diesel Fuel Prices'!$D$5:$D$31,MATCH($F16,'Diesel Fuel Prices'!$B$5:$B$31,0))*References!$B$38/References!$B$37)</f>
        <v/>
      </c>
      <c r="M16" s="70" t="str">
        <f>IF(ISBLANK($F16),"",VLOOKUP($F16,'Electricity Prices'!$B$4:$F$31,5,FALSE)*References!$B$38/References!$B$37)</f>
        <v/>
      </c>
      <c r="N16" s="71" t="str">
        <f>IF(OR(ISBLANK($B16),ISBLANK($C16)),"",INDEX('TRU Ops &amp; Costs'!$I$4:$I$74,MATCH($B16&amp;$C16,'TRU Ops &amp; Costs'!$P$4:$P$74,0)))</f>
        <v/>
      </c>
      <c r="O16" s="71" t="str">
        <f>IF(OR(ISBLANK($B16),ISBLANK($C16)),"",IF(E16="Yard",INDEX('TRU Ops &amp; Costs'!$J$4:$J$74,MATCH($B16&amp;$C16,'TRU Ops &amp; Costs'!$P$4:$P$74,0)),INDEX('TRU Ops &amp; Costs'!$K$4:$K$74,MATCH($B16&amp;$C16,'TRU Ops &amp; Costs'!$P$4:$P$74,0))))</f>
        <v/>
      </c>
      <c r="P16" s="71" t="str">
        <f>IF(OR(ISBLANK($B16),ISBLANK($C16)),"",$K16*INDEX('TRU Ops &amp; Costs'!$M$4:$M$74,MATCH($B16&amp;$C16,'TRU Ops &amp; Costs'!$P$4:$P$74,0))*-INDEX('TRU Ops &amp; Costs'!$L$4:$L$74,MATCH($B16&amp;$C16,'TRU Ops &amp; Costs'!$P$4:$P$74,0)))</f>
        <v/>
      </c>
      <c r="Q16" s="13"/>
      <c r="R16" s="128" t="str">
        <f t="shared" si="0"/>
        <v/>
      </c>
      <c r="S16" s="128" t="str">
        <f t="shared" si="1"/>
        <v/>
      </c>
      <c r="T16" s="168" t="str">
        <f>IF(ISBLANK($F16),"",INDEX('eGRID2018 Subregion'!$J$7:$J$33,MATCH($F16,RegionGEN,0)))</f>
        <v/>
      </c>
      <c r="U16" s="13"/>
      <c r="V16" s="203" t="str">
        <f>IF(OR(ISBLANK($B16),ISBLANK($C16),$R16=""),"",ROUND($R16*INDEX('Diesel TRU Emission Factors'!$D$6:$D$76,MATCH($B16&amp;$C16,'Diesel TRU Emission Factors'!$R$6:$R$77,0))*GramsToMT,4))</f>
        <v/>
      </c>
      <c r="W16" s="203" t="str">
        <f>IF(OR(ISBLANK($B16),ISBLANK($C16),$R16=""),"",ROUND($R16*INDEX('Diesel TRU Emission Factors'!$E$6:$E$76,MATCH($B16&amp;$C16,'Diesel TRU Emission Factors'!$R$6:$R$77,0))*GramsToMT,4))</f>
        <v/>
      </c>
      <c r="X16" s="203" t="str">
        <f>IF(OR(ISBLANK($B16),ISBLANK($C16),$R16=""),"",ROUND($R16*INDEX('Diesel TRU Emission Factors'!$H$6:$H$76,MATCH($B16&amp;$C16,'Diesel TRU Emission Factors'!$R$6:$R$77,0))*GramsToMT,4))</f>
        <v/>
      </c>
      <c r="Y16" s="205" t="str">
        <f>IF(OR(ISBLANK($B16),ISBLANK($C16),$R16=""),"",ROUND($R16*INDEX('Diesel TRU Emission Factors'!$F$6:$F$76,MATCH($B16&amp;$C16,'Diesel TRU Emission Factors'!$R$6:$R$77,0))*GramsToMT,1))</f>
        <v/>
      </c>
      <c r="Z16" s="205" t="str">
        <f>IF(OR(ISBLANK($B16),ISBLANK($C16),$R16=""),"",$R16*INDEX('Diesel TRU Emission Factors'!$G$6:$G$76,MATCH($B16&amp;$C16,'Diesel TRU Emission Factors'!$R$6:$R$77,0))*GramsToMT)</f>
        <v/>
      </c>
      <c r="AA16" s="207" t="str">
        <f>IF(ISBLANK(F16),"",R16*GalTokWh*'Diesel TRU Emission Factors'!$P$4/1000000)</f>
        <v/>
      </c>
      <c r="AB16" s="207" t="str">
        <f>IF(ISBLANK($F16),"",ROUND(Y16*References!$B$28+Z16*References!$B$29+'General Calculator'!AA16*References!$B$30,1))</f>
        <v/>
      </c>
      <c r="AC16" s="5"/>
      <c r="AD16" s="203" t="str">
        <f>IF(OR(ISBLANK($F16),$S16="",$T16=""),"",ROUND($S16*(1+$T16)*INDEX('eGRID2018 Subregion'!$C$7:$C$33,MATCH($F16,RegionGEN,0))*GramsToMT,4))</f>
        <v/>
      </c>
      <c r="AE16" s="203" t="str">
        <f>IF(OR(ISBLANK($F16),$S16="",$T16=""),"",ROUND($S16*(1+$T16)*INDEX('eGRID2018 Subregion'!$D$7:$D$33,MATCH($F16,RegionGEN,0))*GramsToMT,4))</f>
        <v/>
      </c>
      <c r="AF16" s="203" t="str">
        <f>IF(OR(ISBLANK($F16),$S16="",$T16=""),"",ROUND($S16*(1+$T16)*INDEX('eGRID2018 Subregion'!$I$7:$I$33,MATCH($F16,RegionGEN,0))*GramsToMT,4))</f>
        <v/>
      </c>
      <c r="AG16" s="205" t="str">
        <f>IF(OR(ISBLANK($F16),$S16="",$T16=""),"",ROUND($S16*(1+$T16)*INDEX('eGRID2018 Subregion'!$E$7:$E$33,MATCH($F16,RegionGEN,0))*GramsToMT,1))</f>
        <v/>
      </c>
      <c r="AH16" s="205" t="str">
        <f>IF(OR(ISBLANK($F16),$S16="",$T16=""),"",$S16*(1+$T16)*INDEX('eGRID2018 Subregion'!$F$7:$F$33,MATCH($F16,RegionGEN,0))*GramsToMT)</f>
        <v/>
      </c>
      <c r="AI16" s="205" t="str">
        <f>IF(OR(ISBLANK($F16),$S16="",$T16=""),"",$S16*(1+$T16)*INDEX('eGRID2018 Subregion'!$G$7:$G$33,MATCH($F16,RegionGEN,0))*GramsToMT)</f>
        <v/>
      </c>
      <c r="AJ16" s="205" t="str">
        <f>IF(ISBLANK($F16),"",ROUND(AG16*References!$B$28+AH16*References!$B$29+'General Calculator'!AI16*References!$B$30,1))</f>
        <v/>
      </c>
      <c r="AK16" s="5"/>
      <c r="AL16" s="203" t="str">
        <f t="shared" si="2"/>
        <v/>
      </c>
      <c r="AM16" s="203" t="str">
        <f t="shared" si="3"/>
        <v/>
      </c>
      <c r="AN16" s="203" t="str">
        <f t="shared" si="4"/>
        <v/>
      </c>
      <c r="AO16" s="205" t="str">
        <f t="shared" si="5"/>
        <v/>
      </c>
      <c r="AP16" s="205" t="str">
        <f t="shared" si="6"/>
        <v/>
      </c>
      <c r="AQ16" s="1"/>
      <c r="AR16" s="165" t="str">
        <f t="shared" si="7"/>
        <v/>
      </c>
      <c r="AS16" s="165" t="str">
        <f t="shared" ref="AS16" si="23">IF(OR(W16="",AM16="",W16=0),"", AM16/W16)</f>
        <v/>
      </c>
      <c r="AT16" s="165" t="str">
        <f t="shared" si="8"/>
        <v/>
      </c>
      <c r="AU16" s="165" t="str">
        <f t="shared" si="9"/>
        <v/>
      </c>
      <c r="AV16" s="165" t="str">
        <f t="shared" si="10"/>
        <v/>
      </c>
      <c r="AW16" s="13"/>
      <c r="AX16" s="179" t="str">
        <f t="shared" si="11"/>
        <v/>
      </c>
      <c r="AY16" s="179" t="str">
        <f t="shared" si="12"/>
        <v/>
      </c>
      <c r="AZ16" s="179" t="str">
        <f t="shared" si="16"/>
        <v/>
      </c>
      <c r="BA16" s="5"/>
      <c r="BB16" s="179" t="str">
        <f t="shared" si="13"/>
        <v/>
      </c>
      <c r="BC16" s="179" t="str">
        <f t="shared" si="17"/>
        <v/>
      </c>
      <c r="BD16" s="179" t="str">
        <f t="shared" si="18"/>
        <v/>
      </c>
      <c r="BE16" s="5"/>
    </row>
    <row r="17" spans="1:57">
      <c r="A17" s="103"/>
      <c r="B17" s="103"/>
      <c r="C17" s="103"/>
      <c r="D17" s="104"/>
      <c r="E17" s="410"/>
      <c r="F17" s="103"/>
      <c r="G17" s="13" t="str">
        <f>IF(OR(ISBLANK($B17),ISBLANK($C17)),"",INDEX('TRU Ops &amp; Costs'!$D$4:$D$74,MATCH($B17&amp;$C17,'TRU Ops &amp; Costs'!$P$4:$P$74,0))/0.7457)</f>
        <v/>
      </c>
      <c r="H17" s="66" t="str">
        <f>IF(OR(ISBLANK($B17),ISBLANK($C17)),"",INDEX('TRU Ops &amp; Costs'!$E$4:$E$74,MATCH($B17&amp;$C17,'TRU Ops &amp; Costs'!$P$4:$P$74,0)))</f>
        <v/>
      </c>
      <c r="I17" s="13" t="str">
        <f>IF(OR(ISBLANK($B17),ISBLANK($C17)),"",INDEX('TRU Ops &amp; Costs'!$F$4:$F$74,MATCH($B17&amp;$C17,'TRU Ops &amp; Costs'!$P$4:$P$74,0)))</f>
        <v/>
      </c>
      <c r="J17" s="65" t="str">
        <f>IF(OR(ISBLANK($B17),ISBLANK($C17)),"",INDEX('TRU Ops &amp; Costs'!$G$4:$G$74,MATCH($B17&amp;$C17,'TRU Ops &amp; Costs'!$P$4:$P$74,0)))</f>
        <v/>
      </c>
      <c r="K17" s="13" t="str">
        <f t="shared" si="14"/>
        <v/>
      </c>
      <c r="L17" s="70" t="str">
        <f>IF(ISBLANK($F17),"",INDEX('Diesel Fuel Prices'!$D$5:$D$31,MATCH($F17,'Diesel Fuel Prices'!$B$5:$B$31,0))*References!$B$38/References!$B$37)</f>
        <v/>
      </c>
      <c r="M17" s="70" t="str">
        <f>IF(ISBLANK($F17),"",VLOOKUP($F17,'Electricity Prices'!$B$4:$F$31,5,FALSE)*References!$B$38/References!$B$37)</f>
        <v/>
      </c>
      <c r="N17" s="71" t="str">
        <f>IF(OR(ISBLANK($B17),ISBLANK($C17)),"",INDEX('TRU Ops &amp; Costs'!$I$4:$I$74,MATCH($B17&amp;$C17,'TRU Ops &amp; Costs'!$P$4:$P$74,0)))</f>
        <v/>
      </c>
      <c r="O17" s="71" t="str">
        <f>IF(OR(ISBLANK($B17),ISBLANK($C17)),"",IF(E17="Yard",INDEX('TRU Ops &amp; Costs'!$J$4:$J$74,MATCH($B17&amp;$C17,'TRU Ops &amp; Costs'!$P$4:$P$74,0)),INDEX('TRU Ops &amp; Costs'!$K$4:$K$74,MATCH($B17&amp;$C17,'TRU Ops &amp; Costs'!$P$4:$P$74,0))))</f>
        <v/>
      </c>
      <c r="P17" s="71" t="str">
        <f>IF(OR(ISBLANK($B17),ISBLANK($C17)),"",$K17*INDEX('TRU Ops &amp; Costs'!$M$4:$M$74,MATCH($B17&amp;$C17,'TRU Ops &amp; Costs'!$P$4:$P$74,0))*-INDEX('TRU Ops &amp; Costs'!$L$4:$L$74,MATCH($B17&amp;$C17,'TRU Ops &amp; Costs'!$P$4:$P$74,0)))</f>
        <v/>
      </c>
      <c r="Q17" s="13"/>
      <c r="R17" s="127" t="str">
        <f t="shared" si="0"/>
        <v/>
      </c>
      <c r="S17" s="127" t="str">
        <f t="shared" si="1"/>
        <v/>
      </c>
      <c r="T17" s="167" t="str">
        <f>IF(ISBLANK($F17),"",INDEX('eGRID2018 Subregion'!$J$7:$J$33,MATCH($F17,RegionGEN,0)))</f>
        <v/>
      </c>
      <c r="U17" s="13"/>
      <c r="V17" s="202" t="str">
        <f>IF(OR(ISBLANK($B17),ISBLANK($C17),$R17=""),"",ROUND($R17*INDEX('Diesel TRU Emission Factors'!$D$6:$D$76,MATCH($B17&amp;$C17,'Diesel TRU Emission Factors'!$R$6:$R$77,0))*GramsToMT,4))</f>
        <v/>
      </c>
      <c r="W17" s="202" t="str">
        <f>IF(OR(ISBLANK($B17),ISBLANK($C17),$R17=""),"",ROUND($R17*INDEX('Diesel TRU Emission Factors'!$E$6:$E$76,MATCH($B17&amp;$C17,'Diesel TRU Emission Factors'!$R$6:$R$77,0))*GramsToMT,4))</f>
        <v/>
      </c>
      <c r="X17" s="202" t="str">
        <f>IF(OR(ISBLANK($B17),ISBLANK($C17),$R17=""),"",ROUND($R17*INDEX('Diesel TRU Emission Factors'!$H$6:$H$76,MATCH($B17&amp;$C17,'Diesel TRU Emission Factors'!$R$6:$R$77,0))*GramsToMT,4))</f>
        <v/>
      </c>
      <c r="Y17" s="204" t="str">
        <f>IF(OR(ISBLANK($B17),ISBLANK($C17),$R17=""),"",ROUND($R17*INDEX('Diesel TRU Emission Factors'!$F$6:$F$76,MATCH($B17&amp;$C17,'Diesel TRU Emission Factors'!$R$6:$R$77,0))*GramsToMT,1))</f>
        <v/>
      </c>
      <c r="Z17" s="204" t="str">
        <f>IF(OR(ISBLANK($B17),ISBLANK($C17),$R17=""),"",$R17*INDEX('Diesel TRU Emission Factors'!$G$6:$G$76,MATCH($B17&amp;$C17,'Diesel TRU Emission Factors'!$R$6:$R$77,0))*GramsToMT)</f>
        <v/>
      </c>
      <c r="AA17" s="206" t="str">
        <f>IF(ISBLANK(F17),"",R17*GalTokWh*'Diesel TRU Emission Factors'!$P$4/1000000)</f>
        <v/>
      </c>
      <c r="AB17" s="206" t="str">
        <f>IF(ISBLANK($F17),"",ROUND(Y17*References!$B$28+Z17*References!$B$29+'General Calculator'!AA17*References!$B$30,1))</f>
        <v/>
      </c>
      <c r="AC17" s="5"/>
      <c r="AD17" s="202" t="str">
        <f>IF(OR(ISBLANK($F17),$S17="",$T17=""),"",ROUND($S17*(1+$T17)*INDEX('eGRID2018 Subregion'!$C$7:$C$33,MATCH($F17,RegionGEN,0))*GramsToMT,4))</f>
        <v/>
      </c>
      <c r="AE17" s="202" t="str">
        <f>IF(OR(ISBLANK($F17),$S17="",$T17=""),"",ROUND($S17*(1+$T17)*INDEX('eGRID2018 Subregion'!$D$7:$D$33,MATCH($F17,RegionGEN,0))*GramsToMT,4))</f>
        <v/>
      </c>
      <c r="AF17" s="202" t="str">
        <f>IF(OR(ISBLANK($F17),$S17="",$T17=""),"",ROUND($S17*(1+$T17)*INDEX('eGRID2018 Subregion'!$I$7:$I$33,MATCH($F17,RegionGEN,0))*GramsToMT,4))</f>
        <v/>
      </c>
      <c r="AG17" s="204" t="str">
        <f>IF(OR(ISBLANK($F17),$S17="",$T17=""),"",ROUND($S17*(1+$T17)*INDEX('eGRID2018 Subregion'!$E$7:$E$33,MATCH($F17,RegionGEN,0))*GramsToMT,1))</f>
        <v/>
      </c>
      <c r="AH17" s="204" t="str">
        <f>IF(OR(ISBLANK($F17),$S17="",$T17=""),"",$S17*(1+$T17)*INDEX('eGRID2018 Subregion'!$F$7:$F$33,MATCH($F17,RegionGEN,0))*GramsToMT)</f>
        <v/>
      </c>
      <c r="AI17" s="204" t="str">
        <f>IF(OR(ISBLANK($F17),$S17="",$T17=""),"",$S17*(1+$T17)*INDEX('eGRID2018 Subregion'!$G$7:$G$33,MATCH($F17,RegionGEN,0))*GramsToMT)</f>
        <v/>
      </c>
      <c r="AJ17" s="204" t="str">
        <f>IF(ISBLANK($F17),"",ROUND(AG17*References!$B$28+AH17*References!$B$29+'General Calculator'!AI17*References!$B$30,1))</f>
        <v/>
      </c>
      <c r="AK17" s="5"/>
      <c r="AL17" s="202" t="str">
        <f t="shared" si="2"/>
        <v/>
      </c>
      <c r="AM17" s="202" t="str">
        <f t="shared" si="3"/>
        <v/>
      </c>
      <c r="AN17" s="202" t="str">
        <f t="shared" si="4"/>
        <v/>
      </c>
      <c r="AO17" s="204" t="str">
        <f t="shared" si="5"/>
        <v/>
      </c>
      <c r="AP17" s="204" t="str">
        <f t="shared" si="6"/>
        <v/>
      </c>
      <c r="AQ17" s="1"/>
      <c r="AR17" s="164" t="str">
        <f t="shared" si="7"/>
        <v/>
      </c>
      <c r="AS17" s="164" t="str">
        <f>IF(OR($W17="",$AM17="",$W17=0),"", $AM17/$W17)</f>
        <v/>
      </c>
      <c r="AT17" s="164" t="str">
        <f t="shared" si="8"/>
        <v/>
      </c>
      <c r="AU17" s="164" t="str">
        <f t="shared" si="9"/>
        <v/>
      </c>
      <c r="AV17" s="164" t="str">
        <f t="shared" si="10"/>
        <v/>
      </c>
      <c r="AW17" s="13"/>
      <c r="AX17" s="180" t="str">
        <f t="shared" si="11"/>
        <v/>
      </c>
      <c r="AY17" s="180" t="str">
        <f t="shared" si="12"/>
        <v/>
      </c>
      <c r="AZ17" s="180" t="str">
        <f>IF(OR($AX17="",$AY17=""),"",$AX17+$AY17)</f>
        <v/>
      </c>
      <c r="BA17" s="5"/>
      <c r="BB17" s="180" t="str">
        <f t="shared" si="13"/>
        <v/>
      </c>
      <c r="BC17" s="180" t="str">
        <f>IF(OR($R17="",$L17="",$M17="",$S17="",$T17=""),"",($R17*$L17*GalTokWh)-($S17*$M17*(1+$T17)))</f>
        <v/>
      </c>
      <c r="BD17" s="180" t="str">
        <f>IF(OR($BB17="",$BC17=""),"",$BB17+$BC17)</f>
        <v/>
      </c>
      <c r="BE17" s="5"/>
    </row>
    <row r="18" spans="1:57">
      <c r="A18" s="105"/>
      <c r="B18" s="105"/>
      <c r="C18" s="105"/>
      <c r="D18" s="106"/>
      <c r="E18" s="411"/>
      <c r="F18" s="105"/>
      <c r="G18" s="13" t="str">
        <f>IF(OR(ISBLANK($B18),ISBLANK($C18)),"",INDEX('TRU Ops &amp; Costs'!$D$4:$D$74,MATCH($B18&amp;$C18,'TRU Ops &amp; Costs'!$P$4:$P$74,0))/0.7457)</f>
        <v/>
      </c>
      <c r="H18" s="66" t="str">
        <f>IF(OR(ISBLANK($B18),ISBLANK($C18)),"",INDEX('TRU Ops &amp; Costs'!$E$4:$E$74,MATCH($B18&amp;$C18,'TRU Ops &amp; Costs'!$P$4:$P$74,0)))</f>
        <v/>
      </c>
      <c r="I18" s="13" t="str">
        <f>IF(OR(ISBLANK($B18),ISBLANK($C18)),"",INDEX('TRU Ops &amp; Costs'!$F$4:$F$74,MATCH($B18&amp;$C18,'TRU Ops &amp; Costs'!$P$4:$P$74,0)))</f>
        <v/>
      </c>
      <c r="J18" s="65" t="str">
        <f>IF(OR(ISBLANK($B18),ISBLANK($C18)),"",INDEX('TRU Ops &amp; Costs'!$G$4:$G$74,MATCH($B18&amp;$C18,'TRU Ops &amp; Costs'!$P$4:$P$74,0)))</f>
        <v/>
      </c>
      <c r="K18" s="13" t="str">
        <f t="shared" si="14"/>
        <v/>
      </c>
      <c r="L18" s="70" t="str">
        <f>IF(ISBLANK($F18),"",INDEX('Diesel Fuel Prices'!$D$5:$D$31,MATCH($F18,'Diesel Fuel Prices'!$B$5:$B$31,0))*References!$B$38/References!$B$37)</f>
        <v/>
      </c>
      <c r="M18" s="70" t="str">
        <f>IF(ISBLANK($F18),"",VLOOKUP($F18,'Electricity Prices'!$B$4:$F$31,5,FALSE)*References!$B$38/References!$B$37)</f>
        <v/>
      </c>
      <c r="N18" s="71" t="str">
        <f>IF(OR(ISBLANK($B18),ISBLANK($C18)),"",INDEX('TRU Ops &amp; Costs'!$I$4:$I$74,MATCH($B18&amp;$C18,'TRU Ops &amp; Costs'!$P$4:$P$74,0)))</f>
        <v/>
      </c>
      <c r="O18" s="71" t="str">
        <f>IF(OR(ISBLANK($B18),ISBLANK($C18)),"",IF(E18="Yard",INDEX('TRU Ops &amp; Costs'!$J$4:$J$74,MATCH($B18&amp;$C18,'TRU Ops &amp; Costs'!$P$4:$P$74,0)),INDEX('TRU Ops &amp; Costs'!$K$4:$K$74,MATCH($B18&amp;$C18,'TRU Ops &amp; Costs'!$P$4:$P$74,0))))</f>
        <v/>
      </c>
      <c r="P18" s="71" t="str">
        <f>IF(OR(ISBLANK($B18),ISBLANK($C18)),"",$K18*INDEX('TRU Ops &amp; Costs'!$M$4:$M$74,MATCH($B18&amp;$C18,'TRU Ops &amp; Costs'!$P$4:$P$74,0))*-INDEX('TRU Ops &amp; Costs'!$L$4:$L$74,MATCH($B18&amp;$C18,'TRU Ops &amp; Costs'!$P$4:$P$74,0)))</f>
        <v/>
      </c>
      <c r="Q18" s="13"/>
      <c r="R18" s="128" t="str">
        <f t="shared" si="0"/>
        <v/>
      </c>
      <c r="S18" s="128" t="str">
        <f t="shared" si="1"/>
        <v/>
      </c>
      <c r="T18" s="168" t="str">
        <f>IF(ISBLANK($F18),"",INDEX('eGRID2018 Subregion'!$J$7:$J$33,MATCH($F18,RegionGEN,0)))</f>
        <v/>
      </c>
      <c r="U18" s="13"/>
      <c r="V18" s="203" t="str">
        <f>IF(OR(ISBLANK($B18),ISBLANK($C18),$R18=""),"",ROUND($R18*INDEX('Diesel TRU Emission Factors'!$D$6:$D$76,MATCH($B18&amp;$C18,'Diesel TRU Emission Factors'!$R$6:$R$77,0))*GramsToMT,4))</f>
        <v/>
      </c>
      <c r="W18" s="203" t="str">
        <f>IF(OR(ISBLANK($B18),ISBLANK($C18),$R18=""),"",ROUND($R18*INDEX('Diesel TRU Emission Factors'!$E$6:$E$76,MATCH($B18&amp;$C18,'Diesel TRU Emission Factors'!$R$6:$R$77,0))*GramsToMT,4))</f>
        <v/>
      </c>
      <c r="X18" s="203" t="str">
        <f>IF(OR(ISBLANK($B18),ISBLANK($C18),$R18=""),"",ROUND($R18*INDEX('Diesel TRU Emission Factors'!$H$6:$H$76,MATCH($B18&amp;$C18,'Diesel TRU Emission Factors'!$R$6:$R$77,0))*GramsToMT,4))</f>
        <v/>
      </c>
      <c r="Y18" s="205" t="str">
        <f>IF(OR(ISBLANK($B18),ISBLANK($C18),$R18=""),"",ROUND($R18*INDEX('Diesel TRU Emission Factors'!$F$6:$F$76,MATCH($B18&amp;$C18,'Diesel TRU Emission Factors'!$R$6:$R$77,0))*GramsToMT,1))</f>
        <v/>
      </c>
      <c r="Z18" s="205" t="str">
        <f>IF(OR(ISBLANK($B18),ISBLANK($C18),$R18=""),"",$R18*INDEX('Diesel TRU Emission Factors'!$G$6:$G$76,MATCH($B18&amp;$C18,'Diesel TRU Emission Factors'!$R$6:$R$77,0))*GramsToMT)</f>
        <v/>
      </c>
      <c r="AA18" s="207" t="str">
        <f>IF(ISBLANK(F18),"",R18*GalTokWh*'Diesel TRU Emission Factors'!$P$4/1000000)</f>
        <v/>
      </c>
      <c r="AB18" s="207" t="str">
        <f>IF(ISBLANK($F18),"",ROUND(Y18*References!$B$28+Z18*References!$B$29+'General Calculator'!AA18*References!$B$30,1))</f>
        <v/>
      </c>
      <c r="AC18" s="5"/>
      <c r="AD18" s="203" t="str">
        <f>IF(OR(ISBLANK($F18),$S18="",$T18=""),"",ROUND($S18*(1+$T18)*INDEX('eGRID2018 Subregion'!$C$7:$C$33,MATCH($F18,RegionGEN,0))*GramsToMT,4))</f>
        <v/>
      </c>
      <c r="AE18" s="203" t="str">
        <f>IF(OR(ISBLANK($F18),$S18="",$T18=""),"",ROUND($S18*(1+$T18)*INDEX('eGRID2018 Subregion'!$D$7:$D$33,MATCH($F18,RegionGEN,0))*GramsToMT,4))</f>
        <v/>
      </c>
      <c r="AF18" s="203" t="str">
        <f>IF(OR(ISBLANK($F18),$S18="",$T18=""),"",ROUND($S18*(1+$T18)*INDEX('eGRID2018 Subregion'!$I$7:$I$33,MATCH($F18,RegionGEN,0))*GramsToMT,4))</f>
        <v/>
      </c>
      <c r="AG18" s="205" t="str">
        <f>IF(OR(ISBLANK($F18),$S18="",$T18=""),"",ROUND($S18*(1+$T18)*INDEX('eGRID2018 Subregion'!$E$7:$E$33,MATCH($F18,RegionGEN,0))*GramsToMT,1))</f>
        <v/>
      </c>
      <c r="AH18" s="205" t="str">
        <f>IF(OR(ISBLANK($F18),$S18="",$T18=""),"",$S18*(1+$T18)*INDEX('eGRID2018 Subregion'!$F$7:$F$33,MATCH($F18,RegionGEN,0))*GramsToMT)</f>
        <v/>
      </c>
      <c r="AI18" s="205" t="str">
        <f>IF(OR(ISBLANK($F18),$S18="",$T18=""),"",$S18*(1+$T18)*INDEX('eGRID2018 Subregion'!$G$7:$G$33,MATCH($F18,RegionGEN,0))*GramsToMT)</f>
        <v/>
      </c>
      <c r="AJ18" s="205" t="str">
        <f>IF(ISBLANK($F18),"",ROUND(AG18*References!$B$28+AH18*References!$B$29+'General Calculator'!AI18*References!$B$30,1))</f>
        <v/>
      </c>
      <c r="AK18" s="5"/>
      <c r="AL18" s="203" t="str">
        <f t="shared" si="2"/>
        <v/>
      </c>
      <c r="AM18" s="203" t="str">
        <f t="shared" si="3"/>
        <v/>
      </c>
      <c r="AN18" s="203" t="str">
        <f t="shared" si="4"/>
        <v/>
      </c>
      <c r="AO18" s="205" t="str">
        <f t="shared" si="5"/>
        <v/>
      </c>
      <c r="AP18" s="205" t="str">
        <f t="shared" si="6"/>
        <v/>
      </c>
      <c r="AQ18" s="1"/>
      <c r="AR18" s="165" t="str">
        <f t="shared" si="7"/>
        <v/>
      </c>
      <c r="AS18" s="165" t="str">
        <f t="shared" ref="AS18" si="24">IF(OR(W18="",AM18="",W18=0),"", AM18/W18)</f>
        <v/>
      </c>
      <c r="AT18" s="165" t="str">
        <f t="shared" si="8"/>
        <v/>
      </c>
      <c r="AU18" s="165" t="str">
        <f t="shared" si="9"/>
        <v/>
      </c>
      <c r="AV18" s="165" t="str">
        <f t="shared" si="10"/>
        <v/>
      </c>
      <c r="AW18" s="13"/>
      <c r="AX18" s="179" t="str">
        <f t="shared" si="11"/>
        <v/>
      </c>
      <c r="AY18" s="179" t="str">
        <f t="shared" si="12"/>
        <v/>
      </c>
      <c r="AZ18" s="179" t="str">
        <f t="shared" si="16"/>
        <v/>
      </c>
      <c r="BA18" s="5"/>
      <c r="BB18" s="179" t="str">
        <f t="shared" si="13"/>
        <v/>
      </c>
      <c r="BC18" s="179" t="str">
        <f t="shared" si="17"/>
        <v/>
      </c>
      <c r="BD18" s="179" t="str">
        <f t="shared" si="18"/>
        <v/>
      </c>
      <c r="BE18" s="5"/>
    </row>
    <row r="19" spans="1:57">
      <c r="A19" s="103"/>
      <c r="B19" s="103"/>
      <c r="C19" s="103"/>
      <c r="D19" s="104"/>
      <c r="E19" s="410"/>
      <c r="F19" s="103"/>
      <c r="G19" s="13" t="str">
        <f>IF(OR(ISBLANK($B19),ISBLANK($C19)),"",INDEX('TRU Ops &amp; Costs'!$D$4:$D$74,MATCH($B19&amp;$C19,'TRU Ops &amp; Costs'!$P$4:$P$74,0))/0.7457)</f>
        <v/>
      </c>
      <c r="H19" s="66" t="str">
        <f>IF(OR(ISBLANK($B19),ISBLANK($C19)),"",INDEX('TRU Ops &amp; Costs'!$E$4:$E$74,MATCH($B19&amp;$C19,'TRU Ops &amp; Costs'!$P$4:$P$74,0)))</f>
        <v/>
      </c>
      <c r="I19" s="13" t="str">
        <f>IF(OR(ISBLANK($B19),ISBLANK($C19)),"",INDEX('TRU Ops &amp; Costs'!$F$4:$F$74,MATCH($B19&amp;$C19,'TRU Ops &amp; Costs'!$P$4:$P$74,0)))</f>
        <v/>
      </c>
      <c r="J19" s="65" t="str">
        <f>IF(OR(ISBLANK($B19),ISBLANK($C19)),"",INDEX('TRU Ops &amp; Costs'!$G$4:$G$74,MATCH($B19&amp;$C19,'TRU Ops &amp; Costs'!$P$4:$P$74,0)))</f>
        <v/>
      </c>
      <c r="K19" s="13" t="str">
        <f t="shared" si="14"/>
        <v/>
      </c>
      <c r="L19" s="70" t="str">
        <f>IF(ISBLANK($F19),"",INDEX('Diesel Fuel Prices'!$D$5:$D$31,MATCH($F19,'Diesel Fuel Prices'!$B$5:$B$31,0))*References!$B$38/References!$B$37)</f>
        <v/>
      </c>
      <c r="M19" s="70" t="str">
        <f>IF(ISBLANK($F19),"",VLOOKUP($F19,'Electricity Prices'!$B$4:$F$31,5,FALSE)*References!$B$38/References!$B$37)</f>
        <v/>
      </c>
      <c r="N19" s="71" t="str">
        <f>IF(OR(ISBLANK($B19),ISBLANK($C19)),"",INDEX('TRU Ops &amp; Costs'!$I$4:$I$74,MATCH($B19&amp;$C19,'TRU Ops &amp; Costs'!$P$4:$P$74,0)))</f>
        <v/>
      </c>
      <c r="O19" s="71" t="str">
        <f>IF(OR(ISBLANK($B19),ISBLANK($C19)),"",IF(E19="Yard",INDEX('TRU Ops &amp; Costs'!$J$4:$J$74,MATCH($B19&amp;$C19,'TRU Ops &amp; Costs'!$P$4:$P$74,0)),INDEX('TRU Ops &amp; Costs'!$K$4:$K$74,MATCH($B19&amp;$C19,'TRU Ops &amp; Costs'!$P$4:$P$74,0))))</f>
        <v/>
      </c>
      <c r="P19" s="71" t="str">
        <f>IF(OR(ISBLANK($B19),ISBLANK($C19)),"",$K19*INDEX('TRU Ops &amp; Costs'!$M$4:$M$74,MATCH($B19&amp;$C19,'TRU Ops &amp; Costs'!$P$4:$P$74,0))*-INDEX('TRU Ops &amp; Costs'!$L$4:$L$74,MATCH($B19&amp;$C19,'TRU Ops &amp; Costs'!$P$4:$P$74,0)))</f>
        <v/>
      </c>
      <c r="Q19" s="13"/>
      <c r="R19" s="127" t="str">
        <f t="shared" si="0"/>
        <v/>
      </c>
      <c r="S19" s="127" t="str">
        <f t="shared" si="1"/>
        <v/>
      </c>
      <c r="T19" s="167" t="str">
        <f>IF(ISBLANK($F19),"",INDEX('eGRID2018 Subregion'!$J$7:$J$33,MATCH($F19,RegionGEN,0)))</f>
        <v/>
      </c>
      <c r="U19" s="13"/>
      <c r="V19" s="202" t="str">
        <f>IF(OR(ISBLANK($B19),ISBLANK($C19),$R19=""),"",ROUND($R19*INDEX('Diesel TRU Emission Factors'!$D$6:$D$76,MATCH($B19&amp;$C19,'Diesel TRU Emission Factors'!$R$6:$R$77,0))*GramsToMT,4))</f>
        <v/>
      </c>
      <c r="W19" s="202" t="str">
        <f>IF(OR(ISBLANK($B19),ISBLANK($C19),$R19=""),"",ROUND($R19*INDEX('Diesel TRU Emission Factors'!$E$6:$E$76,MATCH($B19&amp;$C19,'Diesel TRU Emission Factors'!$R$6:$R$77,0))*GramsToMT,4))</f>
        <v/>
      </c>
      <c r="X19" s="202" t="str">
        <f>IF(OR(ISBLANK($B19),ISBLANK($C19),$R19=""),"",ROUND($R19*INDEX('Diesel TRU Emission Factors'!$H$6:$H$76,MATCH($B19&amp;$C19,'Diesel TRU Emission Factors'!$R$6:$R$77,0))*GramsToMT,4))</f>
        <v/>
      </c>
      <c r="Y19" s="204" t="str">
        <f>IF(OR(ISBLANK($B19),ISBLANK($C19),$R19=""),"",ROUND($R19*INDEX('Diesel TRU Emission Factors'!$F$6:$F$76,MATCH($B19&amp;$C19,'Diesel TRU Emission Factors'!$R$6:$R$77,0))*GramsToMT,1))</f>
        <v/>
      </c>
      <c r="Z19" s="204" t="str">
        <f>IF(OR(ISBLANK($B19),ISBLANK($C19),$R19=""),"",$R19*INDEX('Diesel TRU Emission Factors'!$G$6:$G$76,MATCH($B19&amp;$C19,'Diesel TRU Emission Factors'!$R$6:$R$77,0))*GramsToMT)</f>
        <v/>
      </c>
      <c r="AA19" s="206" t="str">
        <f>IF(ISBLANK(F19),"",R19*GalTokWh*'Diesel TRU Emission Factors'!$P$4/1000000)</f>
        <v/>
      </c>
      <c r="AB19" s="206" t="str">
        <f>IF(ISBLANK($F19),"",ROUND(Y19*References!$B$28+Z19*References!$B$29+'General Calculator'!AA19*References!$B$30,1))</f>
        <v/>
      </c>
      <c r="AC19" s="5"/>
      <c r="AD19" s="202" t="str">
        <f>IF(OR(ISBLANK($F19),$S19="",$T19=""),"",ROUND($S19*(1+$T19)*INDEX('eGRID2018 Subregion'!$C$7:$C$33,MATCH($F19,RegionGEN,0))*GramsToMT,4))</f>
        <v/>
      </c>
      <c r="AE19" s="202" t="str">
        <f>IF(OR(ISBLANK($F19),$S19="",$T19=""),"",ROUND($S19*(1+$T19)*INDEX('eGRID2018 Subregion'!$D$7:$D$33,MATCH($F19,RegionGEN,0))*GramsToMT,4))</f>
        <v/>
      </c>
      <c r="AF19" s="202" t="str">
        <f>IF(OR(ISBLANK($F19),$S19="",$T19=""),"",ROUND($S19*(1+$T19)*INDEX('eGRID2018 Subregion'!$I$7:$I$33,MATCH($F19,RegionGEN,0))*GramsToMT,4))</f>
        <v/>
      </c>
      <c r="AG19" s="204" t="str">
        <f>IF(OR(ISBLANK($F19),$S19="",$T19=""),"",ROUND($S19*(1+$T19)*INDEX('eGRID2018 Subregion'!$E$7:$E$33,MATCH($F19,RegionGEN,0))*GramsToMT,1))</f>
        <v/>
      </c>
      <c r="AH19" s="204" t="str">
        <f>IF(OR(ISBLANK($F19),$S19="",$T19=""),"",$S19*(1+$T19)*INDEX('eGRID2018 Subregion'!$F$7:$F$33,MATCH($F19,RegionGEN,0))*GramsToMT)</f>
        <v/>
      </c>
      <c r="AI19" s="204" t="str">
        <f>IF(OR(ISBLANK($F19),$S19="",$T19=""),"",$S19*(1+$T19)*INDEX('eGRID2018 Subregion'!$G$7:$G$33,MATCH($F19,RegionGEN,0))*GramsToMT)</f>
        <v/>
      </c>
      <c r="AJ19" s="204" t="str">
        <f>IF(ISBLANK($F19),"",ROUND(AG19*References!$B$28+AH19*References!$B$29+'General Calculator'!AI19*References!$B$30,1))</f>
        <v/>
      </c>
      <c r="AK19" s="5"/>
      <c r="AL19" s="202" t="str">
        <f t="shared" si="2"/>
        <v/>
      </c>
      <c r="AM19" s="202" t="str">
        <f t="shared" si="3"/>
        <v/>
      </c>
      <c r="AN19" s="202" t="str">
        <f t="shared" si="4"/>
        <v/>
      </c>
      <c r="AO19" s="204" t="str">
        <f t="shared" si="5"/>
        <v/>
      </c>
      <c r="AP19" s="204" t="str">
        <f t="shared" si="6"/>
        <v/>
      </c>
      <c r="AQ19" s="1"/>
      <c r="AR19" s="164" t="str">
        <f t="shared" si="7"/>
        <v/>
      </c>
      <c r="AS19" s="164" t="str">
        <f>IF(OR($W19="",$AM19="",$W19=0),"", $AM19/$W19)</f>
        <v/>
      </c>
      <c r="AT19" s="164" t="str">
        <f t="shared" si="8"/>
        <v/>
      </c>
      <c r="AU19" s="164" t="str">
        <f t="shared" si="9"/>
        <v/>
      </c>
      <c r="AV19" s="164" t="str">
        <f t="shared" si="10"/>
        <v/>
      </c>
      <c r="AW19" s="13"/>
      <c r="AX19" s="180" t="str">
        <f t="shared" si="11"/>
        <v/>
      </c>
      <c r="AY19" s="180" t="str">
        <f t="shared" si="12"/>
        <v/>
      </c>
      <c r="AZ19" s="180" t="str">
        <f>IF(OR($AX19="",$AY19=""),"",$AX19+$AY19)</f>
        <v/>
      </c>
      <c r="BA19" s="5"/>
      <c r="BB19" s="180" t="str">
        <f t="shared" si="13"/>
        <v/>
      </c>
      <c r="BC19" s="180" t="str">
        <f>IF(OR($R19="",$L19="",$M19="",$S19="",$T19=""),"",($R19*$L19*GalTokWh)-($S19*$M19*(1+$T19)))</f>
        <v/>
      </c>
      <c r="BD19" s="180" t="str">
        <f>IF(OR($BB19="",$BC19=""),"",$BB19+$BC19)</f>
        <v/>
      </c>
      <c r="BE19" s="5"/>
    </row>
    <row r="20" spans="1:57">
      <c r="A20" s="105"/>
      <c r="B20" s="105"/>
      <c r="C20" s="105"/>
      <c r="D20" s="106"/>
      <c r="E20" s="411"/>
      <c r="F20" s="105"/>
      <c r="G20" s="13" t="str">
        <f>IF(OR(ISBLANK($B20),ISBLANK($C20)),"",INDEX('TRU Ops &amp; Costs'!$D$4:$D$74,MATCH($B20&amp;$C20,'TRU Ops &amp; Costs'!$P$4:$P$74,0))/0.7457)</f>
        <v/>
      </c>
      <c r="H20" s="66" t="str">
        <f>IF(OR(ISBLANK($B20),ISBLANK($C20)),"",INDEX('TRU Ops &amp; Costs'!$E$4:$E$74,MATCH($B20&amp;$C20,'TRU Ops &amp; Costs'!$P$4:$P$74,0)))</f>
        <v/>
      </c>
      <c r="I20" s="13" t="str">
        <f>IF(OR(ISBLANK($B20),ISBLANK($C20)),"",INDEX('TRU Ops &amp; Costs'!$F$4:$F$74,MATCH($B20&amp;$C20,'TRU Ops &amp; Costs'!$P$4:$P$74,0)))</f>
        <v/>
      </c>
      <c r="J20" s="65" t="str">
        <f>IF(OR(ISBLANK($B20),ISBLANK($C20)),"",INDEX('TRU Ops &amp; Costs'!$G$4:$G$74,MATCH($B20&amp;$C20,'TRU Ops &amp; Costs'!$P$4:$P$74,0)))</f>
        <v/>
      </c>
      <c r="K20" s="13" t="str">
        <f t="shared" si="14"/>
        <v/>
      </c>
      <c r="L20" s="70" t="str">
        <f>IF(ISBLANK($F20),"",INDEX('Diesel Fuel Prices'!$D$5:$D$31,MATCH($F20,'Diesel Fuel Prices'!$B$5:$B$31,0))*References!$B$38/References!$B$37)</f>
        <v/>
      </c>
      <c r="M20" s="70" t="str">
        <f>IF(ISBLANK($F20),"",VLOOKUP($F20,'Electricity Prices'!$B$4:$F$31,5,FALSE)*References!$B$38/References!$B$37)</f>
        <v/>
      </c>
      <c r="N20" s="71" t="str">
        <f>IF(OR(ISBLANK($B20),ISBLANK($C20)),"",INDEX('TRU Ops &amp; Costs'!$I$4:$I$74,MATCH($B20&amp;$C20,'TRU Ops &amp; Costs'!$P$4:$P$74,0)))</f>
        <v/>
      </c>
      <c r="O20" s="71" t="str">
        <f>IF(OR(ISBLANK($B20),ISBLANK($C20)),"",IF(E20="Yard",INDEX('TRU Ops &amp; Costs'!$J$4:$J$74,MATCH($B20&amp;$C20,'TRU Ops &amp; Costs'!$P$4:$P$74,0)),INDEX('TRU Ops &amp; Costs'!$K$4:$K$74,MATCH($B20&amp;$C20,'TRU Ops &amp; Costs'!$P$4:$P$74,0))))</f>
        <v/>
      </c>
      <c r="P20" s="71" t="str">
        <f>IF(OR(ISBLANK($B20),ISBLANK($C20)),"",$K20*INDEX('TRU Ops &amp; Costs'!$M$4:$M$74,MATCH($B20&amp;$C20,'TRU Ops &amp; Costs'!$P$4:$P$74,0))*-INDEX('TRU Ops &amp; Costs'!$L$4:$L$74,MATCH($B20&amp;$C20,'TRU Ops &amp; Costs'!$P$4:$P$74,0)))</f>
        <v/>
      </c>
      <c r="Q20" s="13"/>
      <c r="R20" s="128" t="str">
        <f t="shared" si="0"/>
        <v/>
      </c>
      <c r="S20" s="128" t="str">
        <f t="shared" si="1"/>
        <v/>
      </c>
      <c r="T20" s="168" t="str">
        <f>IF(ISBLANK($F20),"",INDEX('eGRID2018 Subregion'!$J$7:$J$33,MATCH($F20,RegionGEN,0)))</f>
        <v/>
      </c>
      <c r="U20" s="13"/>
      <c r="V20" s="203" t="str">
        <f>IF(OR(ISBLANK($B20),ISBLANK($C20),$R20=""),"",ROUND($R20*INDEX('Diesel TRU Emission Factors'!$D$6:$D$76,MATCH($B20&amp;$C20,'Diesel TRU Emission Factors'!$R$6:$R$77,0))*GramsToMT,4))</f>
        <v/>
      </c>
      <c r="W20" s="203" t="str">
        <f>IF(OR(ISBLANK($B20),ISBLANK($C20),$R20=""),"",ROUND($R20*INDEX('Diesel TRU Emission Factors'!$E$6:$E$76,MATCH($B20&amp;$C20,'Diesel TRU Emission Factors'!$R$6:$R$77,0))*GramsToMT,4))</f>
        <v/>
      </c>
      <c r="X20" s="203" t="str">
        <f>IF(OR(ISBLANK($B20),ISBLANK($C20),$R20=""),"",ROUND($R20*INDEX('Diesel TRU Emission Factors'!$H$6:$H$76,MATCH($B20&amp;$C20,'Diesel TRU Emission Factors'!$R$6:$R$77,0))*GramsToMT,4))</f>
        <v/>
      </c>
      <c r="Y20" s="205" t="str">
        <f>IF(OR(ISBLANK($B20),ISBLANK($C20),$R20=""),"",ROUND($R20*INDEX('Diesel TRU Emission Factors'!$F$6:$F$76,MATCH($B20&amp;$C20,'Diesel TRU Emission Factors'!$R$6:$R$77,0))*GramsToMT,1))</f>
        <v/>
      </c>
      <c r="Z20" s="205" t="str">
        <f>IF(OR(ISBLANK($B20),ISBLANK($C20),$R20=""),"",$R20*INDEX('Diesel TRU Emission Factors'!$G$6:$G$76,MATCH($B20&amp;$C20,'Diesel TRU Emission Factors'!$R$6:$R$77,0))*GramsToMT)</f>
        <v/>
      </c>
      <c r="AA20" s="207" t="str">
        <f>IF(ISBLANK(F20),"",R20*GalTokWh*'Diesel TRU Emission Factors'!$P$4/1000000)</f>
        <v/>
      </c>
      <c r="AB20" s="207" t="str">
        <f>IF(ISBLANK($F20),"",ROUND(Y20*References!$B$28+Z20*References!$B$29+'General Calculator'!AA20*References!$B$30,1))</f>
        <v/>
      </c>
      <c r="AC20" s="5"/>
      <c r="AD20" s="203" t="str">
        <f>IF(OR(ISBLANK($F20),$S20="",$T20=""),"",ROUND($S20*(1+$T20)*INDEX('eGRID2018 Subregion'!$C$7:$C$33,MATCH($F20,RegionGEN,0))*GramsToMT,4))</f>
        <v/>
      </c>
      <c r="AE20" s="203" t="str">
        <f>IF(OR(ISBLANK($F20),$S20="",$T20=""),"",ROUND($S20*(1+$T20)*INDEX('eGRID2018 Subregion'!$D$7:$D$33,MATCH($F20,RegionGEN,0))*GramsToMT,4))</f>
        <v/>
      </c>
      <c r="AF20" s="203" t="str">
        <f>IF(OR(ISBLANK($F20),$S20="",$T20=""),"",ROUND($S20*(1+$T20)*INDEX('eGRID2018 Subregion'!$I$7:$I$33,MATCH($F20,RegionGEN,0))*GramsToMT,4))</f>
        <v/>
      </c>
      <c r="AG20" s="205" t="str">
        <f>IF(OR(ISBLANK($F20),$S20="",$T20=""),"",ROUND($S20*(1+$T20)*INDEX('eGRID2018 Subregion'!$E$7:$E$33,MATCH($F20,RegionGEN,0))*GramsToMT,1))</f>
        <v/>
      </c>
      <c r="AH20" s="205" t="str">
        <f>IF(OR(ISBLANK($F20),$S20="",$T20=""),"",$S20*(1+$T20)*INDEX('eGRID2018 Subregion'!$F$7:$F$33,MATCH($F20,RegionGEN,0))*GramsToMT)</f>
        <v/>
      </c>
      <c r="AI20" s="205" t="str">
        <f>IF(OR(ISBLANK($F20),$S20="",$T20=""),"",$S20*(1+$T20)*INDEX('eGRID2018 Subregion'!$G$7:$G$33,MATCH($F20,RegionGEN,0))*GramsToMT)</f>
        <v/>
      </c>
      <c r="AJ20" s="205" t="str">
        <f>IF(ISBLANK($F20),"",ROUND(AG20*References!$B$28+AH20*References!$B$29+'General Calculator'!AI20*References!$B$30,1))</f>
        <v/>
      </c>
      <c r="AK20" s="5"/>
      <c r="AL20" s="203" t="str">
        <f t="shared" si="2"/>
        <v/>
      </c>
      <c r="AM20" s="203" t="str">
        <f t="shared" si="3"/>
        <v/>
      </c>
      <c r="AN20" s="203" t="str">
        <f t="shared" si="4"/>
        <v/>
      </c>
      <c r="AO20" s="205" t="str">
        <f t="shared" si="5"/>
        <v/>
      </c>
      <c r="AP20" s="205" t="str">
        <f t="shared" si="6"/>
        <v/>
      </c>
      <c r="AQ20" s="1"/>
      <c r="AR20" s="165" t="str">
        <f t="shared" si="7"/>
        <v/>
      </c>
      <c r="AS20" s="165" t="str">
        <f t="shared" ref="AS20" si="25">IF(OR(W20="",AM20="",W20=0),"", AM20/W20)</f>
        <v/>
      </c>
      <c r="AT20" s="165" t="str">
        <f t="shared" si="8"/>
        <v/>
      </c>
      <c r="AU20" s="165" t="str">
        <f t="shared" si="9"/>
        <v/>
      </c>
      <c r="AV20" s="165" t="str">
        <f t="shared" si="10"/>
        <v/>
      </c>
      <c r="AW20" s="13"/>
      <c r="AX20" s="179" t="str">
        <f t="shared" si="11"/>
        <v/>
      </c>
      <c r="AY20" s="179" t="str">
        <f t="shared" si="12"/>
        <v/>
      </c>
      <c r="AZ20" s="179" t="str">
        <f t="shared" si="16"/>
        <v/>
      </c>
      <c r="BA20" s="5"/>
      <c r="BB20" s="179" t="str">
        <f t="shared" si="13"/>
        <v/>
      </c>
      <c r="BC20" s="179" t="str">
        <f t="shared" si="17"/>
        <v/>
      </c>
      <c r="BD20" s="179" t="str">
        <f t="shared" si="18"/>
        <v/>
      </c>
      <c r="BE20" s="5"/>
    </row>
    <row r="21" spans="1:57">
      <c r="A21" s="103"/>
      <c r="B21" s="103"/>
      <c r="C21" s="103"/>
      <c r="D21" s="104"/>
      <c r="E21" s="410"/>
      <c r="F21" s="103"/>
      <c r="G21" s="13" t="str">
        <f>IF(OR(ISBLANK($B21),ISBLANK($C21)),"",INDEX('TRU Ops &amp; Costs'!$D$4:$D$74,MATCH($B21&amp;$C21,'TRU Ops &amp; Costs'!$P$4:$P$74,0))/0.7457)</f>
        <v/>
      </c>
      <c r="H21" s="66" t="str">
        <f>IF(OR(ISBLANK($B21),ISBLANK($C21)),"",INDEX('TRU Ops &amp; Costs'!$E$4:$E$74,MATCH($B21&amp;$C21,'TRU Ops &amp; Costs'!$P$4:$P$74,0)))</f>
        <v/>
      </c>
      <c r="I21" s="13" t="str">
        <f>IF(OR(ISBLANK($B21),ISBLANK($C21)),"",INDEX('TRU Ops &amp; Costs'!$F$4:$F$74,MATCH($B21&amp;$C21,'TRU Ops &amp; Costs'!$P$4:$P$74,0)))</f>
        <v/>
      </c>
      <c r="J21" s="65" t="str">
        <f>IF(OR(ISBLANK($B21),ISBLANK($C21)),"",INDEX('TRU Ops &amp; Costs'!$G$4:$G$74,MATCH($B21&amp;$C21,'TRU Ops &amp; Costs'!$P$4:$P$74,0)))</f>
        <v/>
      </c>
      <c r="K21" s="13" t="str">
        <f t="shared" si="14"/>
        <v/>
      </c>
      <c r="L21" s="70" t="str">
        <f>IF(ISBLANK($F21),"",INDEX('Diesel Fuel Prices'!$D$5:$D$31,MATCH($F21,'Diesel Fuel Prices'!$B$5:$B$31,0))*References!$B$38/References!$B$37)</f>
        <v/>
      </c>
      <c r="M21" s="70" t="str">
        <f>IF(ISBLANK($F21),"",VLOOKUP($F21,'Electricity Prices'!$B$4:$F$31,5,FALSE)*References!$B$38/References!$B$37)</f>
        <v/>
      </c>
      <c r="N21" s="71" t="str">
        <f>IF(OR(ISBLANK($B21),ISBLANK($C21)),"",INDEX('TRU Ops &amp; Costs'!$I$4:$I$74,MATCH($B21&amp;$C21,'TRU Ops &amp; Costs'!$P$4:$P$74,0)))</f>
        <v/>
      </c>
      <c r="O21" s="71" t="str">
        <f>IF(OR(ISBLANK($B21),ISBLANK($C21)),"",IF(E21="Yard",INDEX('TRU Ops &amp; Costs'!$J$4:$J$74,MATCH($B21&amp;$C21,'TRU Ops &amp; Costs'!$P$4:$P$74,0)),INDEX('TRU Ops &amp; Costs'!$K$4:$K$74,MATCH($B21&amp;$C21,'TRU Ops &amp; Costs'!$P$4:$P$74,0))))</f>
        <v/>
      </c>
      <c r="P21" s="71" t="str">
        <f>IF(OR(ISBLANK($B21),ISBLANK($C21)),"",$K21*INDEX('TRU Ops &amp; Costs'!$M$4:$M$74,MATCH($B21&amp;$C21,'TRU Ops &amp; Costs'!$P$4:$P$74,0))*-INDEX('TRU Ops &amp; Costs'!$L$4:$L$74,MATCH($B21&amp;$C21,'TRU Ops &amp; Costs'!$P$4:$P$74,0)))</f>
        <v/>
      </c>
      <c r="Q21" s="13"/>
      <c r="R21" s="127" t="str">
        <f t="shared" si="0"/>
        <v/>
      </c>
      <c r="S21" s="127" t="str">
        <f t="shared" si="1"/>
        <v/>
      </c>
      <c r="T21" s="167" t="str">
        <f>IF(ISBLANK($F21),"",INDEX('eGRID2018 Subregion'!$J$7:$J$33,MATCH($F21,RegionGEN,0)))</f>
        <v/>
      </c>
      <c r="U21" s="13"/>
      <c r="V21" s="202" t="str">
        <f>IF(OR(ISBLANK($B21),ISBLANK($C21),$R21=""),"",ROUND($R21*INDEX('Diesel TRU Emission Factors'!$D$6:$D$76,MATCH($B21&amp;$C21,'Diesel TRU Emission Factors'!$R$6:$R$77,0))*GramsToMT,4))</f>
        <v/>
      </c>
      <c r="W21" s="202" t="str">
        <f>IF(OR(ISBLANK($B21),ISBLANK($C21),$R21=""),"",ROUND($R21*INDEX('Diesel TRU Emission Factors'!$E$6:$E$76,MATCH($B21&amp;$C21,'Diesel TRU Emission Factors'!$R$6:$R$77,0))*GramsToMT,4))</f>
        <v/>
      </c>
      <c r="X21" s="202" t="str">
        <f>IF(OR(ISBLANK($B21),ISBLANK($C21),$R21=""),"",ROUND($R21*INDEX('Diesel TRU Emission Factors'!$H$6:$H$76,MATCH($B21&amp;$C21,'Diesel TRU Emission Factors'!$R$6:$R$77,0))*GramsToMT,4))</f>
        <v/>
      </c>
      <c r="Y21" s="204" t="str">
        <f>IF(OR(ISBLANK($B21),ISBLANK($C21),$R21=""),"",ROUND($R21*INDEX('Diesel TRU Emission Factors'!$F$6:$F$76,MATCH($B21&amp;$C21,'Diesel TRU Emission Factors'!$R$6:$R$77,0))*GramsToMT,1))</f>
        <v/>
      </c>
      <c r="Z21" s="204" t="str">
        <f>IF(OR(ISBLANK($B21),ISBLANK($C21),$R21=""),"",$R21*INDEX('Diesel TRU Emission Factors'!$G$6:$G$76,MATCH($B21&amp;$C21,'Diesel TRU Emission Factors'!$R$6:$R$77,0))*GramsToMT)</f>
        <v/>
      </c>
      <c r="AA21" s="206" t="str">
        <f>IF(ISBLANK(F21),"",R21*GalTokWh*'Diesel TRU Emission Factors'!$P$4/1000000)</f>
        <v/>
      </c>
      <c r="AB21" s="206" t="str">
        <f>IF(ISBLANK($F21),"",ROUND(Y21*References!$B$28+Z21*References!$B$29+'General Calculator'!AA21*References!$B$30,1))</f>
        <v/>
      </c>
      <c r="AC21" s="5"/>
      <c r="AD21" s="202" t="str">
        <f>IF(OR(ISBLANK($F21),$S21="",$T21=""),"",ROUND($S21*(1+$T21)*INDEX('eGRID2018 Subregion'!$C$7:$C$33,MATCH($F21,RegionGEN,0))*GramsToMT,4))</f>
        <v/>
      </c>
      <c r="AE21" s="202" t="str">
        <f>IF(OR(ISBLANK($F21),$S21="",$T21=""),"",ROUND($S21*(1+$T21)*INDEX('eGRID2018 Subregion'!$D$7:$D$33,MATCH($F21,RegionGEN,0))*GramsToMT,4))</f>
        <v/>
      </c>
      <c r="AF21" s="202" t="str">
        <f>IF(OR(ISBLANK($F21),$S21="",$T21=""),"",ROUND($S21*(1+$T21)*INDEX('eGRID2018 Subregion'!$I$7:$I$33,MATCH($F21,RegionGEN,0))*GramsToMT,4))</f>
        <v/>
      </c>
      <c r="AG21" s="204" t="str">
        <f>IF(OR(ISBLANK($F21),$S21="",$T21=""),"",ROUND($S21*(1+$T21)*INDEX('eGRID2018 Subregion'!$E$7:$E$33,MATCH($F21,RegionGEN,0))*GramsToMT,1))</f>
        <v/>
      </c>
      <c r="AH21" s="204" t="str">
        <f>IF(OR(ISBLANK($F21),$S21="",$T21=""),"",$S21*(1+$T21)*INDEX('eGRID2018 Subregion'!$F$7:$F$33,MATCH($F21,RegionGEN,0))*GramsToMT)</f>
        <v/>
      </c>
      <c r="AI21" s="204" t="str">
        <f>IF(OR(ISBLANK($F21),$S21="",$T21=""),"",$S21*(1+$T21)*INDEX('eGRID2018 Subregion'!$G$7:$G$33,MATCH($F21,RegionGEN,0))*GramsToMT)</f>
        <v/>
      </c>
      <c r="AJ21" s="204" t="str">
        <f>IF(ISBLANK($F21),"",ROUND(AG21*References!$B$28+AH21*References!$B$29+'General Calculator'!AI21*References!$B$30,1))</f>
        <v/>
      </c>
      <c r="AK21" s="5"/>
      <c r="AL21" s="202" t="str">
        <f t="shared" si="2"/>
        <v/>
      </c>
      <c r="AM21" s="202" t="str">
        <f t="shared" si="3"/>
        <v/>
      </c>
      <c r="AN21" s="202" t="str">
        <f t="shared" si="4"/>
        <v/>
      </c>
      <c r="AO21" s="204" t="str">
        <f t="shared" si="5"/>
        <v/>
      </c>
      <c r="AP21" s="204" t="str">
        <f t="shared" si="6"/>
        <v/>
      </c>
      <c r="AQ21" s="1"/>
      <c r="AR21" s="164" t="str">
        <f t="shared" si="7"/>
        <v/>
      </c>
      <c r="AS21" s="164" t="str">
        <f>IF(OR($W21="",$AM21="",$W21=0),"", $AM21/$W21)</f>
        <v/>
      </c>
      <c r="AT21" s="164" t="str">
        <f t="shared" si="8"/>
        <v/>
      </c>
      <c r="AU21" s="164" t="str">
        <f t="shared" si="9"/>
        <v/>
      </c>
      <c r="AV21" s="164" t="str">
        <f t="shared" si="10"/>
        <v/>
      </c>
      <c r="AW21" s="13"/>
      <c r="AX21" s="180" t="str">
        <f t="shared" si="11"/>
        <v/>
      </c>
      <c r="AY21" s="180" t="str">
        <f t="shared" si="12"/>
        <v/>
      </c>
      <c r="AZ21" s="180" t="str">
        <f>IF(OR($AX21="",$AY21=""),"",$AX21+$AY21)</f>
        <v/>
      </c>
      <c r="BA21" s="5"/>
      <c r="BB21" s="180" t="str">
        <f t="shared" si="13"/>
        <v/>
      </c>
      <c r="BC21" s="180" t="str">
        <f>IF(OR($R21="",$L21="",$M21="",$S21="",$T21=""),"",($R21*$L21*GalTokWh)-($S21*$M21*(1+$T21)))</f>
        <v/>
      </c>
      <c r="BD21" s="180" t="str">
        <f>IF(OR($BB21="",$BC21=""),"",$BB21+$BC21)</f>
        <v/>
      </c>
      <c r="BE21" s="5"/>
    </row>
    <row r="22" spans="1:57">
      <c r="A22" s="105"/>
      <c r="B22" s="105"/>
      <c r="C22" s="105"/>
      <c r="D22" s="106"/>
      <c r="E22" s="411"/>
      <c r="F22" s="105"/>
      <c r="G22" s="13" t="str">
        <f>IF(OR(ISBLANK($B22),ISBLANK($C22)),"",INDEX('TRU Ops &amp; Costs'!$D$4:$D$74,MATCH($B22&amp;$C22,'TRU Ops &amp; Costs'!$P$4:$P$74,0))/0.7457)</f>
        <v/>
      </c>
      <c r="H22" s="66" t="str">
        <f>IF(OR(ISBLANK($B22),ISBLANK($C22)),"",INDEX('TRU Ops &amp; Costs'!$E$4:$E$74,MATCH($B22&amp;$C22,'TRU Ops &amp; Costs'!$P$4:$P$74,0)))</f>
        <v/>
      </c>
      <c r="I22" s="13" t="str">
        <f>IF(OR(ISBLANK($B22),ISBLANK($C22)),"",INDEX('TRU Ops &amp; Costs'!$F$4:$F$74,MATCH($B22&amp;$C22,'TRU Ops &amp; Costs'!$P$4:$P$74,0)))</f>
        <v/>
      </c>
      <c r="J22" s="65" t="str">
        <f>IF(OR(ISBLANK($B22),ISBLANK($C22)),"",INDEX('TRU Ops &amp; Costs'!$G$4:$G$74,MATCH($B22&amp;$C22,'TRU Ops &amp; Costs'!$P$4:$P$74,0)))</f>
        <v/>
      </c>
      <c r="K22" s="13" t="str">
        <f t="shared" si="14"/>
        <v/>
      </c>
      <c r="L22" s="70" t="str">
        <f>IF(ISBLANK($F22),"",INDEX('Diesel Fuel Prices'!$D$5:$D$31,MATCH($F22,'Diesel Fuel Prices'!$B$5:$B$31,0))*References!$B$38/References!$B$37)</f>
        <v/>
      </c>
      <c r="M22" s="70" t="str">
        <f>IF(ISBLANK($F22),"",VLOOKUP($F22,'Electricity Prices'!$B$4:$F$31,5,FALSE)*References!$B$38/References!$B$37)</f>
        <v/>
      </c>
      <c r="N22" s="71" t="str">
        <f>IF(OR(ISBLANK($B22),ISBLANK($C22)),"",INDEX('TRU Ops &amp; Costs'!$I$4:$I$74,MATCH($B22&amp;$C22,'TRU Ops &amp; Costs'!$P$4:$P$74,0)))</f>
        <v/>
      </c>
      <c r="O22" s="71" t="str">
        <f>IF(OR(ISBLANK($B22),ISBLANK($C22)),"",IF(E22="Yard",INDEX('TRU Ops &amp; Costs'!$J$4:$J$74,MATCH($B22&amp;$C22,'TRU Ops &amp; Costs'!$P$4:$P$74,0)),INDEX('TRU Ops &amp; Costs'!$K$4:$K$74,MATCH($B22&amp;$C22,'TRU Ops &amp; Costs'!$P$4:$P$74,0))))</f>
        <v/>
      </c>
      <c r="P22" s="71" t="str">
        <f>IF(OR(ISBLANK($B22),ISBLANK($C22)),"",$K22*INDEX('TRU Ops &amp; Costs'!$M$4:$M$74,MATCH($B22&amp;$C22,'TRU Ops &amp; Costs'!$P$4:$P$74,0))*-INDEX('TRU Ops &amp; Costs'!$L$4:$L$74,MATCH($B22&amp;$C22,'TRU Ops &amp; Costs'!$P$4:$P$74,0)))</f>
        <v/>
      </c>
      <c r="Q22" s="13"/>
      <c r="R22" s="128" t="str">
        <f t="shared" si="0"/>
        <v/>
      </c>
      <c r="S22" s="128" t="str">
        <f t="shared" si="1"/>
        <v/>
      </c>
      <c r="T22" s="168" t="str">
        <f>IF(ISBLANK($F22),"",INDEX('eGRID2018 Subregion'!$J$7:$J$33,MATCH($F22,RegionGEN,0)))</f>
        <v/>
      </c>
      <c r="U22" s="13"/>
      <c r="V22" s="203" t="str">
        <f>IF(OR(ISBLANK($B22),ISBLANK($C22),$R22=""),"",ROUND($R22*INDEX('Diesel TRU Emission Factors'!$D$6:$D$76,MATCH($B22&amp;$C22,'Diesel TRU Emission Factors'!$R$6:$R$77,0))*GramsToMT,4))</f>
        <v/>
      </c>
      <c r="W22" s="203" t="str">
        <f>IF(OR(ISBLANK($B22),ISBLANK($C22),$R22=""),"",ROUND($R22*INDEX('Diesel TRU Emission Factors'!$E$6:$E$76,MATCH($B22&amp;$C22,'Diesel TRU Emission Factors'!$R$6:$R$77,0))*GramsToMT,4))</f>
        <v/>
      </c>
      <c r="X22" s="203" t="str">
        <f>IF(OR(ISBLANK($B22),ISBLANK($C22),$R22=""),"",ROUND($R22*INDEX('Diesel TRU Emission Factors'!$H$6:$H$76,MATCH($B22&amp;$C22,'Diesel TRU Emission Factors'!$R$6:$R$77,0))*GramsToMT,4))</f>
        <v/>
      </c>
      <c r="Y22" s="205" t="str">
        <f>IF(OR(ISBLANK($B22),ISBLANK($C22),$R22=""),"",ROUND($R22*INDEX('Diesel TRU Emission Factors'!$F$6:$F$76,MATCH($B22&amp;$C22,'Diesel TRU Emission Factors'!$R$6:$R$77,0))*GramsToMT,1))</f>
        <v/>
      </c>
      <c r="Z22" s="205" t="str">
        <f>IF(OR(ISBLANK($B22),ISBLANK($C22),$R22=""),"",$R22*INDEX('Diesel TRU Emission Factors'!$G$6:$G$76,MATCH($B22&amp;$C22,'Diesel TRU Emission Factors'!$R$6:$R$77,0))*GramsToMT)</f>
        <v/>
      </c>
      <c r="AA22" s="207" t="str">
        <f>IF(ISBLANK(F22),"",R22*GalTokWh*'Diesel TRU Emission Factors'!$P$4/1000000)</f>
        <v/>
      </c>
      <c r="AB22" s="207" t="str">
        <f>IF(ISBLANK($F22),"",ROUND(Y22*References!$B$28+Z22*References!$B$29+'General Calculator'!AA22*References!$B$30,1))</f>
        <v/>
      </c>
      <c r="AC22" s="5"/>
      <c r="AD22" s="203" t="str">
        <f>IF(OR(ISBLANK($F22),$S22="",$T22=""),"",ROUND($S22*(1+$T22)*INDEX('eGRID2018 Subregion'!$C$7:$C$33,MATCH($F22,RegionGEN,0))*GramsToMT,4))</f>
        <v/>
      </c>
      <c r="AE22" s="203" t="str">
        <f>IF(OR(ISBLANK($F22),$S22="",$T22=""),"",ROUND($S22*(1+$T22)*INDEX('eGRID2018 Subregion'!$D$7:$D$33,MATCH($F22,RegionGEN,0))*GramsToMT,4))</f>
        <v/>
      </c>
      <c r="AF22" s="203" t="str">
        <f>IF(OR(ISBLANK($F22),$S22="",$T22=""),"",ROUND($S22*(1+$T22)*INDEX('eGRID2018 Subregion'!$I$7:$I$33,MATCH($F22,RegionGEN,0))*GramsToMT,4))</f>
        <v/>
      </c>
      <c r="AG22" s="205" t="str">
        <f>IF(OR(ISBLANK($F22),$S22="",$T22=""),"",ROUND($S22*(1+$T22)*INDEX('eGRID2018 Subregion'!$E$7:$E$33,MATCH($F22,RegionGEN,0))*GramsToMT,1))</f>
        <v/>
      </c>
      <c r="AH22" s="205" t="str">
        <f>IF(OR(ISBLANK($F22),$S22="",$T22=""),"",$S22*(1+$T22)*INDEX('eGRID2018 Subregion'!$F$7:$F$33,MATCH($F22,RegionGEN,0))*GramsToMT)</f>
        <v/>
      </c>
      <c r="AI22" s="205" t="str">
        <f>IF(OR(ISBLANK($F22),$S22="",$T22=""),"",$S22*(1+$T22)*INDEX('eGRID2018 Subregion'!$G$7:$G$33,MATCH($F22,RegionGEN,0))*GramsToMT)</f>
        <v/>
      </c>
      <c r="AJ22" s="205" t="str">
        <f>IF(ISBLANK($F22),"",ROUND(AG22*References!$B$28+AH22*References!$B$29+'General Calculator'!AI22*References!$B$30,1))</f>
        <v/>
      </c>
      <c r="AK22" s="5"/>
      <c r="AL22" s="203" t="str">
        <f t="shared" si="2"/>
        <v/>
      </c>
      <c r="AM22" s="203" t="str">
        <f t="shared" si="3"/>
        <v/>
      </c>
      <c r="AN22" s="203" t="str">
        <f t="shared" si="4"/>
        <v/>
      </c>
      <c r="AO22" s="205" t="str">
        <f t="shared" si="5"/>
        <v/>
      </c>
      <c r="AP22" s="205" t="str">
        <f t="shared" si="6"/>
        <v/>
      </c>
      <c r="AQ22" s="1"/>
      <c r="AR22" s="165" t="str">
        <f t="shared" si="7"/>
        <v/>
      </c>
      <c r="AS22" s="165" t="str">
        <f t="shared" ref="AS22" si="26">IF(OR(W22="",AM22="",W22=0),"", AM22/W22)</f>
        <v/>
      </c>
      <c r="AT22" s="165" t="str">
        <f t="shared" si="8"/>
        <v/>
      </c>
      <c r="AU22" s="165" t="str">
        <f t="shared" si="9"/>
        <v/>
      </c>
      <c r="AV22" s="165" t="str">
        <f t="shared" si="10"/>
        <v/>
      </c>
      <c r="AW22" s="13"/>
      <c r="AX22" s="179" t="str">
        <f t="shared" si="11"/>
        <v/>
      </c>
      <c r="AY22" s="179" t="str">
        <f t="shared" si="12"/>
        <v/>
      </c>
      <c r="AZ22" s="179" t="str">
        <f t="shared" si="16"/>
        <v/>
      </c>
      <c r="BA22" s="5"/>
      <c r="BB22" s="179" t="str">
        <f t="shared" si="13"/>
        <v/>
      </c>
      <c r="BC22" s="179" t="str">
        <f t="shared" si="17"/>
        <v/>
      </c>
      <c r="BD22" s="179" t="str">
        <f t="shared" si="18"/>
        <v/>
      </c>
      <c r="BE22" s="5"/>
    </row>
    <row r="23" spans="1:57">
      <c r="A23" s="103"/>
      <c r="B23" s="103"/>
      <c r="C23" s="103"/>
      <c r="D23" s="104"/>
      <c r="E23" s="410"/>
      <c r="F23" s="103"/>
      <c r="G23" s="13" t="str">
        <f>IF(OR(ISBLANK($B23),ISBLANK($C23)),"",INDEX('TRU Ops &amp; Costs'!$D$4:$D$74,MATCH($B23&amp;$C23,'TRU Ops &amp; Costs'!$P$4:$P$74,0))/0.7457)</f>
        <v/>
      </c>
      <c r="H23" s="66" t="str">
        <f>IF(OR(ISBLANK($B23),ISBLANK($C23)),"",INDEX('TRU Ops &amp; Costs'!$E$4:$E$74,MATCH($B23&amp;$C23,'TRU Ops &amp; Costs'!$P$4:$P$74,0)))</f>
        <v/>
      </c>
      <c r="I23" s="13" t="str">
        <f>IF(OR(ISBLANK($B23),ISBLANK($C23)),"",INDEX('TRU Ops &amp; Costs'!$F$4:$F$74,MATCH($B23&amp;$C23,'TRU Ops &amp; Costs'!$P$4:$P$74,0)))</f>
        <v/>
      </c>
      <c r="J23" s="65" t="str">
        <f>IF(OR(ISBLANK($B23),ISBLANK($C23)),"",INDEX('TRU Ops &amp; Costs'!$G$4:$G$74,MATCH($B23&amp;$C23,'TRU Ops &amp; Costs'!$P$4:$P$74,0)))</f>
        <v/>
      </c>
      <c r="K23" s="13" t="str">
        <f t="shared" si="14"/>
        <v/>
      </c>
      <c r="L23" s="70" t="str">
        <f>IF(ISBLANK($F23),"",INDEX('Diesel Fuel Prices'!$D$5:$D$31,MATCH($F23,'Diesel Fuel Prices'!$B$5:$B$31,0))*References!$B$38/References!$B$37)</f>
        <v/>
      </c>
      <c r="M23" s="70" t="str">
        <f>IF(ISBLANK($F23),"",VLOOKUP($F23,'Electricity Prices'!$B$4:$F$31,5,FALSE)*References!$B$38/References!$B$37)</f>
        <v/>
      </c>
      <c r="N23" s="71" t="str">
        <f>IF(OR(ISBLANK($B23),ISBLANK($C23)),"",INDEX('TRU Ops &amp; Costs'!$I$4:$I$74,MATCH($B23&amp;$C23,'TRU Ops &amp; Costs'!$P$4:$P$74,0)))</f>
        <v/>
      </c>
      <c r="O23" s="71" t="str">
        <f>IF(OR(ISBLANK($B23),ISBLANK($C23)),"",IF(E23="Yard",INDEX('TRU Ops &amp; Costs'!$J$4:$J$74,MATCH($B23&amp;$C23,'TRU Ops &amp; Costs'!$P$4:$P$74,0)),INDEX('TRU Ops &amp; Costs'!$K$4:$K$74,MATCH($B23&amp;$C23,'TRU Ops &amp; Costs'!$P$4:$P$74,0))))</f>
        <v/>
      </c>
      <c r="P23" s="71" t="str">
        <f>IF(OR(ISBLANK($B23),ISBLANK($C23)),"",$K23*INDEX('TRU Ops &amp; Costs'!$M$4:$M$74,MATCH($B23&amp;$C23,'TRU Ops &amp; Costs'!$P$4:$P$74,0))*-INDEX('TRU Ops &amp; Costs'!$L$4:$L$74,MATCH($B23&amp;$C23,'TRU Ops &amp; Costs'!$P$4:$P$74,0)))</f>
        <v/>
      </c>
      <c r="Q23" s="13"/>
      <c r="R23" s="127" t="str">
        <f t="shared" si="0"/>
        <v/>
      </c>
      <c r="S23" s="127" t="str">
        <f t="shared" si="1"/>
        <v/>
      </c>
      <c r="T23" s="167" t="str">
        <f>IF(ISBLANK($F23),"",INDEX('eGRID2018 Subregion'!$J$7:$J$33,MATCH($F23,RegionGEN,0)))</f>
        <v/>
      </c>
      <c r="U23" s="13"/>
      <c r="V23" s="202" t="str">
        <f>IF(OR(ISBLANK($B23),ISBLANK($C23),$R23=""),"",ROUND($R23*INDEX('Diesel TRU Emission Factors'!$D$6:$D$76,MATCH($B23&amp;$C23,'Diesel TRU Emission Factors'!$R$6:$R$77,0))*GramsToMT,4))</f>
        <v/>
      </c>
      <c r="W23" s="202" t="str">
        <f>IF(OR(ISBLANK($B23),ISBLANK($C23),$R23=""),"",ROUND($R23*INDEX('Diesel TRU Emission Factors'!$E$6:$E$76,MATCH($B23&amp;$C23,'Diesel TRU Emission Factors'!$R$6:$R$77,0))*GramsToMT,4))</f>
        <v/>
      </c>
      <c r="X23" s="202" t="str">
        <f>IF(OR(ISBLANK($B23),ISBLANK($C23),$R23=""),"",ROUND($R23*INDEX('Diesel TRU Emission Factors'!$H$6:$H$76,MATCH($B23&amp;$C23,'Diesel TRU Emission Factors'!$R$6:$R$77,0))*GramsToMT,4))</f>
        <v/>
      </c>
      <c r="Y23" s="204" t="str">
        <f>IF(OR(ISBLANK($B23),ISBLANK($C23),$R23=""),"",ROUND($R23*INDEX('Diesel TRU Emission Factors'!$F$6:$F$76,MATCH($B23&amp;$C23,'Diesel TRU Emission Factors'!$R$6:$R$77,0))*GramsToMT,1))</f>
        <v/>
      </c>
      <c r="Z23" s="204" t="str">
        <f>IF(OR(ISBLANK($B23),ISBLANK($C23),$R23=""),"",$R23*INDEX('Diesel TRU Emission Factors'!$G$6:$G$76,MATCH($B23&amp;$C23,'Diesel TRU Emission Factors'!$R$6:$R$77,0))*GramsToMT)</f>
        <v/>
      </c>
      <c r="AA23" s="206" t="str">
        <f>IF(ISBLANK(F23),"",R23*GalTokWh*'Diesel TRU Emission Factors'!$P$4/1000000)</f>
        <v/>
      </c>
      <c r="AB23" s="206" t="str">
        <f>IF(ISBLANK($F23),"",ROUND(Y23*References!$B$28+Z23*References!$B$29+'General Calculator'!AA23*References!$B$30,1))</f>
        <v/>
      </c>
      <c r="AC23" s="5"/>
      <c r="AD23" s="202" t="str">
        <f>IF(OR(ISBLANK($F23),$S23="",$T23=""),"",ROUND($S23*(1+$T23)*INDEX('eGRID2018 Subregion'!$C$7:$C$33,MATCH($F23,RegionGEN,0))*GramsToMT,4))</f>
        <v/>
      </c>
      <c r="AE23" s="202" t="str">
        <f>IF(OR(ISBLANK($F23),$S23="",$T23=""),"",ROUND($S23*(1+$T23)*INDEX('eGRID2018 Subregion'!$D$7:$D$33,MATCH($F23,RegionGEN,0))*GramsToMT,4))</f>
        <v/>
      </c>
      <c r="AF23" s="202" t="str">
        <f>IF(OR(ISBLANK($F23),$S23="",$T23=""),"",ROUND($S23*(1+$T23)*INDEX('eGRID2018 Subregion'!$I$7:$I$33,MATCH($F23,RegionGEN,0))*GramsToMT,4))</f>
        <v/>
      </c>
      <c r="AG23" s="204" t="str">
        <f>IF(OR(ISBLANK($F23),$S23="",$T23=""),"",ROUND($S23*(1+$T23)*INDEX('eGRID2018 Subregion'!$E$7:$E$33,MATCH($F23,RegionGEN,0))*GramsToMT,1))</f>
        <v/>
      </c>
      <c r="AH23" s="204" t="str">
        <f>IF(OR(ISBLANK($F23),$S23="",$T23=""),"",$S23*(1+$T23)*INDEX('eGRID2018 Subregion'!$F$7:$F$33,MATCH($F23,RegionGEN,0))*GramsToMT)</f>
        <v/>
      </c>
      <c r="AI23" s="204" t="str">
        <f>IF(OR(ISBLANK($F23),$S23="",$T23=""),"",$S23*(1+$T23)*INDEX('eGRID2018 Subregion'!$G$7:$G$33,MATCH($F23,RegionGEN,0))*GramsToMT)</f>
        <v/>
      </c>
      <c r="AJ23" s="204" t="str">
        <f>IF(ISBLANK($F23),"",ROUND(AG23*References!$B$28+AH23*References!$B$29+'General Calculator'!AI23*References!$B$30,1))</f>
        <v/>
      </c>
      <c r="AK23" s="5"/>
      <c r="AL23" s="202" t="str">
        <f t="shared" si="2"/>
        <v/>
      </c>
      <c r="AM23" s="202" t="str">
        <f t="shared" si="3"/>
        <v/>
      </c>
      <c r="AN23" s="202" t="str">
        <f t="shared" si="4"/>
        <v/>
      </c>
      <c r="AO23" s="204" t="str">
        <f t="shared" si="5"/>
        <v/>
      </c>
      <c r="AP23" s="204" t="str">
        <f t="shared" si="6"/>
        <v/>
      </c>
      <c r="AQ23" s="1"/>
      <c r="AR23" s="164" t="str">
        <f t="shared" si="7"/>
        <v/>
      </c>
      <c r="AS23" s="164" t="str">
        <f>IF(OR($W23="",$AM23="",$W23=0),"", $AM23/$W23)</f>
        <v/>
      </c>
      <c r="AT23" s="164" t="str">
        <f t="shared" si="8"/>
        <v/>
      </c>
      <c r="AU23" s="164" t="str">
        <f t="shared" si="9"/>
        <v/>
      </c>
      <c r="AV23" s="164" t="str">
        <f t="shared" si="10"/>
        <v/>
      </c>
      <c r="AW23" s="13"/>
      <c r="AX23" s="180" t="str">
        <f t="shared" si="11"/>
        <v/>
      </c>
      <c r="AY23" s="180" t="str">
        <f t="shared" si="12"/>
        <v/>
      </c>
      <c r="AZ23" s="180" t="str">
        <f>IF(OR($AX23="",$AY23=""),"",$AX23+$AY23)</f>
        <v/>
      </c>
      <c r="BA23" s="5"/>
      <c r="BB23" s="180" t="str">
        <f t="shared" si="13"/>
        <v/>
      </c>
      <c r="BC23" s="180" t="str">
        <f>IF(OR($R23="",$L23="",$M23="",$S23="",$T23=""),"",($R23*$L23*GalTokWh)-($S23*$M23*(1+$T23)))</f>
        <v/>
      </c>
      <c r="BD23" s="180" t="str">
        <f>IF(OR($BB23="",$BC23=""),"",$BB23+$BC23)</f>
        <v/>
      </c>
      <c r="BE23" s="5"/>
    </row>
    <row r="24" spans="1:57">
      <c r="A24" s="105"/>
      <c r="B24" s="105"/>
      <c r="C24" s="105"/>
      <c r="D24" s="106"/>
      <c r="E24" s="411"/>
      <c r="F24" s="105"/>
      <c r="G24" s="13" t="str">
        <f>IF(OR(ISBLANK($B24),ISBLANK($C24)),"",INDEX('TRU Ops &amp; Costs'!$D$4:$D$74,MATCH($B24&amp;$C24,'TRU Ops &amp; Costs'!$P$4:$P$74,0))/0.7457)</f>
        <v/>
      </c>
      <c r="H24" s="66" t="str">
        <f>IF(OR(ISBLANK($B24),ISBLANK($C24)),"",INDEX('TRU Ops &amp; Costs'!$E$4:$E$74,MATCH($B24&amp;$C24,'TRU Ops &amp; Costs'!$P$4:$P$74,0)))</f>
        <v/>
      </c>
      <c r="I24" s="13" t="str">
        <f>IF(OR(ISBLANK($B24),ISBLANK($C24)),"",INDEX('TRU Ops &amp; Costs'!$F$4:$F$74,MATCH($B24&amp;$C24,'TRU Ops &amp; Costs'!$P$4:$P$74,0)))</f>
        <v/>
      </c>
      <c r="J24" s="65" t="str">
        <f>IF(OR(ISBLANK($B24),ISBLANK($C24)),"",INDEX('TRU Ops &amp; Costs'!$G$4:$G$74,MATCH($B24&amp;$C24,'TRU Ops &amp; Costs'!$P$4:$P$74,0)))</f>
        <v/>
      </c>
      <c r="K24" s="13" t="str">
        <f t="shared" si="14"/>
        <v/>
      </c>
      <c r="L24" s="70" t="str">
        <f>IF(ISBLANK($F24),"",INDEX('Diesel Fuel Prices'!$D$5:$D$31,MATCH($F24,'Diesel Fuel Prices'!$B$5:$B$31,0))*References!$B$38/References!$B$37)</f>
        <v/>
      </c>
      <c r="M24" s="70" t="str">
        <f>IF(ISBLANK($F24),"",VLOOKUP($F24,'Electricity Prices'!$B$4:$F$31,5,FALSE)*References!$B$38/References!$B$37)</f>
        <v/>
      </c>
      <c r="N24" s="71" t="str">
        <f>IF(OR(ISBLANK($B24),ISBLANK($C24)),"",INDEX('TRU Ops &amp; Costs'!$I$4:$I$74,MATCH($B24&amp;$C24,'TRU Ops &amp; Costs'!$P$4:$P$74,0)))</f>
        <v/>
      </c>
      <c r="O24" s="71" t="str">
        <f>IF(OR(ISBLANK($B24),ISBLANK($C24)),"",IF(E24="Yard",INDEX('TRU Ops &amp; Costs'!$J$4:$J$74,MATCH($B24&amp;$C24,'TRU Ops &amp; Costs'!$P$4:$P$74,0)),INDEX('TRU Ops &amp; Costs'!$K$4:$K$74,MATCH($B24&amp;$C24,'TRU Ops &amp; Costs'!$P$4:$P$74,0))))</f>
        <v/>
      </c>
      <c r="P24" s="71" t="str">
        <f>IF(OR(ISBLANK($B24),ISBLANK($C24)),"",$K24*INDEX('TRU Ops &amp; Costs'!$M$4:$M$74,MATCH($B24&amp;$C24,'TRU Ops &amp; Costs'!$P$4:$P$74,0))*-INDEX('TRU Ops &amp; Costs'!$L$4:$L$74,MATCH($B24&amp;$C24,'TRU Ops &amp; Costs'!$P$4:$P$74,0)))</f>
        <v/>
      </c>
      <c r="Q24" s="13"/>
      <c r="R24" s="128" t="str">
        <f t="shared" si="0"/>
        <v/>
      </c>
      <c r="S24" s="128" t="str">
        <f t="shared" si="1"/>
        <v/>
      </c>
      <c r="T24" s="168" t="str">
        <f>IF(ISBLANK($F24),"",INDEX('eGRID2018 Subregion'!$J$7:$J$33,MATCH($F24,RegionGEN,0)))</f>
        <v/>
      </c>
      <c r="U24" s="13"/>
      <c r="V24" s="203" t="str">
        <f>IF(OR(ISBLANK($B24),ISBLANK($C24),$R24=""),"",ROUND($R24*INDEX('Diesel TRU Emission Factors'!$D$6:$D$76,MATCH($B24&amp;$C24,'Diesel TRU Emission Factors'!$R$6:$R$77,0))*GramsToMT,4))</f>
        <v/>
      </c>
      <c r="W24" s="203" t="str">
        <f>IF(OR(ISBLANK($B24),ISBLANK($C24),$R24=""),"",ROUND($R24*INDEX('Diesel TRU Emission Factors'!$E$6:$E$76,MATCH($B24&amp;$C24,'Diesel TRU Emission Factors'!$R$6:$R$77,0))*GramsToMT,4))</f>
        <v/>
      </c>
      <c r="X24" s="203" t="str">
        <f>IF(OR(ISBLANK($B24),ISBLANK($C24),$R24=""),"",ROUND($R24*INDEX('Diesel TRU Emission Factors'!$H$6:$H$76,MATCH($B24&amp;$C24,'Diesel TRU Emission Factors'!$R$6:$R$77,0))*GramsToMT,4))</f>
        <v/>
      </c>
      <c r="Y24" s="205" t="str">
        <f>IF(OR(ISBLANK($B24),ISBLANK($C24),$R24=""),"",ROUND($R24*INDEX('Diesel TRU Emission Factors'!$F$6:$F$76,MATCH($B24&amp;$C24,'Diesel TRU Emission Factors'!$R$6:$R$77,0))*GramsToMT,1))</f>
        <v/>
      </c>
      <c r="Z24" s="205" t="str">
        <f>IF(OR(ISBLANK($B24),ISBLANK($C24),$R24=""),"",$R24*INDEX('Diesel TRU Emission Factors'!$G$6:$G$76,MATCH($B24&amp;$C24,'Diesel TRU Emission Factors'!$R$6:$R$77,0))*GramsToMT)</f>
        <v/>
      </c>
      <c r="AA24" s="207" t="str">
        <f>IF(ISBLANK(F24),"",R24*GalTokWh*'Diesel TRU Emission Factors'!$P$4/1000000)</f>
        <v/>
      </c>
      <c r="AB24" s="207" t="str">
        <f>IF(ISBLANK($F24),"",ROUND(Y24*References!$B$28+Z24*References!$B$29+'General Calculator'!AA24*References!$B$30,1))</f>
        <v/>
      </c>
      <c r="AC24" s="5"/>
      <c r="AD24" s="203" t="str">
        <f>IF(OR(ISBLANK($F24),$S24="",$T24=""),"",ROUND($S24*(1+$T24)*INDEX('eGRID2018 Subregion'!$C$7:$C$33,MATCH($F24,RegionGEN,0))*GramsToMT,4))</f>
        <v/>
      </c>
      <c r="AE24" s="203" t="str">
        <f>IF(OR(ISBLANK($F24),$S24="",$T24=""),"",ROUND($S24*(1+$T24)*INDEX('eGRID2018 Subregion'!$D$7:$D$33,MATCH($F24,RegionGEN,0))*GramsToMT,4))</f>
        <v/>
      </c>
      <c r="AF24" s="203" t="str">
        <f>IF(OR(ISBLANK($F24),$S24="",$T24=""),"",ROUND($S24*(1+$T24)*INDEX('eGRID2018 Subregion'!$I$7:$I$33,MATCH($F24,RegionGEN,0))*GramsToMT,4))</f>
        <v/>
      </c>
      <c r="AG24" s="205" t="str">
        <f>IF(OR(ISBLANK($F24),$S24="",$T24=""),"",ROUND($S24*(1+$T24)*INDEX('eGRID2018 Subregion'!$E$7:$E$33,MATCH($F24,RegionGEN,0))*GramsToMT,1))</f>
        <v/>
      </c>
      <c r="AH24" s="205" t="str">
        <f>IF(OR(ISBLANK($F24),$S24="",$T24=""),"",$S24*(1+$T24)*INDEX('eGRID2018 Subregion'!$F$7:$F$33,MATCH($F24,RegionGEN,0))*GramsToMT)</f>
        <v/>
      </c>
      <c r="AI24" s="205" t="str">
        <f>IF(OR(ISBLANK($F24),$S24="",$T24=""),"",$S24*(1+$T24)*INDEX('eGRID2018 Subregion'!$G$7:$G$33,MATCH($F24,RegionGEN,0))*GramsToMT)</f>
        <v/>
      </c>
      <c r="AJ24" s="205" t="str">
        <f>IF(ISBLANK($F24),"",ROUND(AG24*References!$B$28+AH24*References!$B$29+'General Calculator'!AI24*References!$B$30,1))</f>
        <v/>
      </c>
      <c r="AK24" s="5"/>
      <c r="AL24" s="203" t="str">
        <f t="shared" si="2"/>
        <v/>
      </c>
      <c r="AM24" s="203" t="str">
        <f t="shared" si="3"/>
        <v/>
      </c>
      <c r="AN24" s="203" t="str">
        <f t="shared" si="4"/>
        <v/>
      </c>
      <c r="AO24" s="205" t="str">
        <f t="shared" si="5"/>
        <v/>
      </c>
      <c r="AP24" s="205" t="str">
        <f t="shared" si="6"/>
        <v/>
      </c>
      <c r="AQ24" s="1"/>
      <c r="AR24" s="165" t="str">
        <f t="shared" si="7"/>
        <v/>
      </c>
      <c r="AS24" s="165" t="str">
        <f t="shared" ref="AS24" si="27">IF(OR(W24="",AM24="",W24=0),"", AM24/W24)</f>
        <v/>
      </c>
      <c r="AT24" s="165" t="str">
        <f t="shared" si="8"/>
        <v/>
      </c>
      <c r="AU24" s="165" t="str">
        <f t="shared" si="9"/>
        <v/>
      </c>
      <c r="AV24" s="165" t="str">
        <f t="shared" si="10"/>
        <v/>
      </c>
      <c r="AW24" s="13"/>
      <c r="AX24" s="179" t="str">
        <f t="shared" si="11"/>
        <v/>
      </c>
      <c r="AY24" s="179" t="str">
        <f t="shared" si="12"/>
        <v/>
      </c>
      <c r="AZ24" s="179" t="str">
        <f t="shared" si="16"/>
        <v/>
      </c>
      <c r="BA24" s="5"/>
      <c r="BB24" s="179" t="str">
        <f t="shared" si="13"/>
        <v/>
      </c>
      <c r="BC24" s="179" t="str">
        <f t="shared" si="17"/>
        <v/>
      </c>
      <c r="BD24" s="179" t="str">
        <f t="shared" si="18"/>
        <v/>
      </c>
      <c r="BE24" s="5"/>
    </row>
    <row r="25" spans="1:57">
      <c r="A25" s="103"/>
      <c r="B25" s="103"/>
      <c r="C25" s="103"/>
      <c r="D25" s="104"/>
      <c r="E25" s="410"/>
      <c r="F25" s="103"/>
      <c r="G25" s="13" t="str">
        <f>IF(OR(ISBLANK($B25),ISBLANK($C25)),"",INDEX('TRU Ops &amp; Costs'!$D$4:$D$74,MATCH($B25&amp;$C25,'TRU Ops &amp; Costs'!$P$4:$P$74,0))/0.7457)</f>
        <v/>
      </c>
      <c r="H25" s="66" t="str">
        <f>IF(OR(ISBLANK($B25),ISBLANK($C25)),"",INDEX('TRU Ops &amp; Costs'!$E$4:$E$74,MATCH($B25&amp;$C25,'TRU Ops &amp; Costs'!$P$4:$P$74,0)))</f>
        <v/>
      </c>
      <c r="I25" s="13" t="str">
        <f>IF(OR(ISBLANK($B25),ISBLANK($C25)),"",INDEX('TRU Ops &amp; Costs'!$F$4:$F$74,MATCH($B25&amp;$C25,'TRU Ops &amp; Costs'!$P$4:$P$74,0)))</f>
        <v/>
      </c>
      <c r="J25" s="65" t="str">
        <f>IF(OR(ISBLANK($B25),ISBLANK($C25)),"",INDEX('TRU Ops &amp; Costs'!$G$4:$G$74,MATCH($B25&amp;$C25,'TRU Ops &amp; Costs'!$P$4:$P$74,0)))</f>
        <v/>
      </c>
      <c r="K25" s="13" t="str">
        <f t="shared" si="14"/>
        <v/>
      </c>
      <c r="L25" s="70" t="str">
        <f>IF(ISBLANK($F25),"",INDEX('Diesel Fuel Prices'!$D$5:$D$31,MATCH($F25,'Diesel Fuel Prices'!$B$5:$B$31,0))*References!$B$38/References!$B$37)</f>
        <v/>
      </c>
      <c r="M25" s="70" t="str">
        <f>IF(ISBLANK($F25),"",VLOOKUP($F25,'Electricity Prices'!$B$4:$F$31,5,FALSE)*References!$B$38/References!$B$37)</f>
        <v/>
      </c>
      <c r="N25" s="71" t="str">
        <f>IF(OR(ISBLANK($B25),ISBLANK($C25)),"",INDEX('TRU Ops &amp; Costs'!$I$4:$I$74,MATCH($B25&amp;$C25,'TRU Ops &amp; Costs'!$P$4:$P$74,0)))</f>
        <v/>
      </c>
      <c r="O25" s="71" t="str">
        <f>IF(OR(ISBLANK($B25),ISBLANK($C25)),"",IF(E25="Yard",INDEX('TRU Ops &amp; Costs'!$J$4:$J$74,MATCH($B25&amp;$C25,'TRU Ops &amp; Costs'!$P$4:$P$74,0)),INDEX('TRU Ops &amp; Costs'!$K$4:$K$74,MATCH($B25&amp;$C25,'TRU Ops &amp; Costs'!$P$4:$P$74,0))))</f>
        <v/>
      </c>
      <c r="P25" s="71" t="str">
        <f>IF(OR(ISBLANK($B25),ISBLANK($C25)),"",$K25*INDEX('TRU Ops &amp; Costs'!$M$4:$M$74,MATCH($B25&amp;$C25,'TRU Ops &amp; Costs'!$P$4:$P$74,0))*-INDEX('TRU Ops &amp; Costs'!$L$4:$L$74,MATCH($B25&amp;$C25,'TRU Ops &amp; Costs'!$P$4:$P$74,0)))</f>
        <v/>
      </c>
      <c r="Q25" s="13"/>
      <c r="R25" s="127" t="str">
        <f t="shared" si="0"/>
        <v/>
      </c>
      <c r="S25" s="127" t="str">
        <f t="shared" si="1"/>
        <v/>
      </c>
      <c r="T25" s="167" t="str">
        <f>IF(ISBLANK($F25),"",INDEX('eGRID2018 Subregion'!$J$7:$J$33,MATCH($F25,RegionGEN,0)))</f>
        <v/>
      </c>
      <c r="U25" s="13"/>
      <c r="V25" s="202" t="str">
        <f>IF(OR(ISBLANK($B25),ISBLANK($C25),$R25=""),"",ROUND($R25*INDEX('Diesel TRU Emission Factors'!$D$6:$D$76,MATCH($B25&amp;$C25,'Diesel TRU Emission Factors'!$R$6:$R$77,0))*GramsToMT,4))</f>
        <v/>
      </c>
      <c r="W25" s="202" t="str">
        <f>IF(OR(ISBLANK($B25),ISBLANK($C25),$R25=""),"",ROUND($R25*INDEX('Diesel TRU Emission Factors'!$E$6:$E$76,MATCH($B25&amp;$C25,'Diesel TRU Emission Factors'!$R$6:$R$77,0))*GramsToMT,4))</f>
        <v/>
      </c>
      <c r="X25" s="202" t="str">
        <f>IF(OR(ISBLANK($B25),ISBLANK($C25),$R25=""),"",ROUND($R25*INDEX('Diesel TRU Emission Factors'!$H$6:$H$76,MATCH($B25&amp;$C25,'Diesel TRU Emission Factors'!$R$6:$R$77,0))*GramsToMT,4))</f>
        <v/>
      </c>
      <c r="Y25" s="204" t="str">
        <f>IF(OR(ISBLANK($B25),ISBLANK($C25),$R25=""),"",ROUND($R25*INDEX('Diesel TRU Emission Factors'!$F$6:$F$76,MATCH($B25&amp;$C25,'Diesel TRU Emission Factors'!$R$6:$R$77,0))*GramsToMT,1))</f>
        <v/>
      </c>
      <c r="Z25" s="204" t="str">
        <f>IF(OR(ISBLANK($B25),ISBLANK($C25),$R25=""),"",$R25*INDEX('Diesel TRU Emission Factors'!$G$6:$G$76,MATCH($B25&amp;$C25,'Diesel TRU Emission Factors'!$R$6:$R$77,0))*GramsToMT)</f>
        <v/>
      </c>
      <c r="AA25" s="206" t="str">
        <f>IF(ISBLANK(F25),"",R25*GalTokWh*'Diesel TRU Emission Factors'!$P$4/1000000)</f>
        <v/>
      </c>
      <c r="AB25" s="206" t="str">
        <f>IF(ISBLANK($F25),"",ROUND(Y25*References!$B$28+Z25*References!$B$29+'General Calculator'!AA25*References!$B$30,1))</f>
        <v/>
      </c>
      <c r="AC25" s="5"/>
      <c r="AD25" s="202" t="str">
        <f>IF(OR(ISBLANK($F25),$S25="",$T25=""),"",ROUND($S25*(1+$T25)*INDEX('eGRID2018 Subregion'!$C$7:$C$33,MATCH($F25,RegionGEN,0))*GramsToMT,4))</f>
        <v/>
      </c>
      <c r="AE25" s="202" t="str">
        <f>IF(OR(ISBLANK($F25),$S25="",$T25=""),"",ROUND($S25*(1+$T25)*INDEX('eGRID2018 Subregion'!$D$7:$D$33,MATCH($F25,RegionGEN,0))*GramsToMT,4))</f>
        <v/>
      </c>
      <c r="AF25" s="202" t="str">
        <f>IF(OR(ISBLANK($F25),$S25="",$T25=""),"",ROUND($S25*(1+$T25)*INDEX('eGRID2018 Subregion'!$I$7:$I$33,MATCH($F25,RegionGEN,0))*GramsToMT,4))</f>
        <v/>
      </c>
      <c r="AG25" s="204" t="str">
        <f>IF(OR(ISBLANK($F25),$S25="",$T25=""),"",ROUND($S25*(1+$T25)*INDEX('eGRID2018 Subregion'!$E$7:$E$33,MATCH($F25,RegionGEN,0))*GramsToMT,1))</f>
        <v/>
      </c>
      <c r="AH25" s="204" t="str">
        <f>IF(OR(ISBLANK($F25),$S25="",$T25=""),"",$S25*(1+$T25)*INDEX('eGRID2018 Subregion'!$F$7:$F$33,MATCH($F25,RegionGEN,0))*GramsToMT)</f>
        <v/>
      </c>
      <c r="AI25" s="204" t="str">
        <f>IF(OR(ISBLANK($F25),$S25="",$T25=""),"",$S25*(1+$T25)*INDEX('eGRID2018 Subregion'!$G$7:$G$33,MATCH($F25,RegionGEN,0))*GramsToMT)</f>
        <v/>
      </c>
      <c r="AJ25" s="204" t="str">
        <f>IF(ISBLANK($F25),"",ROUND(AG25*References!$B$28+AH25*References!$B$29+'General Calculator'!AI25*References!$B$30,1))</f>
        <v/>
      </c>
      <c r="AK25" s="5"/>
      <c r="AL25" s="202" t="str">
        <f t="shared" si="2"/>
        <v/>
      </c>
      <c r="AM25" s="202" t="str">
        <f t="shared" si="3"/>
        <v/>
      </c>
      <c r="AN25" s="202" t="str">
        <f t="shared" si="4"/>
        <v/>
      </c>
      <c r="AO25" s="204" t="str">
        <f t="shared" si="5"/>
        <v/>
      </c>
      <c r="AP25" s="204" t="str">
        <f t="shared" si="6"/>
        <v/>
      </c>
      <c r="AQ25" s="1"/>
      <c r="AR25" s="164" t="str">
        <f t="shared" si="7"/>
        <v/>
      </c>
      <c r="AS25" s="164" t="str">
        <f>IF(OR($W25="",$AM25="",$W25=0),"", $AM25/$W25)</f>
        <v/>
      </c>
      <c r="AT25" s="164" t="str">
        <f t="shared" si="8"/>
        <v/>
      </c>
      <c r="AU25" s="164" t="str">
        <f t="shared" si="9"/>
        <v/>
      </c>
      <c r="AV25" s="164" t="str">
        <f t="shared" si="10"/>
        <v/>
      </c>
      <c r="AW25" s="13"/>
      <c r="AX25" s="180" t="str">
        <f t="shared" si="11"/>
        <v/>
      </c>
      <c r="AY25" s="180" t="str">
        <f t="shared" si="12"/>
        <v/>
      </c>
      <c r="AZ25" s="180" t="str">
        <f>IF(OR($AX25="",$AY25=""),"",$AX25+$AY25)</f>
        <v/>
      </c>
      <c r="BA25" s="5"/>
      <c r="BB25" s="180" t="str">
        <f t="shared" si="13"/>
        <v/>
      </c>
      <c r="BC25" s="180" t="str">
        <f>IF(OR($R25="",$L25="",$M25="",$S25="",$T25=""),"",($R25*$L25*GalTokWh)-($S25*$M25*(1+$T25)))</f>
        <v/>
      </c>
      <c r="BD25" s="180" t="str">
        <f>IF(OR($BB25="",$BC25=""),"",$BB25+$BC25)</f>
        <v/>
      </c>
      <c r="BE25" s="5"/>
    </row>
    <row r="26" spans="1:57">
      <c r="A26" s="105"/>
      <c r="B26" s="105"/>
      <c r="C26" s="105"/>
      <c r="D26" s="106"/>
      <c r="E26" s="411"/>
      <c r="F26" s="105"/>
      <c r="G26" s="13" t="str">
        <f>IF(OR(ISBLANK($B26),ISBLANK($C26)),"",INDEX('TRU Ops &amp; Costs'!$D$4:$D$74,MATCH($B26&amp;$C26,'TRU Ops &amp; Costs'!$P$4:$P$74,0))/0.7457)</f>
        <v/>
      </c>
      <c r="H26" s="66" t="str">
        <f>IF(OR(ISBLANK($B26),ISBLANK($C26)),"",INDEX('TRU Ops &amp; Costs'!$E$4:$E$74,MATCH($B26&amp;$C26,'TRU Ops &amp; Costs'!$P$4:$P$74,0)))</f>
        <v/>
      </c>
      <c r="I26" s="13" t="str">
        <f>IF(OR(ISBLANK($B26),ISBLANK($C26)),"",INDEX('TRU Ops &amp; Costs'!$F$4:$F$74,MATCH($B26&amp;$C26,'TRU Ops &amp; Costs'!$P$4:$P$74,0)))</f>
        <v/>
      </c>
      <c r="J26" s="65" t="str">
        <f>IF(OR(ISBLANK($B26),ISBLANK($C26)),"",INDEX('TRU Ops &amp; Costs'!$G$4:$G$74,MATCH($B26&amp;$C26,'TRU Ops &amp; Costs'!$P$4:$P$74,0)))</f>
        <v/>
      </c>
      <c r="K26" s="13" t="str">
        <f t="shared" si="14"/>
        <v/>
      </c>
      <c r="L26" s="70" t="str">
        <f>IF(ISBLANK($F26),"",INDEX('Diesel Fuel Prices'!$D$5:$D$31,MATCH($F26,'Diesel Fuel Prices'!$B$5:$B$31,0))*References!$B$38/References!$B$37)</f>
        <v/>
      </c>
      <c r="M26" s="70" t="str">
        <f>IF(ISBLANK($F26),"",VLOOKUP($F26,'Electricity Prices'!$B$4:$F$31,5,FALSE)*References!$B$38/References!$B$37)</f>
        <v/>
      </c>
      <c r="N26" s="71" t="str">
        <f>IF(OR(ISBLANK($B26),ISBLANK($C26)),"",INDEX('TRU Ops &amp; Costs'!$I$4:$I$74,MATCH($B26&amp;$C26,'TRU Ops &amp; Costs'!$P$4:$P$74,0)))</f>
        <v/>
      </c>
      <c r="O26" s="71" t="str">
        <f>IF(OR(ISBLANK($B26),ISBLANK($C26)),"",IF(E26="Yard",INDEX('TRU Ops &amp; Costs'!$J$4:$J$74,MATCH($B26&amp;$C26,'TRU Ops &amp; Costs'!$P$4:$P$74,0)),INDEX('TRU Ops &amp; Costs'!$K$4:$K$74,MATCH($B26&amp;$C26,'TRU Ops &amp; Costs'!$P$4:$P$74,0))))</f>
        <v/>
      </c>
      <c r="P26" s="71" t="str">
        <f>IF(OR(ISBLANK($B26),ISBLANK($C26)),"",$K26*INDEX('TRU Ops &amp; Costs'!$M$4:$M$74,MATCH($B26&amp;$C26,'TRU Ops &amp; Costs'!$P$4:$P$74,0))*-INDEX('TRU Ops &amp; Costs'!$L$4:$L$74,MATCH($B26&amp;$C26,'TRU Ops &amp; Costs'!$P$4:$P$74,0)))</f>
        <v/>
      </c>
      <c r="Q26" s="13"/>
      <c r="R26" s="128" t="str">
        <f t="shared" si="0"/>
        <v/>
      </c>
      <c r="S26" s="128" t="str">
        <f t="shared" si="1"/>
        <v/>
      </c>
      <c r="T26" s="168" t="str">
        <f>IF(ISBLANK($F26),"",INDEX('eGRID2018 Subregion'!$J$7:$J$33,MATCH($F26,RegionGEN,0)))</f>
        <v/>
      </c>
      <c r="U26" s="13"/>
      <c r="V26" s="203" t="str">
        <f>IF(OR(ISBLANK($B26),ISBLANK($C26),$R26=""),"",ROUND($R26*INDEX('Diesel TRU Emission Factors'!$D$6:$D$76,MATCH($B26&amp;$C26,'Diesel TRU Emission Factors'!$R$6:$R$77,0))*GramsToMT,4))</f>
        <v/>
      </c>
      <c r="W26" s="203" t="str">
        <f>IF(OR(ISBLANK($B26),ISBLANK($C26),$R26=""),"",ROUND($R26*INDEX('Diesel TRU Emission Factors'!$E$6:$E$76,MATCH($B26&amp;$C26,'Diesel TRU Emission Factors'!$R$6:$R$77,0))*GramsToMT,4))</f>
        <v/>
      </c>
      <c r="X26" s="203" t="str">
        <f>IF(OR(ISBLANK($B26),ISBLANK($C26),$R26=""),"",ROUND($R26*INDEX('Diesel TRU Emission Factors'!$H$6:$H$76,MATCH($B26&amp;$C26,'Diesel TRU Emission Factors'!$R$6:$R$77,0))*GramsToMT,4))</f>
        <v/>
      </c>
      <c r="Y26" s="205" t="str">
        <f>IF(OR(ISBLANK($B26),ISBLANK($C26),$R26=""),"",ROUND($R26*INDEX('Diesel TRU Emission Factors'!$F$6:$F$76,MATCH($B26&amp;$C26,'Diesel TRU Emission Factors'!$R$6:$R$77,0))*GramsToMT,1))</f>
        <v/>
      </c>
      <c r="Z26" s="205" t="str">
        <f>IF(OR(ISBLANK($B26),ISBLANK($C26),$R26=""),"",$R26*INDEX('Diesel TRU Emission Factors'!$G$6:$G$76,MATCH($B26&amp;$C26,'Diesel TRU Emission Factors'!$R$6:$R$77,0))*GramsToMT)</f>
        <v/>
      </c>
      <c r="AA26" s="207" t="str">
        <f>IF(ISBLANK(F26),"",R26*GalTokWh*'Diesel TRU Emission Factors'!$P$4/1000000)</f>
        <v/>
      </c>
      <c r="AB26" s="207" t="str">
        <f>IF(ISBLANK($F26),"",ROUND(Y26*References!$B$28+Z26*References!$B$29+'General Calculator'!AA26*References!$B$30,1))</f>
        <v/>
      </c>
      <c r="AC26" s="5"/>
      <c r="AD26" s="203" t="str">
        <f>IF(OR(ISBLANK($F26),$S26="",$T26=""),"",ROUND($S26*(1+$T26)*INDEX('eGRID2018 Subregion'!$C$7:$C$33,MATCH($F26,RegionGEN,0))*GramsToMT,4))</f>
        <v/>
      </c>
      <c r="AE26" s="203" t="str">
        <f>IF(OR(ISBLANK($F26),$S26="",$T26=""),"",ROUND($S26*(1+$T26)*INDEX('eGRID2018 Subregion'!$D$7:$D$33,MATCH($F26,RegionGEN,0))*GramsToMT,4))</f>
        <v/>
      </c>
      <c r="AF26" s="203" t="str">
        <f>IF(OR(ISBLANK($F26),$S26="",$T26=""),"",ROUND($S26*(1+$T26)*INDEX('eGRID2018 Subregion'!$I$7:$I$33,MATCH($F26,RegionGEN,0))*GramsToMT,4))</f>
        <v/>
      </c>
      <c r="AG26" s="205" t="str">
        <f>IF(OR(ISBLANK($F26),$S26="",$T26=""),"",ROUND($S26*(1+$T26)*INDEX('eGRID2018 Subregion'!$E$7:$E$33,MATCH($F26,RegionGEN,0))*GramsToMT,1))</f>
        <v/>
      </c>
      <c r="AH26" s="205" t="str">
        <f>IF(OR(ISBLANK($F26),$S26="",$T26=""),"",$S26*(1+$T26)*INDEX('eGRID2018 Subregion'!$F$7:$F$33,MATCH($F26,RegionGEN,0))*GramsToMT)</f>
        <v/>
      </c>
      <c r="AI26" s="205" t="str">
        <f>IF(OR(ISBLANK($F26),$S26="",$T26=""),"",$S26*(1+$T26)*INDEX('eGRID2018 Subregion'!$G$7:$G$33,MATCH($F26,RegionGEN,0))*GramsToMT)</f>
        <v/>
      </c>
      <c r="AJ26" s="205" t="str">
        <f>IF(ISBLANK($F26),"",ROUND(AG26*References!$B$28+AH26*References!$B$29+'General Calculator'!AI26*References!$B$30,1))</f>
        <v/>
      </c>
      <c r="AK26" s="5"/>
      <c r="AL26" s="203" t="str">
        <f t="shared" si="2"/>
        <v/>
      </c>
      <c r="AM26" s="203" t="str">
        <f t="shared" si="3"/>
        <v/>
      </c>
      <c r="AN26" s="203" t="str">
        <f t="shared" si="4"/>
        <v/>
      </c>
      <c r="AO26" s="205" t="str">
        <f t="shared" si="5"/>
        <v/>
      </c>
      <c r="AP26" s="205" t="str">
        <f t="shared" si="6"/>
        <v/>
      </c>
      <c r="AQ26" s="1"/>
      <c r="AR26" s="165" t="str">
        <f t="shared" si="7"/>
        <v/>
      </c>
      <c r="AS26" s="165" t="str">
        <f t="shared" ref="AS26" si="28">IF(OR(W26="",AM26="",W26=0),"", AM26/W26)</f>
        <v/>
      </c>
      <c r="AT26" s="165" t="str">
        <f t="shared" si="8"/>
        <v/>
      </c>
      <c r="AU26" s="165" t="str">
        <f t="shared" si="9"/>
        <v/>
      </c>
      <c r="AV26" s="165" t="str">
        <f t="shared" si="10"/>
        <v/>
      </c>
      <c r="AW26" s="13"/>
      <c r="AX26" s="179" t="str">
        <f t="shared" si="11"/>
        <v/>
      </c>
      <c r="AY26" s="179" t="str">
        <f t="shared" si="12"/>
        <v/>
      </c>
      <c r="AZ26" s="179" t="str">
        <f t="shared" si="16"/>
        <v/>
      </c>
      <c r="BA26" s="5"/>
      <c r="BB26" s="179" t="str">
        <f t="shared" si="13"/>
        <v/>
      </c>
      <c r="BC26" s="179" t="str">
        <f t="shared" si="17"/>
        <v/>
      </c>
      <c r="BD26" s="179" t="str">
        <f t="shared" si="18"/>
        <v/>
      </c>
      <c r="BE26" s="5"/>
    </row>
    <row r="27" spans="1:57">
      <c r="A27" s="103"/>
      <c r="B27" s="103"/>
      <c r="C27" s="103"/>
      <c r="D27" s="104"/>
      <c r="E27" s="410"/>
      <c r="F27" s="103"/>
      <c r="G27" s="13" t="str">
        <f>IF(OR(ISBLANK($B27),ISBLANK($C27)),"",INDEX('TRU Ops &amp; Costs'!$D$4:$D$74,MATCH($B27&amp;$C27,'TRU Ops &amp; Costs'!$P$4:$P$74,0))/0.7457)</f>
        <v/>
      </c>
      <c r="H27" s="66" t="str">
        <f>IF(OR(ISBLANK($B27),ISBLANK($C27)),"",INDEX('TRU Ops &amp; Costs'!$E$4:$E$74,MATCH($B27&amp;$C27,'TRU Ops &amp; Costs'!$P$4:$P$74,0)))</f>
        <v/>
      </c>
      <c r="I27" s="13" t="str">
        <f>IF(OR(ISBLANK($B27),ISBLANK($C27)),"",INDEX('TRU Ops &amp; Costs'!$F$4:$F$74,MATCH($B27&amp;$C27,'TRU Ops &amp; Costs'!$P$4:$P$74,0)))</f>
        <v/>
      </c>
      <c r="J27" s="65" t="str">
        <f>IF(OR(ISBLANK($B27),ISBLANK($C27)),"",INDEX('TRU Ops &amp; Costs'!$G$4:$G$74,MATCH($B27&amp;$C27,'TRU Ops &amp; Costs'!$P$4:$P$74,0)))</f>
        <v/>
      </c>
      <c r="K27" s="13" t="str">
        <f t="shared" si="14"/>
        <v/>
      </c>
      <c r="L27" s="70" t="str">
        <f>IF(ISBLANK($F27),"",INDEX('Diesel Fuel Prices'!$D$5:$D$31,MATCH($F27,'Diesel Fuel Prices'!$B$5:$B$31,0))*References!$B$38/References!$B$37)</f>
        <v/>
      </c>
      <c r="M27" s="70" t="str">
        <f>IF(ISBLANK($F27),"",VLOOKUP($F27,'Electricity Prices'!$B$4:$F$31,5,FALSE)*References!$B$38/References!$B$37)</f>
        <v/>
      </c>
      <c r="N27" s="71" t="str">
        <f>IF(OR(ISBLANK($B27),ISBLANK($C27)),"",INDEX('TRU Ops &amp; Costs'!$I$4:$I$74,MATCH($B27&amp;$C27,'TRU Ops &amp; Costs'!$P$4:$P$74,0)))</f>
        <v/>
      </c>
      <c r="O27" s="71" t="str">
        <f>IF(OR(ISBLANK($B27),ISBLANK($C27)),"",IF(E27="Yard",INDEX('TRU Ops &amp; Costs'!$J$4:$J$74,MATCH($B27&amp;$C27,'TRU Ops &amp; Costs'!$P$4:$P$74,0)),INDEX('TRU Ops &amp; Costs'!$K$4:$K$74,MATCH($B27&amp;$C27,'TRU Ops &amp; Costs'!$P$4:$P$74,0))))</f>
        <v/>
      </c>
      <c r="P27" s="71" t="str">
        <f>IF(OR(ISBLANK($B27),ISBLANK($C27)),"",$K27*INDEX('TRU Ops &amp; Costs'!$M$4:$M$74,MATCH($B27&amp;$C27,'TRU Ops &amp; Costs'!$P$4:$P$74,0))*-INDEX('TRU Ops &amp; Costs'!$L$4:$L$74,MATCH($B27&amp;$C27,'TRU Ops &amp; Costs'!$P$4:$P$74,0)))</f>
        <v/>
      </c>
      <c r="Q27" s="13"/>
      <c r="R27" s="127" t="str">
        <f t="shared" si="0"/>
        <v/>
      </c>
      <c r="S27" s="127" t="str">
        <f t="shared" si="1"/>
        <v/>
      </c>
      <c r="T27" s="167" t="str">
        <f>IF(ISBLANK($F27),"",INDEX('eGRID2018 Subregion'!$J$7:$J$33,MATCH($F27,RegionGEN,0)))</f>
        <v/>
      </c>
      <c r="U27" s="13"/>
      <c r="V27" s="202" t="str">
        <f>IF(OR(ISBLANK($B27),ISBLANK($C27),$R27=""),"",ROUND($R27*INDEX('Diesel TRU Emission Factors'!$D$6:$D$76,MATCH($B27&amp;$C27,'Diesel TRU Emission Factors'!$R$6:$R$77,0))*GramsToMT,4))</f>
        <v/>
      </c>
      <c r="W27" s="202" t="str">
        <f>IF(OR(ISBLANK($B27),ISBLANK($C27),$R27=""),"",ROUND($R27*INDEX('Diesel TRU Emission Factors'!$E$6:$E$76,MATCH($B27&amp;$C27,'Diesel TRU Emission Factors'!$R$6:$R$77,0))*GramsToMT,4))</f>
        <v/>
      </c>
      <c r="X27" s="202" t="str">
        <f>IF(OR(ISBLANK($B27),ISBLANK($C27),$R27=""),"",ROUND($R27*INDEX('Diesel TRU Emission Factors'!$H$6:$H$76,MATCH($B27&amp;$C27,'Diesel TRU Emission Factors'!$R$6:$R$77,0))*GramsToMT,4))</f>
        <v/>
      </c>
      <c r="Y27" s="204" t="str">
        <f>IF(OR(ISBLANK($B27),ISBLANK($C27),$R27=""),"",ROUND($R27*INDEX('Diesel TRU Emission Factors'!$F$6:$F$76,MATCH($B27&amp;$C27,'Diesel TRU Emission Factors'!$R$6:$R$77,0))*GramsToMT,1))</f>
        <v/>
      </c>
      <c r="Z27" s="204" t="str">
        <f>IF(OR(ISBLANK($B27),ISBLANK($C27),$R27=""),"",$R27*INDEX('Diesel TRU Emission Factors'!$G$6:$G$76,MATCH($B27&amp;$C27,'Diesel TRU Emission Factors'!$R$6:$R$77,0))*GramsToMT)</f>
        <v/>
      </c>
      <c r="AA27" s="206" t="str">
        <f>IF(ISBLANK(F27),"",R27*GalTokWh*'Diesel TRU Emission Factors'!$P$4/1000000)</f>
        <v/>
      </c>
      <c r="AB27" s="206" t="str">
        <f>IF(ISBLANK($F27),"",ROUND(Y27*References!$B$28+Z27*References!$B$29+'General Calculator'!AA27*References!$B$30,1))</f>
        <v/>
      </c>
      <c r="AC27" s="5"/>
      <c r="AD27" s="202" t="str">
        <f>IF(OR(ISBLANK($F27),$S27="",$T27=""),"",ROUND($S27*(1+$T27)*INDEX('eGRID2018 Subregion'!$C$7:$C$33,MATCH($F27,RegionGEN,0))*GramsToMT,4))</f>
        <v/>
      </c>
      <c r="AE27" s="202" t="str">
        <f>IF(OR(ISBLANK($F27),$S27="",$T27=""),"",ROUND($S27*(1+$T27)*INDEX('eGRID2018 Subregion'!$D$7:$D$33,MATCH($F27,RegionGEN,0))*GramsToMT,4))</f>
        <v/>
      </c>
      <c r="AF27" s="202" t="str">
        <f>IF(OR(ISBLANK($F27),$S27="",$T27=""),"",ROUND($S27*(1+$T27)*INDEX('eGRID2018 Subregion'!$I$7:$I$33,MATCH($F27,RegionGEN,0))*GramsToMT,4))</f>
        <v/>
      </c>
      <c r="AG27" s="204" t="str">
        <f>IF(OR(ISBLANK($F27),$S27="",$T27=""),"",ROUND($S27*(1+$T27)*INDEX('eGRID2018 Subregion'!$E$7:$E$33,MATCH($F27,RegionGEN,0))*GramsToMT,1))</f>
        <v/>
      </c>
      <c r="AH27" s="204" t="str">
        <f>IF(OR(ISBLANK($F27),$S27="",$T27=""),"",$S27*(1+$T27)*INDEX('eGRID2018 Subregion'!$F$7:$F$33,MATCH($F27,RegionGEN,0))*GramsToMT)</f>
        <v/>
      </c>
      <c r="AI27" s="204" t="str">
        <f>IF(OR(ISBLANK($F27),$S27="",$T27=""),"",$S27*(1+$T27)*INDEX('eGRID2018 Subregion'!$G$7:$G$33,MATCH($F27,RegionGEN,0))*GramsToMT)</f>
        <v/>
      </c>
      <c r="AJ27" s="204" t="str">
        <f>IF(ISBLANK($F27),"",ROUND(AG27*References!$B$28+AH27*References!$B$29+'General Calculator'!AI27*References!$B$30,1))</f>
        <v/>
      </c>
      <c r="AK27" s="5"/>
      <c r="AL27" s="202" t="str">
        <f t="shared" si="2"/>
        <v/>
      </c>
      <c r="AM27" s="202" t="str">
        <f t="shared" si="3"/>
        <v/>
      </c>
      <c r="AN27" s="202" t="str">
        <f t="shared" si="4"/>
        <v/>
      </c>
      <c r="AO27" s="204" t="str">
        <f t="shared" si="5"/>
        <v/>
      </c>
      <c r="AP27" s="204" t="str">
        <f t="shared" si="6"/>
        <v/>
      </c>
      <c r="AQ27" s="1"/>
      <c r="AR27" s="164" t="str">
        <f t="shared" si="7"/>
        <v/>
      </c>
      <c r="AS27" s="164" t="str">
        <f>IF(OR($W27="",$AM27="",$W27=0),"", $AM27/$W27)</f>
        <v/>
      </c>
      <c r="AT27" s="164" t="str">
        <f t="shared" si="8"/>
        <v/>
      </c>
      <c r="AU27" s="164" t="str">
        <f t="shared" si="9"/>
        <v/>
      </c>
      <c r="AV27" s="164" t="str">
        <f t="shared" si="10"/>
        <v/>
      </c>
      <c r="AW27" s="13"/>
      <c r="AX27" s="180" t="str">
        <f t="shared" si="11"/>
        <v/>
      </c>
      <c r="AY27" s="180" t="str">
        <f t="shared" si="12"/>
        <v/>
      </c>
      <c r="AZ27" s="180" t="str">
        <f>IF(OR($AX27="",$AY27=""),"",$AX27+$AY27)</f>
        <v/>
      </c>
      <c r="BA27" s="5"/>
      <c r="BB27" s="180" t="str">
        <f t="shared" si="13"/>
        <v/>
      </c>
      <c r="BC27" s="180" t="str">
        <f>IF(OR($R27="",$L27="",$M27="",$S27="",$T27=""),"",($R27*$L27*GalTokWh)-($S27*$M27*(1+$T27)))</f>
        <v/>
      </c>
      <c r="BD27" s="180" t="str">
        <f>IF(OR($BB27="",$BC27=""),"",$BB27+$BC27)</f>
        <v/>
      </c>
      <c r="BE27" s="5"/>
    </row>
    <row r="28" spans="1:57">
      <c r="A28" s="105"/>
      <c r="B28" s="105"/>
      <c r="C28" s="105"/>
      <c r="D28" s="106"/>
      <c r="E28" s="411"/>
      <c r="F28" s="105"/>
      <c r="G28" s="13" t="str">
        <f>IF(OR(ISBLANK($B28),ISBLANK($C28)),"",INDEX('TRU Ops &amp; Costs'!$D$4:$D$74,MATCH($B28&amp;$C28,'TRU Ops &amp; Costs'!$P$4:$P$74,0))/0.7457)</f>
        <v/>
      </c>
      <c r="H28" s="66" t="str">
        <f>IF(OR(ISBLANK($B28),ISBLANK($C28)),"",INDEX('TRU Ops &amp; Costs'!$E$4:$E$74,MATCH($B28&amp;$C28,'TRU Ops &amp; Costs'!$P$4:$P$74,0)))</f>
        <v/>
      </c>
      <c r="I28" s="13" t="str">
        <f>IF(OR(ISBLANK($B28),ISBLANK($C28)),"",INDEX('TRU Ops &amp; Costs'!$F$4:$F$74,MATCH($B28&amp;$C28,'TRU Ops &amp; Costs'!$P$4:$P$74,0)))</f>
        <v/>
      </c>
      <c r="J28" s="65" t="str">
        <f>IF(OR(ISBLANK($B28),ISBLANK($C28)),"",INDEX('TRU Ops &amp; Costs'!$G$4:$G$74,MATCH($B28&amp;$C28,'TRU Ops &amp; Costs'!$P$4:$P$74,0)))</f>
        <v/>
      </c>
      <c r="K28" s="13" t="str">
        <f t="shared" si="14"/>
        <v/>
      </c>
      <c r="L28" s="70" t="str">
        <f>IF(ISBLANK($F28),"",INDEX('Diesel Fuel Prices'!$D$5:$D$31,MATCH($F28,'Diesel Fuel Prices'!$B$5:$B$31,0))*References!$B$38/References!$B$37)</f>
        <v/>
      </c>
      <c r="M28" s="70" t="str">
        <f>IF(ISBLANK($F28),"",VLOOKUP($F28,'Electricity Prices'!$B$4:$F$31,5,FALSE)*References!$B$38/References!$B$37)</f>
        <v/>
      </c>
      <c r="N28" s="71" t="str">
        <f>IF(OR(ISBLANK($B28),ISBLANK($C28)),"",INDEX('TRU Ops &amp; Costs'!$I$4:$I$74,MATCH($B28&amp;$C28,'TRU Ops &amp; Costs'!$P$4:$P$74,0)))</f>
        <v/>
      </c>
      <c r="O28" s="71" t="str">
        <f>IF(OR(ISBLANK($B28),ISBLANK($C28)),"",IF(E28="Yard",INDEX('TRU Ops &amp; Costs'!$J$4:$J$74,MATCH($B28&amp;$C28,'TRU Ops &amp; Costs'!$P$4:$P$74,0)),INDEX('TRU Ops &amp; Costs'!$K$4:$K$74,MATCH($B28&amp;$C28,'TRU Ops &amp; Costs'!$P$4:$P$74,0))))</f>
        <v/>
      </c>
      <c r="P28" s="71" t="str">
        <f>IF(OR(ISBLANK($B28),ISBLANK($C28)),"",$K28*INDEX('TRU Ops &amp; Costs'!$M$4:$M$74,MATCH($B28&amp;$C28,'TRU Ops &amp; Costs'!$P$4:$P$74,0))*-INDEX('TRU Ops &amp; Costs'!$L$4:$L$74,MATCH($B28&amp;$C28,'TRU Ops &amp; Costs'!$P$4:$P$74,0)))</f>
        <v/>
      </c>
      <c r="Q28" s="13"/>
      <c r="R28" s="128" t="str">
        <f t="shared" si="0"/>
        <v/>
      </c>
      <c r="S28" s="128" t="str">
        <f t="shared" si="1"/>
        <v/>
      </c>
      <c r="T28" s="168" t="str">
        <f>IF(ISBLANK($F28),"",INDEX('eGRID2018 Subregion'!$J$7:$J$33,MATCH($F28,RegionGEN,0)))</f>
        <v/>
      </c>
      <c r="U28" s="13"/>
      <c r="V28" s="203" t="str">
        <f>IF(OR(ISBLANK($B28),ISBLANK($C28),$R28=""),"",ROUND($R28*INDEX('Diesel TRU Emission Factors'!$D$6:$D$76,MATCH($B28&amp;$C28,'Diesel TRU Emission Factors'!$R$6:$R$77,0))*GramsToMT,4))</f>
        <v/>
      </c>
      <c r="W28" s="203" t="str">
        <f>IF(OR(ISBLANK($B28),ISBLANK($C28),$R28=""),"",ROUND($R28*INDEX('Diesel TRU Emission Factors'!$E$6:$E$76,MATCH($B28&amp;$C28,'Diesel TRU Emission Factors'!$R$6:$R$77,0))*GramsToMT,4))</f>
        <v/>
      </c>
      <c r="X28" s="203" t="str">
        <f>IF(OR(ISBLANK($B28),ISBLANK($C28),$R28=""),"",ROUND($R28*INDEX('Diesel TRU Emission Factors'!$H$6:$H$76,MATCH($B28&amp;$C28,'Diesel TRU Emission Factors'!$R$6:$R$77,0))*GramsToMT,4))</f>
        <v/>
      </c>
      <c r="Y28" s="205" t="str">
        <f>IF(OR(ISBLANK($B28),ISBLANK($C28),$R28=""),"",ROUND($R28*INDEX('Diesel TRU Emission Factors'!$F$6:$F$76,MATCH($B28&amp;$C28,'Diesel TRU Emission Factors'!$R$6:$R$77,0))*GramsToMT,1))</f>
        <v/>
      </c>
      <c r="Z28" s="205" t="str">
        <f>IF(OR(ISBLANK($B28),ISBLANK($C28),$R28=""),"",$R28*INDEX('Diesel TRU Emission Factors'!$G$6:$G$76,MATCH($B28&amp;$C28,'Diesel TRU Emission Factors'!$R$6:$R$77,0))*GramsToMT)</f>
        <v/>
      </c>
      <c r="AA28" s="207" t="str">
        <f>IF(ISBLANK(F28),"",R28*GalTokWh*'Diesel TRU Emission Factors'!$P$4/1000000)</f>
        <v/>
      </c>
      <c r="AB28" s="207" t="str">
        <f>IF(ISBLANK($F28),"",ROUND(Y28*References!$B$28+Z28*References!$B$29+'General Calculator'!AA28*References!$B$30,1))</f>
        <v/>
      </c>
      <c r="AC28" s="5"/>
      <c r="AD28" s="203" t="str">
        <f>IF(OR(ISBLANK($F28),$S28="",$T28=""),"",ROUND($S28*(1+$T28)*INDEX('eGRID2018 Subregion'!$C$7:$C$33,MATCH($F28,RegionGEN,0))*GramsToMT,4))</f>
        <v/>
      </c>
      <c r="AE28" s="203" t="str">
        <f>IF(OR(ISBLANK($F28),$S28="",$T28=""),"",ROUND($S28*(1+$T28)*INDEX('eGRID2018 Subregion'!$D$7:$D$33,MATCH($F28,RegionGEN,0))*GramsToMT,4))</f>
        <v/>
      </c>
      <c r="AF28" s="203" t="str">
        <f>IF(OR(ISBLANK($F28),$S28="",$T28=""),"",ROUND($S28*(1+$T28)*INDEX('eGRID2018 Subregion'!$I$7:$I$33,MATCH($F28,RegionGEN,0))*GramsToMT,4))</f>
        <v/>
      </c>
      <c r="AG28" s="205" t="str">
        <f>IF(OR(ISBLANK($F28),$S28="",$T28=""),"",ROUND($S28*(1+$T28)*INDEX('eGRID2018 Subregion'!$E$7:$E$33,MATCH($F28,RegionGEN,0))*GramsToMT,1))</f>
        <v/>
      </c>
      <c r="AH28" s="205" t="str">
        <f>IF(OR(ISBLANK($F28),$S28="",$T28=""),"",$S28*(1+$T28)*INDEX('eGRID2018 Subregion'!$F$7:$F$33,MATCH($F28,RegionGEN,0))*GramsToMT)</f>
        <v/>
      </c>
      <c r="AI28" s="205" t="str">
        <f>IF(OR(ISBLANK($F28),$S28="",$T28=""),"",$S28*(1+$T28)*INDEX('eGRID2018 Subregion'!$G$7:$G$33,MATCH($F28,RegionGEN,0))*GramsToMT)</f>
        <v/>
      </c>
      <c r="AJ28" s="205" t="str">
        <f>IF(ISBLANK($F28),"",ROUND(AG28*References!$B$28+AH28*References!$B$29+'General Calculator'!AI28*References!$B$30,1))</f>
        <v/>
      </c>
      <c r="AK28" s="5"/>
      <c r="AL28" s="203" t="str">
        <f t="shared" si="2"/>
        <v/>
      </c>
      <c r="AM28" s="203" t="str">
        <f t="shared" si="3"/>
        <v/>
      </c>
      <c r="AN28" s="203" t="str">
        <f t="shared" si="4"/>
        <v/>
      </c>
      <c r="AO28" s="205" t="str">
        <f t="shared" si="5"/>
        <v/>
      </c>
      <c r="AP28" s="205" t="str">
        <f t="shared" si="6"/>
        <v/>
      </c>
      <c r="AQ28" s="1"/>
      <c r="AR28" s="165" t="str">
        <f t="shared" si="7"/>
        <v/>
      </c>
      <c r="AS28" s="165" t="str">
        <f t="shared" ref="AS28" si="29">IF(OR(W28="",AM28="",W28=0),"", AM28/W28)</f>
        <v/>
      </c>
      <c r="AT28" s="165" t="str">
        <f t="shared" si="8"/>
        <v/>
      </c>
      <c r="AU28" s="165" t="str">
        <f t="shared" si="9"/>
        <v/>
      </c>
      <c r="AV28" s="165" t="str">
        <f t="shared" si="10"/>
        <v/>
      </c>
      <c r="AW28" s="13"/>
      <c r="AX28" s="179" t="str">
        <f t="shared" si="11"/>
        <v/>
      </c>
      <c r="AY28" s="179" t="str">
        <f t="shared" si="12"/>
        <v/>
      </c>
      <c r="AZ28" s="179" t="str">
        <f t="shared" si="16"/>
        <v/>
      </c>
      <c r="BA28" s="5"/>
      <c r="BB28" s="179" t="str">
        <f t="shared" si="13"/>
        <v/>
      </c>
      <c r="BC28" s="179" t="str">
        <f t="shared" si="17"/>
        <v/>
      </c>
      <c r="BD28" s="179" t="str">
        <f t="shared" si="18"/>
        <v/>
      </c>
      <c r="BE28" s="5"/>
    </row>
    <row r="29" spans="1:57">
      <c r="A29" s="103"/>
      <c r="B29" s="103"/>
      <c r="C29" s="103"/>
      <c r="D29" s="104"/>
      <c r="E29" s="410"/>
      <c r="F29" s="103"/>
      <c r="G29" s="13" t="str">
        <f>IF(OR(ISBLANK($B29),ISBLANK($C29)),"",INDEX('TRU Ops &amp; Costs'!$D$4:$D$74,MATCH($B29&amp;$C29,'TRU Ops &amp; Costs'!$P$4:$P$74,0))/0.7457)</f>
        <v/>
      </c>
      <c r="H29" s="66" t="str">
        <f>IF(OR(ISBLANK($B29),ISBLANK($C29)),"",INDEX('TRU Ops &amp; Costs'!$E$4:$E$74,MATCH($B29&amp;$C29,'TRU Ops &amp; Costs'!$P$4:$P$74,0)))</f>
        <v/>
      </c>
      <c r="I29" s="13" t="str">
        <f>IF(OR(ISBLANK($B29),ISBLANK($C29)),"",INDEX('TRU Ops &amp; Costs'!$F$4:$F$74,MATCH($B29&amp;$C29,'TRU Ops &amp; Costs'!$P$4:$P$74,0)))</f>
        <v/>
      </c>
      <c r="J29" s="65" t="str">
        <f>IF(OR(ISBLANK($B29),ISBLANK($C29)),"",INDEX('TRU Ops &amp; Costs'!$G$4:$G$74,MATCH($B29&amp;$C29,'TRU Ops &amp; Costs'!$P$4:$P$74,0)))</f>
        <v/>
      </c>
      <c r="K29" s="13" t="str">
        <f t="shared" si="14"/>
        <v/>
      </c>
      <c r="L29" s="70" t="str">
        <f>IF(ISBLANK($F29),"",INDEX('Diesel Fuel Prices'!$D$5:$D$31,MATCH($F29,'Diesel Fuel Prices'!$B$5:$B$31,0))*References!$B$38/References!$B$37)</f>
        <v/>
      </c>
      <c r="M29" s="70" t="str">
        <f>IF(ISBLANK($F29),"",VLOOKUP($F29,'Electricity Prices'!$B$4:$F$31,5,FALSE)*References!$B$38/References!$B$37)</f>
        <v/>
      </c>
      <c r="N29" s="71" t="str">
        <f>IF(OR(ISBLANK($B29),ISBLANK($C29)),"",INDEX('TRU Ops &amp; Costs'!$I$4:$I$74,MATCH($B29&amp;$C29,'TRU Ops &amp; Costs'!$P$4:$P$74,0)))</f>
        <v/>
      </c>
      <c r="O29" s="71" t="str">
        <f>IF(OR(ISBLANK($B29),ISBLANK($C29)),"",IF(E29="Yard",INDEX('TRU Ops &amp; Costs'!$J$4:$J$74,MATCH($B29&amp;$C29,'TRU Ops &amp; Costs'!$P$4:$P$74,0)),INDEX('TRU Ops &amp; Costs'!$K$4:$K$74,MATCH($B29&amp;$C29,'TRU Ops &amp; Costs'!$P$4:$P$74,0))))</f>
        <v/>
      </c>
      <c r="P29" s="71" t="str">
        <f>IF(OR(ISBLANK($B29),ISBLANK($C29)),"",$K29*INDEX('TRU Ops &amp; Costs'!$M$4:$M$74,MATCH($B29&amp;$C29,'TRU Ops &amp; Costs'!$P$4:$P$74,0))*-INDEX('TRU Ops &amp; Costs'!$L$4:$L$74,MATCH($B29&amp;$C29,'TRU Ops &amp; Costs'!$P$4:$P$74,0)))</f>
        <v/>
      </c>
      <c r="Q29" s="13"/>
      <c r="R29" s="127" t="str">
        <f t="shared" si="0"/>
        <v/>
      </c>
      <c r="S29" s="127" t="str">
        <f t="shared" si="1"/>
        <v/>
      </c>
      <c r="T29" s="167" t="str">
        <f>IF(ISBLANK($F29),"",INDEX('eGRID2018 Subregion'!$J$7:$J$33,MATCH($F29,RegionGEN,0)))</f>
        <v/>
      </c>
      <c r="U29" s="13"/>
      <c r="V29" s="202" t="str">
        <f>IF(OR(ISBLANK($B29),ISBLANK($C29),$R29=""),"",ROUND($R29*INDEX('Diesel TRU Emission Factors'!$D$6:$D$76,MATCH($B29&amp;$C29,'Diesel TRU Emission Factors'!$R$6:$R$77,0))*GramsToMT,4))</f>
        <v/>
      </c>
      <c r="W29" s="202" t="str">
        <f>IF(OR(ISBLANK($B29),ISBLANK($C29),$R29=""),"",ROUND($R29*INDEX('Diesel TRU Emission Factors'!$E$6:$E$76,MATCH($B29&amp;$C29,'Diesel TRU Emission Factors'!$R$6:$R$77,0))*GramsToMT,4))</f>
        <v/>
      </c>
      <c r="X29" s="202" t="str">
        <f>IF(OR(ISBLANK($B29),ISBLANK($C29),$R29=""),"",ROUND($R29*INDEX('Diesel TRU Emission Factors'!$H$6:$H$76,MATCH($B29&amp;$C29,'Diesel TRU Emission Factors'!$R$6:$R$77,0))*GramsToMT,4))</f>
        <v/>
      </c>
      <c r="Y29" s="204" t="str">
        <f>IF(OR(ISBLANK($B29),ISBLANK($C29),$R29=""),"",ROUND($R29*INDEX('Diesel TRU Emission Factors'!$F$6:$F$76,MATCH($B29&amp;$C29,'Diesel TRU Emission Factors'!$R$6:$R$77,0))*GramsToMT,1))</f>
        <v/>
      </c>
      <c r="Z29" s="204" t="str">
        <f>IF(OR(ISBLANK($B29),ISBLANK($C29),$R29=""),"",$R29*INDEX('Diesel TRU Emission Factors'!$G$6:$G$76,MATCH($B29&amp;$C29,'Diesel TRU Emission Factors'!$R$6:$R$77,0))*GramsToMT)</f>
        <v/>
      </c>
      <c r="AA29" s="206" t="str">
        <f>IF(ISBLANK(F29),"",R29*GalTokWh*'Diesel TRU Emission Factors'!$P$4/1000000)</f>
        <v/>
      </c>
      <c r="AB29" s="206" t="str">
        <f>IF(ISBLANK($F29),"",ROUND(Y29*References!$B$28+Z29*References!$B$29+'General Calculator'!AA29*References!$B$30,1))</f>
        <v/>
      </c>
      <c r="AC29" s="5"/>
      <c r="AD29" s="202" t="str">
        <f>IF(OR(ISBLANK($F29),$S29="",$T29=""),"",ROUND($S29*(1+$T29)*INDEX('eGRID2018 Subregion'!$C$7:$C$33,MATCH($F29,RegionGEN,0))*GramsToMT,4))</f>
        <v/>
      </c>
      <c r="AE29" s="202" t="str">
        <f>IF(OR(ISBLANK($F29),$S29="",$T29=""),"",ROUND($S29*(1+$T29)*INDEX('eGRID2018 Subregion'!$D$7:$D$33,MATCH($F29,RegionGEN,0))*GramsToMT,4))</f>
        <v/>
      </c>
      <c r="AF29" s="202" t="str">
        <f>IF(OR(ISBLANK($F29),$S29="",$T29=""),"",ROUND($S29*(1+$T29)*INDEX('eGRID2018 Subregion'!$I$7:$I$33,MATCH($F29,RegionGEN,0))*GramsToMT,4))</f>
        <v/>
      </c>
      <c r="AG29" s="204" t="str">
        <f>IF(OR(ISBLANK($F29),$S29="",$T29=""),"",ROUND($S29*(1+$T29)*INDEX('eGRID2018 Subregion'!$E$7:$E$33,MATCH($F29,RegionGEN,0))*GramsToMT,1))</f>
        <v/>
      </c>
      <c r="AH29" s="204" t="str">
        <f>IF(OR(ISBLANK($F29),$S29="",$T29=""),"",$S29*(1+$T29)*INDEX('eGRID2018 Subregion'!$F$7:$F$33,MATCH($F29,RegionGEN,0))*GramsToMT)</f>
        <v/>
      </c>
      <c r="AI29" s="204" t="str">
        <f>IF(OR(ISBLANK($F29),$S29="",$T29=""),"",$S29*(1+$T29)*INDEX('eGRID2018 Subregion'!$G$7:$G$33,MATCH($F29,RegionGEN,0))*GramsToMT)</f>
        <v/>
      </c>
      <c r="AJ29" s="204" t="str">
        <f>IF(ISBLANK($F29),"",ROUND(AG29*References!$B$28+AH29*References!$B$29+'General Calculator'!AI29*References!$B$30,1))</f>
        <v/>
      </c>
      <c r="AK29" s="5"/>
      <c r="AL29" s="202" t="str">
        <f t="shared" si="2"/>
        <v/>
      </c>
      <c r="AM29" s="202" t="str">
        <f t="shared" si="3"/>
        <v/>
      </c>
      <c r="AN29" s="202" t="str">
        <f t="shared" si="4"/>
        <v/>
      </c>
      <c r="AO29" s="204" t="str">
        <f t="shared" si="5"/>
        <v/>
      </c>
      <c r="AP29" s="204" t="str">
        <f t="shared" si="6"/>
        <v/>
      </c>
      <c r="AQ29" s="1"/>
      <c r="AR29" s="164" t="str">
        <f t="shared" si="7"/>
        <v/>
      </c>
      <c r="AS29" s="164" t="str">
        <f>IF(OR($W29="",$AM29="",$W29=0),"", $AM29/$W29)</f>
        <v/>
      </c>
      <c r="AT29" s="164" t="str">
        <f t="shared" si="8"/>
        <v/>
      </c>
      <c r="AU29" s="164" t="str">
        <f t="shared" si="9"/>
        <v/>
      </c>
      <c r="AV29" s="164" t="str">
        <f t="shared" si="10"/>
        <v/>
      </c>
      <c r="AW29" s="13"/>
      <c r="AX29" s="180" t="str">
        <f t="shared" si="11"/>
        <v/>
      </c>
      <c r="AY29" s="180" t="str">
        <f t="shared" si="12"/>
        <v/>
      </c>
      <c r="AZ29" s="180" t="str">
        <f>IF(OR($AX29="",$AY29=""),"",$AX29+$AY29)</f>
        <v/>
      </c>
      <c r="BA29" s="5"/>
      <c r="BB29" s="180" t="str">
        <f t="shared" si="13"/>
        <v/>
      </c>
      <c r="BC29" s="180" t="str">
        <f>IF(OR($R29="",$L29="",$M29="",$S29="",$T29=""),"",($R29*$L29*GalTokWh)-($S29*$M29*(1+$T29)))</f>
        <v/>
      </c>
      <c r="BD29" s="180" t="str">
        <f>IF(OR($BB29="",$BC29=""),"",$BB29+$BC29)</f>
        <v/>
      </c>
      <c r="BE29" s="5"/>
    </row>
    <row r="30" spans="1:57">
      <c r="A30" s="105"/>
      <c r="B30" s="105"/>
      <c r="C30" s="105"/>
      <c r="D30" s="106"/>
      <c r="E30" s="411"/>
      <c r="F30" s="105"/>
      <c r="G30" s="13" t="str">
        <f>IF(OR(ISBLANK($B30),ISBLANK($C30)),"",INDEX('TRU Ops &amp; Costs'!$D$4:$D$74,MATCH($B30&amp;$C30,'TRU Ops &amp; Costs'!$P$4:$P$74,0))/0.7457)</f>
        <v/>
      </c>
      <c r="H30" s="66" t="str">
        <f>IF(OR(ISBLANK($B30),ISBLANK($C30)),"",INDEX('TRU Ops &amp; Costs'!$E$4:$E$74,MATCH($B30&amp;$C30,'TRU Ops &amp; Costs'!$P$4:$P$74,0)))</f>
        <v/>
      </c>
      <c r="I30" s="13" t="str">
        <f>IF(OR(ISBLANK($B30),ISBLANK($C30)),"",INDEX('TRU Ops &amp; Costs'!$F$4:$F$74,MATCH($B30&amp;$C30,'TRU Ops &amp; Costs'!$P$4:$P$74,0)))</f>
        <v/>
      </c>
      <c r="J30" s="65" t="str">
        <f>IF(OR(ISBLANK($B30),ISBLANK($C30)),"",INDEX('TRU Ops &amp; Costs'!$G$4:$G$74,MATCH($B30&amp;$C30,'TRU Ops &amp; Costs'!$P$4:$P$74,0)))</f>
        <v/>
      </c>
      <c r="K30" s="13" t="str">
        <f t="shared" si="14"/>
        <v/>
      </c>
      <c r="L30" s="70" t="str">
        <f>IF(ISBLANK($F30),"",INDEX('Diesel Fuel Prices'!$D$5:$D$31,MATCH($F30,'Diesel Fuel Prices'!$B$5:$B$31,0))*References!$B$38/References!$B$37)</f>
        <v/>
      </c>
      <c r="M30" s="70" t="str">
        <f>IF(ISBLANK($F30),"",VLOOKUP($F30,'Electricity Prices'!$B$4:$F$31,5,FALSE)*References!$B$38/References!$B$37)</f>
        <v/>
      </c>
      <c r="N30" s="71" t="str">
        <f>IF(OR(ISBLANK($B30),ISBLANK($C30)),"",INDEX('TRU Ops &amp; Costs'!$I$4:$I$74,MATCH($B30&amp;$C30,'TRU Ops &amp; Costs'!$P$4:$P$74,0)))</f>
        <v/>
      </c>
      <c r="O30" s="71" t="str">
        <f>IF(OR(ISBLANK($B30),ISBLANK($C30)),"",IF(E30="Yard",INDEX('TRU Ops &amp; Costs'!$J$4:$J$74,MATCH($B30&amp;$C30,'TRU Ops &amp; Costs'!$P$4:$P$74,0)),INDEX('TRU Ops &amp; Costs'!$K$4:$K$74,MATCH($B30&amp;$C30,'TRU Ops &amp; Costs'!$P$4:$P$74,0))))</f>
        <v/>
      </c>
      <c r="P30" s="71" t="str">
        <f>IF(OR(ISBLANK($B30),ISBLANK($C30)),"",$K30*INDEX('TRU Ops &amp; Costs'!$M$4:$M$74,MATCH($B30&amp;$C30,'TRU Ops &amp; Costs'!$P$4:$P$74,0))*-INDEX('TRU Ops &amp; Costs'!$L$4:$L$74,MATCH($B30&amp;$C30,'TRU Ops &amp; Costs'!$P$4:$P$74,0)))</f>
        <v/>
      </c>
      <c r="Q30" s="13"/>
      <c r="R30" s="128" t="str">
        <f t="shared" si="0"/>
        <v/>
      </c>
      <c r="S30" s="128" t="str">
        <f t="shared" si="1"/>
        <v/>
      </c>
      <c r="T30" s="168" t="str">
        <f>IF(ISBLANK($F30),"",INDEX('eGRID2018 Subregion'!$J$7:$J$33,MATCH($F30,RegionGEN,0)))</f>
        <v/>
      </c>
      <c r="U30" s="13"/>
      <c r="V30" s="203" t="str">
        <f>IF(OR(ISBLANK($B30),ISBLANK($C30),$R30=""),"",ROUND($R30*INDEX('Diesel TRU Emission Factors'!$D$6:$D$76,MATCH($B30&amp;$C30,'Diesel TRU Emission Factors'!$R$6:$R$77,0))*GramsToMT,4))</f>
        <v/>
      </c>
      <c r="W30" s="203" t="str">
        <f>IF(OR(ISBLANK($B30),ISBLANK($C30),$R30=""),"",ROUND($R30*INDEX('Diesel TRU Emission Factors'!$E$6:$E$76,MATCH($B30&amp;$C30,'Diesel TRU Emission Factors'!$R$6:$R$77,0))*GramsToMT,4))</f>
        <v/>
      </c>
      <c r="X30" s="203" t="str">
        <f>IF(OR(ISBLANK($B30),ISBLANK($C30),$R30=""),"",ROUND($R30*INDEX('Diesel TRU Emission Factors'!$H$6:$H$76,MATCH($B30&amp;$C30,'Diesel TRU Emission Factors'!$R$6:$R$77,0))*GramsToMT,4))</f>
        <v/>
      </c>
      <c r="Y30" s="205" t="str">
        <f>IF(OR(ISBLANK($B30),ISBLANK($C30),$R30=""),"",ROUND($R30*INDEX('Diesel TRU Emission Factors'!$F$6:$F$76,MATCH($B30&amp;$C30,'Diesel TRU Emission Factors'!$R$6:$R$77,0))*GramsToMT,1))</f>
        <v/>
      </c>
      <c r="Z30" s="205" t="str">
        <f>IF(OR(ISBLANK($B30),ISBLANK($C30),$R30=""),"",$R30*INDEX('Diesel TRU Emission Factors'!$G$6:$G$76,MATCH($B30&amp;$C30,'Diesel TRU Emission Factors'!$R$6:$R$77,0))*GramsToMT)</f>
        <v/>
      </c>
      <c r="AA30" s="207" t="str">
        <f>IF(ISBLANK(F30),"",R30*GalTokWh*'Diesel TRU Emission Factors'!$P$4/1000000)</f>
        <v/>
      </c>
      <c r="AB30" s="207" t="str">
        <f>IF(ISBLANK($F30),"",ROUND(Y30*References!$B$28+Z30*References!$B$29+'General Calculator'!AA30*References!$B$30,1))</f>
        <v/>
      </c>
      <c r="AC30" s="5"/>
      <c r="AD30" s="203" t="str">
        <f>IF(OR(ISBLANK($F30),$S30="",$T30=""),"",ROUND($S30*(1+$T30)*INDEX('eGRID2018 Subregion'!$C$7:$C$33,MATCH($F30,RegionGEN,0))*GramsToMT,4))</f>
        <v/>
      </c>
      <c r="AE30" s="203" t="str">
        <f>IF(OR(ISBLANK($F30),$S30="",$T30=""),"",ROUND($S30*(1+$T30)*INDEX('eGRID2018 Subregion'!$D$7:$D$33,MATCH($F30,RegionGEN,0))*GramsToMT,4))</f>
        <v/>
      </c>
      <c r="AF30" s="203" t="str">
        <f>IF(OR(ISBLANK($F30),$S30="",$T30=""),"",ROUND($S30*(1+$T30)*INDEX('eGRID2018 Subregion'!$I$7:$I$33,MATCH($F30,RegionGEN,0))*GramsToMT,4))</f>
        <v/>
      </c>
      <c r="AG30" s="205" t="str">
        <f>IF(OR(ISBLANK($F30),$S30="",$T30=""),"",ROUND($S30*(1+$T30)*INDEX('eGRID2018 Subregion'!$E$7:$E$33,MATCH($F30,RegionGEN,0))*GramsToMT,1))</f>
        <v/>
      </c>
      <c r="AH30" s="205" t="str">
        <f>IF(OR(ISBLANK($F30),$S30="",$T30=""),"",$S30*(1+$T30)*INDEX('eGRID2018 Subregion'!$F$7:$F$33,MATCH($F30,RegionGEN,0))*GramsToMT)</f>
        <v/>
      </c>
      <c r="AI30" s="205" t="str">
        <f>IF(OR(ISBLANK($F30),$S30="",$T30=""),"",$S30*(1+$T30)*INDEX('eGRID2018 Subregion'!$G$7:$G$33,MATCH($F30,RegionGEN,0))*GramsToMT)</f>
        <v/>
      </c>
      <c r="AJ30" s="205" t="str">
        <f>IF(ISBLANK($F30),"",ROUND(AG30*References!$B$28+AH30*References!$B$29+'General Calculator'!AI30*References!$B$30,1))</f>
        <v/>
      </c>
      <c r="AK30" s="5"/>
      <c r="AL30" s="203" t="str">
        <f t="shared" si="2"/>
        <v/>
      </c>
      <c r="AM30" s="203" t="str">
        <f t="shared" si="3"/>
        <v/>
      </c>
      <c r="AN30" s="203" t="str">
        <f t="shared" si="4"/>
        <v/>
      </c>
      <c r="AO30" s="205" t="str">
        <f t="shared" si="5"/>
        <v/>
      </c>
      <c r="AP30" s="205" t="str">
        <f t="shared" si="6"/>
        <v/>
      </c>
      <c r="AQ30" s="1"/>
      <c r="AR30" s="165" t="str">
        <f t="shared" si="7"/>
        <v/>
      </c>
      <c r="AS30" s="165" t="str">
        <f t="shared" ref="AS30" si="30">IF(OR(W30="",AM30="",W30=0),"", AM30/W30)</f>
        <v/>
      </c>
      <c r="AT30" s="165" t="str">
        <f t="shared" si="8"/>
        <v/>
      </c>
      <c r="AU30" s="165" t="str">
        <f t="shared" si="9"/>
        <v/>
      </c>
      <c r="AV30" s="165" t="str">
        <f t="shared" si="10"/>
        <v/>
      </c>
      <c r="AW30" s="13"/>
      <c r="AX30" s="179" t="str">
        <f t="shared" si="11"/>
        <v/>
      </c>
      <c r="AY30" s="179" t="str">
        <f t="shared" si="12"/>
        <v/>
      </c>
      <c r="AZ30" s="179" t="str">
        <f t="shared" si="16"/>
        <v/>
      </c>
      <c r="BA30" s="5"/>
      <c r="BB30" s="179" t="str">
        <f t="shared" si="13"/>
        <v/>
      </c>
      <c r="BC30" s="179" t="str">
        <f t="shared" si="17"/>
        <v/>
      </c>
      <c r="BD30" s="179" t="str">
        <f t="shared" si="18"/>
        <v/>
      </c>
      <c r="BE30" s="5"/>
    </row>
    <row r="31" spans="1:57">
      <c r="A31" s="103"/>
      <c r="B31" s="103"/>
      <c r="C31" s="103"/>
      <c r="D31" s="104"/>
      <c r="E31" s="410"/>
      <c r="F31" s="103"/>
      <c r="G31" s="13" t="str">
        <f>IF(OR(ISBLANK($B31),ISBLANK($C31)),"",INDEX('TRU Ops &amp; Costs'!$D$4:$D$74,MATCH($B31&amp;$C31,'TRU Ops &amp; Costs'!$P$4:$P$74,0))/0.7457)</f>
        <v/>
      </c>
      <c r="H31" s="66" t="str">
        <f>IF(OR(ISBLANK($B31),ISBLANK($C31)),"",INDEX('TRU Ops &amp; Costs'!$E$4:$E$74,MATCH($B31&amp;$C31,'TRU Ops &amp; Costs'!$P$4:$P$74,0)))</f>
        <v/>
      </c>
      <c r="I31" s="13" t="str">
        <f>IF(OR(ISBLANK($B31),ISBLANK($C31)),"",INDEX('TRU Ops &amp; Costs'!$F$4:$F$74,MATCH($B31&amp;$C31,'TRU Ops &amp; Costs'!$P$4:$P$74,0)))</f>
        <v/>
      </c>
      <c r="J31" s="65" t="str">
        <f>IF(OR(ISBLANK($B31),ISBLANK($C31)),"",INDEX('TRU Ops &amp; Costs'!$G$4:$G$74,MATCH($B31&amp;$C31,'TRU Ops &amp; Costs'!$P$4:$P$74,0)))</f>
        <v/>
      </c>
      <c r="K31" s="13" t="str">
        <f t="shared" si="14"/>
        <v/>
      </c>
      <c r="L31" s="70" t="str">
        <f>IF(ISBLANK($F31),"",INDEX('Diesel Fuel Prices'!$D$5:$D$31,MATCH($F31,'Diesel Fuel Prices'!$B$5:$B$31,0))*References!$B$38/References!$B$37)</f>
        <v/>
      </c>
      <c r="M31" s="70" t="str">
        <f>IF(ISBLANK($F31),"",VLOOKUP($F31,'Electricity Prices'!$B$4:$F$31,5,FALSE)*References!$B$38/References!$B$37)</f>
        <v/>
      </c>
      <c r="N31" s="71" t="str">
        <f>IF(OR(ISBLANK($B31),ISBLANK($C31)),"",INDEX('TRU Ops &amp; Costs'!$I$4:$I$74,MATCH($B31&amp;$C31,'TRU Ops &amp; Costs'!$P$4:$P$74,0)))</f>
        <v/>
      </c>
      <c r="O31" s="71" t="str">
        <f>IF(OR(ISBLANK($B31),ISBLANK($C31)),"",IF(E31="Yard",INDEX('TRU Ops &amp; Costs'!$J$4:$J$74,MATCH($B31&amp;$C31,'TRU Ops &amp; Costs'!$P$4:$P$74,0)),INDEX('TRU Ops &amp; Costs'!$K$4:$K$74,MATCH($B31&amp;$C31,'TRU Ops &amp; Costs'!$P$4:$P$74,0))))</f>
        <v/>
      </c>
      <c r="P31" s="71" t="str">
        <f>IF(OR(ISBLANK($B31),ISBLANK($C31)),"",$K31*INDEX('TRU Ops &amp; Costs'!$M$4:$M$74,MATCH($B31&amp;$C31,'TRU Ops &amp; Costs'!$P$4:$P$74,0))*-INDEX('TRU Ops &amp; Costs'!$L$4:$L$74,MATCH($B31&amp;$C31,'TRU Ops &amp; Costs'!$P$4:$P$74,0)))</f>
        <v/>
      </c>
      <c r="Q31" s="13"/>
      <c r="R31" s="127" t="str">
        <f t="shared" si="0"/>
        <v/>
      </c>
      <c r="S31" s="127" t="str">
        <f t="shared" si="1"/>
        <v/>
      </c>
      <c r="T31" s="167" t="str">
        <f>IF(ISBLANK($F31),"",INDEX('eGRID2018 Subregion'!$J$7:$J$33,MATCH($F31,RegionGEN,0)))</f>
        <v/>
      </c>
      <c r="U31" s="13"/>
      <c r="V31" s="202" t="str">
        <f>IF(OR(ISBLANK($B31),ISBLANK($C31),$R31=""),"",ROUND($R31*INDEX('Diesel TRU Emission Factors'!$D$6:$D$76,MATCH($B31&amp;$C31,'Diesel TRU Emission Factors'!$R$6:$R$77,0))*GramsToMT,4))</f>
        <v/>
      </c>
      <c r="W31" s="202" t="str">
        <f>IF(OR(ISBLANK($B31),ISBLANK($C31),$R31=""),"",ROUND($R31*INDEX('Diesel TRU Emission Factors'!$E$6:$E$76,MATCH($B31&amp;$C31,'Diesel TRU Emission Factors'!$R$6:$R$77,0))*GramsToMT,4))</f>
        <v/>
      </c>
      <c r="X31" s="202" t="str">
        <f>IF(OR(ISBLANK($B31),ISBLANK($C31),$R31=""),"",ROUND($R31*INDEX('Diesel TRU Emission Factors'!$H$6:$H$76,MATCH($B31&amp;$C31,'Diesel TRU Emission Factors'!$R$6:$R$77,0))*GramsToMT,4))</f>
        <v/>
      </c>
      <c r="Y31" s="204" t="str">
        <f>IF(OR(ISBLANK($B31),ISBLANK($C31),$R31=""),"",ROUND($R31*INDEX('Diesel TRU Emission Factors'!$F$6:$F$76,MATCH($B31&amp;$C31,'Diesel TRU Emission Factors'!$R$6:$R$77,0))*GramsToMT,1))</f>
        <v/>
      </c>
      <c r="Z31" s="204" t="str">
        <f>IF(OR(ISBLANK($B31),ISBLANK($C31),$R31=""),"",$R31*INDEX('Diesel TRU Emission Factors'!$G$6:$G$76,MATCH($B31&amp;$C31,'Diesel TRU Emission Factors'!$R$6:$R$77,0))*GramsToMT)</f>
        <v/>
      </c>
      <c r="AA31" s="206" t="str">
        <f>IF(ISBLANK(F31),"",R31*GalTokWh*'Diesel TRU Emission Factors'!$P$4/1000000)</f>
        <v/>
      </c>
      <c r="AB31" s="206" t="str">
        <f>IF(ISBLANK($F31),"",ROUND(Y31*References!$B$28+Z31*References!$B$29+'General Calculator'!AA31*References!$B$30,1))</f>
        <v/>
      </c>
      <c r="AC31" s="5"/>
      <c r="AD31" s="202" t="str">
        <f>IF(OR(ISBLANK($F31),$S31="",$T31=""),"",ROUND($S31*(1+$T31)*INDEX('eGRID2018 Subregion'!$C$7:$C$33,MATCH($F31,RegionGEN,0))*GramsToMT,4))</f>
        <v/>
      </c>
      <c r="AE31" s="202" t="str">
        <f>IF(OR(ISBLANK($F31),$S31="",$T31=""),"",ROUND($S31*(1+$T31)*INDEX('eGRID2018 Subregion'!$D$7:$D$33,MATCH($F31,RegionGEN,0))*GramsToMT,4))</f>
        <v/>
      </c>
      <c r="AF31" s="202" t="str">
        <f>IF(OR(ISBLANK($F31),$S31="",$T31=""),"",ROUND($S31*(1+$T31)*INDEX('eGRID2018 Subregion'!$I$7:$I$33,MATCH($F31,RegionGEN,0))*GramsToMT,4))</f>
        <v/>
      </c>
      <c r="AG31" s="204" t="str">
        <f>IF(OR(ISBLANK($F31),$S31="",$T31=""),"",ROUND($S31*(1+$T31)*INDEX('eGRID2018 Subregion'!$E$7:$E$33,MATCH($F31,RegionGEN,0))*GramsToMT,1))</f>
        <v/>
      </c>
      <c r="AH31" s="204" t="str">
        <f>IF(OR(ISBLANK($F31),$S31="",$T31=""),"",$S31*(1+$T31)*INDEX('eGRID2018 Subregion'!$F$7:$F$33,MATCH($F31,RegionGEN,0))*GramsToMT)</f>
        <v/>
      </c>
      <c r="AI31" s="204" t="str">
        <f>IF(OR(ISBLANK($F31),$S31="",$T31=""),"",$S31*(1+$T31)*INDEX('eGRID2018 Subregion'!$G$7:$G$33,MATCH($F31,RegionGEN,0))*GramsToMT)</f>
        <v/>
      </c>
      <c r="AJ31" s="204" t="str">
        <f>IF(ISBLANK($F31),"",ROUND(AG31*References!$B$28+AH31*References!$B$29+'General Calculator'!AI31*References!$B$30,1))</f>
        <v/>
      </c>
      <c r="AK31" s="5"/>
      <c r="AL31" s="202" t="str">
        <f t="shared" si="2"/>
        <v/>
      </c>
      <c r="AM31" s="202" t="str">
        <f t="shared" si="3"/>
        <v/>
      </c>
      <c r="AN31" s="202" t="str">
        <f t="shared" si="4"/>
        <v/>
      </c>
      <c r="AO31" s="204" t="str">
        <f t="shared" si="5"/>
        <v/>
      </c>
      <c r="AP31" s="204" t="str">
        <f t="shared" si="6"/>
        <v/>
      </c>
      <c r="AQ31" s="1"/>
      <c r="AR31" s="164" t="str">
        <f t="shared" si="7"/>
        <v/>
      </c>
      <c r="AS31" s="164" t="str">
        <f>IF(OR($W31="",$AM31="",$W31=0),"", $AM31/$W31)</f>
        <v/>
      </c>
      <c r="AT31" s="164" t="str">
        <f t="shared" si="8"/>
        <v/>
      </c>
      <c r="AU31" s="164" t="str">
        <f t="shared" si="9"/>
        <v/>
      </c>
      <c r="AV31" s="164" t="str">
        <f t="shared" si="10"/>
        <v/>
      </c>
      <c r="AW31" s="13"/>
      <c r="AX31" s="180" t="str">
        <f t="shared" si="11"/>
        <v/>
      </c>
      <c r="AY31" s="180" t="str">
        <f t="shared" si="12"/>
        <v/>
      </c>
      <c r="AZ31" s="180" t="str">
        <f>IF(OR($AX31="",$AY31=""),"",$AX31+$AY31)</f>
        <v/>
      </c>
      <c r="BA31" s="5"/>
      <c r="BB31" s="180" t="str">
        <f t="shared" si="13"/>
        <v/>
      </c>
      <c r="BC31" s="180" t="str">
        <f>IF(OR($R31="",$L31="",$M31="",$S31="",$T31=""),"",($R31*$L31*GalTokWh)-($S31*$M31*(1+$T31)))</f>
        <v/>
      </c>
      <c r="BD31" s="180" t="str">
        <f>IF(OR($BB31="",$BC31=""),"",$BB31+$BC31)</f>
        <v/>
      </c>
      <c r="BE31" s="5"/>
    </row>
    <row r="32" spans="1:57">
      <c r="A32" s="105"/>
      <c r="B32" s="105"/>
      <c r="C32" s="105"/>
      <c r="D32" s="106"/>
      <c r="E32" s="411"/>
      <c r="F32" s="105"/>
      <c r="G32" s="13" t="str">
        <f>IF(OR(ISBLANK($B32),ISBLANK($C32)),"",INDEX('TRU Ops &amp; Costs'!$D$4:$D$74,MATCH($B32&amp;$C32,'TRU Ops &amp; Costs'!$P$4:$P$74,0))/0.7457)</f>
        <v/>
      </c>
      <c r="H32" s="66" t="str">
        <f>IF(OR(ISBLANK($B32),ISBLANK($C32)),"",INDEX('TRU Ops &amp; Costs'!$E$4:$E$74,MATCH($B32&amp;$C32,'TRU Ops &amp; Costs'!$P$4:$P$74,0)))</f>
        <v/>
      </c>
      <c r="I32" s="13" t="str">
        <f>IF(OR(ISBLANK($B32),ISBLANK($C32)),"",INDEX('TRU Ops &amp; Costs'!$F$4:$F$74,MATCH($B32&amp;$C32,'TRU Ops &amp; Costs'!$P$4:$P$74,0)))</f>
        <v/>
      </c>
      <c r="J32" s="65" t="str">
        <f>IF(OR(ISBLANK($B32),ISBLANK($C32)),"",INDEX('TRU Ops &amp; Costs'!$G$4:$G$74,MATCH($B32&amp;$C32,'TRU Ops &amp; Costs'!$P$4:$P$74,0)))</f>
        <v/>
      </c>
      <c r="K32" s="13" t="str">
        <f t="shared" si="14"/>
        <v/>
      </c>
      <c r="L32" s="70" t="str">
        <f>IF(ISBLANK($F32),"",INDEX('Diesel Fuel Prices'!$D$5:$D$31,MATCH($F32,'Diesel Fuel Prices'!$B$5:$B$31,0))*References!$B$38/References!$B$37)</f>
        <v/>
      </c>
      <c r="M32" s="70" t="str">
        <f>IF(ISBLANK($F32),"",VLOOKUP($F32,'Electricity Prices'!$B$4:$F$31,5,FALSE)*References!$B$38/References!$B$37)</f>
        <v/>
      </c>
      <c r="N32" s="71" t="str">
        <f>IF(OR(ISBLANK($B32),ISBLANK($C32)),"",INDEX('TRU Ops &amp; Costs'!$I$4:$I$74,MATCH($B32&amp;$C32,'TRU Ops &amp; Costs'!$P$4:$P$74,0)))</f>
        <v/>
      </c>
      <c r="O32" s="71" t="str">
        <f>IF(OR(ISBLANK($B32),ISBLANK($C32)),"",IF(E32="Yard",INDEX('TRU Ops &amp; Costs'!$J$4:$J$74,MATCH($B32&amp;$C32,'TRU Ops &amp; Costs'!$P$4:$P$74,0)),INDEX('TRU Ops &amp; Costs'!$K$4:$K$74,MATCH($B32&amp;$C32,'TRU Ops &amp; Costs'!$P$4:$P$74,0))))</f>
        <v/>
      </c>
      <c r="P32" s="71" t="str">
        <f>IF(OR(ISBLANK($B32),ISBLANK($C32)),"",$K32*INDEX('TRU Ops &amp; Costs'!$M$4:$M$74,MATCH($B32&amp;$C32,'TRU Ops &amp; Costs'!$P$4:$P$74,0))*-INDEX('TRU Ops &amp; Costs'!$L$4:$L$74,MATCH($B32&amp;$C32,'TRU Ops &amp; Costs'!$P$4:$P$74,0)))</f>
        <v/>
      </c>
      <c r="Q32" s="13"/>
      <c r="R32" s="128" t="str">
        <f t="shared" si="0"/>
        <v/>
      </c>
      <c r="S32" s="128" t="str">
        <f t="shared" si="1"/>
        <v/>
      </c>
      <c r="T32" s="168" t="str">
        <f>IF(ISBLANK($F32),"",INDEX('eGRID2018 Subregion'!$J$7:$J$33,MATCH($F32,RegionGEN,0)))</f>
        <v/>
      </c>
      <c r="U32" s="13"/>
      <c r="V32" s="203" t="str">
        <f>IF(OR(ISBLANK($B32),ISBLANK($C32),$R32=""),"",ROUND($R32*INDEX('Diesel TRU Emission Factors'!$D$6:$D$76,MATCH($B32&amp;$C32,'Diesel TRU Emission Factors'!$R$6:$R$77,0))*GramsToMT,4))</f>
        <v/>
      </c>
      <c r="W32" s="203" t="str">
        <f>IF(OR(ISBLANK($B32),ISBLANK($C32),$R32=""),"",ROUND($R32*INDEX('Diesel TRU Emission Factors'!$E$6:$E$76,MATCH($B32&amp;$C32,'Diesel TRU Emission Factors'!$R$6:$R$77,0))*GramsToMT,4))</f>
        <v/>
      </c>
      <c r="X32" s="203" t="str">
        <f>IF(OR(ISBLANK($B32),ISBLANK($C32),$R32=""),"",ROUND($R32*INDEX('Diesel TRU Emission Factors'!$H$6:$H$76,MATCH($B32&amp;$C32,'Diesel TRU Emission Factors'!$R$6:$R$77,0))*GramsToMT,4))</f>
        <v/>
      </c>
      <c r="Y32" s="205" t="str">
        <f>IF(OR(ISBLANK($B32),ISBLANK($C32),$R32=""),"",ROUND($R32*INDEX('Diesel TRU Emission Factors'!$F$6:$F$76,MATCH($B32&amp;$C32,'Diesel TRU Emission Factors'!$R$6:$R$77,0))*GramsToMT,1))</f>
        <v/>
      </c>
      <c r="Z32" s="205" t="str">
        <f>IF(OR(ISBLANK($B32),ISBLANK($C32),$R32=""),"",$R32*INDEX('Diesel TRU Emission Factors'!$G$6:$G$76,MATCH($B32&amp;$C32,'Diesel TRU Emission Factors'!$R$6:$R$77,0))*GramsToMT)</f>
        <v/>
      </c>
      <c r="AA32" s="207" t="str">
        <f>IF(ISBLANK(F32),"",R32*GalTokWh*'Diesel TRU Emission Factors'!$P$4/1000000)</f>
        <v/>
      </c>
      <c r="AB32" s="207" t="str">
        <f>IF(ISBLANK($F32),"",ROUND(Y32*References!$B$28+Z32*References!$B$29+'General Calculator'!AA32*References!$B$30,1))</f>
        <v/>
      </c>
      <c r="AC32" s="5"/>
      <c r="AD32" s="203" t="str">
        <f>IF(OR(ISBLANK($F32),$S32="",$T32=""),"",ROUND($S32*(1+$T32)*INDEX('eGRID2018 Subregion'!$C$7:$C$33,MATCH($F32,RegionGEN,0))*GramsToMT,4))</f>
        <v/>
      </c>
      <c r="AE32" s="203" t="str">
        <f>IF(OR(ISBLANK($F32),$S32="",$T32=""),"",ROUND($S32*(1+$T32)*INDEX('eGRID2018 Subregion'!$D$7:$D$33,MATCH($F32,RegionGEN,0))*GramsToMT,4))</f>
        <v/>
      </c>
      <c r="AF32" s="203" t="str">
        <f>IF(OR(ISBLANK($F32),$S32="",$T32=""),"",ROUND($S32*(1+$T32)*INDEX('eGRID2018 Subregion'!$I$7:$I$33,MATCH($F32,RegionGEN,0))*GramsToMT,4))</f>
        <v/>
      </c>
      <c r="AG32" s="205" t="str">
        <f>IF(OR(ISBLANK($F32),$S32="",$T32=""),"",ROUND($S32*(1+$T32)*INDEX('eGRID2018 Subregion'!$E$7:$E$33,MATCH($F32,RegionGEN,0))*GramsToMT,1))</f>
        <v/>
      </c>
      <c r="AH32" s="205" t="str">
        <f>IF(OR(ISBLANK($F32),$S32="",$T32=""),"",$S32*(1+$T32)*INDEX('eGRID2018 Subregion'!$F$7:$F$33,MATCH($F32,RegionGEN,0))*GramsToMT)</f>
        <v/>
      </c>
      <c r="AI32" s="205" t="str">
        <f>IF(OR(ISBLANK($F32),$S32="",$T32=""),"",$S32*(1+$T32)*INDEX('eGRID2018 Subregion'!$G$7:$G$33,MATCH($F32,RegionGEN,0))*GramsToMT)</f>
        <v/>
      </c>
      <c r="AJ32" s="205" t="str">
        <f>IF(ISBLANK($F32),"",ROUND(AG32*References!$B$28+AH32*References!$B$29+'General Calculator'!AI32*References!$B$30,1))</f>
        <v/>
      </c>
      <c r="AK32" s="5"/>
      <c r="AL32" s="203" t="str">
        <f t="shared" si="2"/>
        <v/>
      </c>
      <c r="AM32" s="203" t="str">
        <f t="shared" si="3"/>
        <v/>
      </c>
      <c r="AN32" s="203" t="str">
        <f t="shared" si="4"/>
        <v/>
      </c>
      <c r="AO32" s="205" t="str">
        <f t="shared" si="5"/>
        <v/>
      </c>
      <c r="AP32" s="205" t="str">
        <f t="shared" si="6"/>
        <v/>
      </c>
      <c r="AQ32" s="1"/>
      <c r="AR32" s="165" t="str">
        <f t="shared" si="7"/>
        <v/>
      </c>
      <c r="AS32" s="165" t="str">
        <f t="shared" ref="AS32" si="31">IF(OR(W32="",AM32="",W32=0),"", AM32/W32)</f>
        <v/>
      </c>
      <c r="AT32" s="165" t="str">
        <f t="shared" si="8"/>
        <v/>
      </c>
      <c r="AU32" s="165" t="str">
        <f t="shared" si="9"/>
        <v/>
      </c>
      <c r="AV32" s="165" t="str">
        <f t="shared" si="10"/>
        <v/>
      </c>
      <c r="AW32" s="13"/>
      <c r="AX32" s="179" t="str">
        <f t="shared" si="11"/>
        <v/>
      </c>
      <c r="AY32" s="179" t="str">
        <f t="shared" si="12"/>
        <v/>
      </c>
      <c r="AZ32" s="179" t="str">
        <f t="shared" si="16"/>
        <v/>
      </c>
      <c r="BA32" s="5"/>
      <c r="BB32" s="179" t="str">
        <f t="shared" si="13"/>
        <v/>
      </c>
      <c r="BC32" s="179" t="str">
        <f t="shared" si="17"/>
        <v/>
      </c>
      <c r="BD32" s="179" t="str">
        <f t="shared" si="18"/>
        <v/>
      </c>
      <c r="BE32" s="5"/>
    </row>
    <row r="33" spans="1:57">
      <c r="A33" s="103"/>
      <c r="B33" s="103"/>
      <c r="C33" s="103"/>
      <c r="D33" s="104"/>
      <c r="E33" s="410"/>
      <c r="F33" s="103"/>
      <c r="G33" s="13" t="str">
        <f>IF(OR(ISBLANK($B33),ISBLANK($C33)),"",INDEX('TRU Ops &amp; Costs'!$D$4:$D$74,MATCH($B33&amp;$C33,'TRU Ops &amp; Costs'!$P$4:$P$74,0))/0.7457)</f>
        <v/>
      </c>
      <c r="H33" s="66" t="str">
        <f>IF(OR(ISBLANK($B33),ISBLANK($C33)),"",INDEX('TRU Ops &amp; Costs'!$E$4:$E$74,MATCH($B33&amp;$C33,'TRU Ops &amp; Costs'!$P$4:$P$74,0)))</f>
        <v/>
      </c>
      <c r="I33" s="13" t="str">
        <f>IF(OR(ISBLANK($B33),ISBLANK($C33)),"",INDEX('TRU Ops &amp; Costs'!$F$4:$F$74,MATCH($B33&amp;$C33,'TRU Ops &amp; Costs'!$P$4:$P$74,0)))</f>
        <v/>
      </c>
      <c r="J33" s="65" t="str">
        <f>IF(OR(ISBLANK($B33),ISBLANK($C33)),"",INDEX('TRU Ops &amp; Costs'!$G$4:$G$74,MATCH($B33&amp;$C33,'TRU Ops &amp; Costs'!$P$4:$P$74,0)))</f>
        <v/>
      </c>
      <c r="K33" s="13" t="str">
        <f t="shared" si="14"/>
        <v/>
      </c>
      <c r="L33" s="70" t="str">
        <f>IF(ISBLANK($F33),"",INDEX('Diesel Fuel Prices'!$D$5:$D$31,MATCH($F33,'Diesel Fuel Prices'!$B$5:$B$31,0))*References!$B$38/References!$B$37)</f>
        <v/>
      </c>
      <c r="M33" s="70" t="str">
        <f>IF(ISBLANK($F33),"",VLOOKUP($F33,'Electricity Prices'!$B$4:$F$31,5,FALSE)*References!$B$38/References!$B$37)</f>
        <v/>
      </c>
      <c r="N33" s="71" t="str">
        <f>IF(OR(ISBLANK($B33),ISBLANK($C33)),"",INDEX('TRU Ops &amp; Costs'!$I$4:$I$74,MATCH($B33&amp;$C33,'TRU Ops &amp; Costs'!$P$4:$P$74,0)))</f>
        <v/>
      </c>
      <c r="O33" s="71" t="str">
        <f>IF(OR(ISBLANK($B33),ISBLANK($C33)),"",IF(E33="Yard",INDEX('TRU Ops &amp; Costs'!$J$4:$J$74,MATCH($B33&amp;$C33,'TRU Ops &amp; Costs'!$P$4:$P$74,0)),INDEX('TRU Ops &amp; Costs'!$K$4:$K$74,MATCH($B33&amp;$C33,'TRU Ops &amp; Costs'!$P$4:$P$74,0))))</f>
        <v/>
      </c>
      <c r="P33" s="71" t="str">
        <f>IF(OR(ISBLANK($B33),ISBLANK($C33)),"",$K33*INDEX('TRU Ops &amp; Costs'!$M$4:$M$74,MATCH($B33&amp;$C33,'TRU Ops &amp; Costs'!$P$4:$P$74,0))*-INDEX('TRU Ops &amp; Costs'!$L$4:$L$74,MATCH($B33&amp;$C33,'TRU Ops &amp; Costs'!$P$4:$P$74,0)))</f>
        <v/>
      </c>
      <c r="Q33" s="13"/>
      <c r="R33" s="127" t="str">
        <f t="shared" si="0"/>
        <v/>
      </c>
      <c r="S33" s="127" t="str">
        <f t="shared" si="1"/>
        <v/>
      </c>
      <c r="T33" s="167" t="str">
        <f>IF(ISBLANK($F33),"",INDEX('eGRID2018 Subregion'!$J$7:$J$33,MATCH($F33,RegionGEN,0)))</f>
        <v/>
      </c>
      <c r="U33" s="13"/>
      <c r="V33" s="202" t="str">
        <f>IF(OR(ISBLANK($B33),ISBLANK($C33),$R33=""),"",ROUND($R33*INDEX('Diesel TRU Emission Factors'!$D$6:$D$76,MATCH($B33&amp;$C33,'Diesel TRU Emission Factors'!$R$6:$R$77,0))*GramsToMT,4))</f>
        <v/>
      </c>
      <c r="W33" s="202" t="str">
        <f>IF(OR(ISBLANK($B33),ISBLANK($C33),$R33=""),"",ROUND($R33*INDEX('Diesel TRU Emission Factors'!$E$6:$E$76,MATCH($B33&amp;$C33,'Diesel TRU Emission Factors'!$R$6:$R$77,0))*GramsToMT,4))</f>
        <v/>
      </c>
      <c r="X33" s="202" t="str">
        <f>IF(OR(ISBLANK($B33),ISBLANK($C33),$R33=""),"",ROUND($R33*INDEX('Diesel TRU Emission Factors'!$H$6:$H$76,MATCH($B33&amp;$C33,'Diesel TRU Emission Factors'!$R$6:$R$77,0))*GramsToMT,4))</f>
        <v/>
      </c>
      <c r="Y33" s="204" t="str">
        <f>IF(OR(ISBLANK($B33),ISBLANK($C33),$R33=""),"",ROUND($R33*INDEX('Diesel TRU Emission Factors'!$F$6:$F$76,MATCH($B33&amp;$C33,'Diesel TRU Emission Factors'!$R$6:$R$77,0))*GramsToMT,1))</f>
        <v/>
      </c>
      <c r="Z33" s="204" t="str">
        <f>IF(OR(ISBLANK($B33),ISBLANK($C33),$R33=""),"",$R33*INDEX('Diesel TRU Emission Factors'!$G$6:$G$76,MATCH($B33&amp;$C33,'Diesel TRU Emission Factors'!$R$6:$R$77,0))*GramsToMT)</f>
        <v/>
      </c>
      <c r="AA33" s="206" t="str">
        <f>IF(ISBLANK(F33),"",R33*GalTokWh*'Diesel TRU Emission Factors'!$P$4/1000000)</f>
        <v/>
      </c>
      <c r="AB33" s="206" t="str">
        <f>IF(ISBLANK($F33),"",ROUND(Y33*References!$B$28+Z33*References!$B$29+'General Calculator'!AA33*References!$B$30,1))</f>
        <v/>
      </c>
      <c r="AC33" s="5"/>
      <c r="AD33" s="202" t="str">
        <f>IF(OR(ISBLANK($F33),$S33="",$T33=""),"",ROUND($S33*(1+$T33)*INDEX('eGRID2018 Subregion'!$C$7:$C$33,MATCH($F33,RegionGEN,0))*GramsToMT,4))</f>
        <v/>
      </c>
      <c r="AE33" s="202" t="str">
        <f>IF(OR(ISBLANK($F33),$S33="",$T33=""),"",ROUND($S33*(1+$T33)*INDEX('eGRID2018 Subregion'!$D$7:$D$33,MATCH($F33,RegionGEN,0))*GramsToMT,4))</f>
        <v/>
      </c>
      <c r="AF33" s="202" t="str">
        <f>IF(OR(ISBLANK($F33),$S33="",$T33=""),"",ROUND($S33*(1+$T33)*INDEX('eGRID2018 Subregion'!$I$7:$I$33,MATCH($F33,RegionGEN,0))*GramsToMT,4))</f>
        <v/>
      </c>
      <c r="AG33" s="204" t="str">
        <f>IF(OR(ISBLANK($F33),$S33="",$T33=""),"",ROUND($S33*(1+$T33)*INDEX('eGRID2018 Subregion'!$E$7:$E$33,MATCH($F33,RegionGEN,0))*GramsToMT,1))</f>
        <v/>
      </c>
      <c r="AH33" s="204" t="str">
        <f>IF(OR(ISBLANK($F33),$S33="",$T33=""),"",$S33*(1+$T33)*INDEX('eGRID2018 Subregion'!$F$7:$F$33,MATCH($F33,RegionGEN,0))*GramsToMT)</f>
        <v/>
      </c>
      <c r="AI33" s="204" t="str">
        <f>IF(OR(ISBLANK($F33),$S33="",$T33=""),"",$S33*(1+$T33)*INDEX('eGRID2018 Subregion'!$G$7:$G$33,MATCH($F33,RegionGEN,0))*GramsToMT)</f>
        <v/>
      </c>
      <c r="AJ33" s="204" t="str">
        <f>IF(ISBLANK($F33),"",ROUND(AG33*References!$B$28+AH33*References!$B$29+'General Calculator'!AI33*References!$B$30,1))</f>
        <v/>
      </c>
      <c r="AK33" s="5"/>
      <c r="AL33" s="202" t="str">
        <f t="shared" si="2"/>
        <v/>
      </c>
      <c r="AM33" s="202" t="str">
        <f t="shared" si="3"/>
        <v/>
      </c>
      <c r="AN33" s="202" t="str">
        <f t="shared" si="4"/>
        <v/>
      </c>
      <c r="AO33" s="204" t="str">
        <f t="shared" si="5"/>
        <v/>
      </c>
      <c r="AP33" s="204" t="str">
        <f t="shared" si="6"/>
        <v/>
      </c>
      <c r="AQ33" s="1"/>
      <c r="AR33" s="164" t="str">
        <f t="shared" si="7"/>
        <v/>
      </c>
      <c r="AS33" s="164" t="str">
        <f>IF(OR($W33="",$AM33="",$W33=0),"", $AM33/$W33)</f>
        <v/>
      </c>
      <c r="AT33" s="164" t="str">
        <f t="shared" si="8"/>
        <v/>
      </c>
      <c r="AU33" s="164" t="str">
        <f t="shared" si="9"/>
        <v/>
      </c>
      <c r="AV33" s="164" t="str">
        <f t="shared" si="10"/>
        <v/>
      </c>
      <c r="AW33" s="13"/>
      <c r="AX33" s="180" t="str">
        <f t="shared" si="11"/>
        <v/>
      </c>
      <c r="AY33" s="180" t="str">
        <f t="shared" si="12"/>
        <v/>
      </c>
      <c r="AZ33" s="180" t="str">
        <f>IF(OR($AX33="",$AY33=""),"",$AX33+$AY33)</f>
        <v/>
      </c>
      <c r="BA33" s="5"/>
      <c r="BB33" s="180" t="str">
        <f t="shared" si="13"/>
        <v/>
      </c>
      <c r="BC33" s="180" t="str">
        <f>IF(OR($R33="",$L33="",$M33="",$S33="",$T33=""),"",($R33*$L33*GalTokWh)-($S33*$M33*(1+$T33)))</f>
        <v/>
      </c>
      <c r="BD33" s="180" t="str">
        <f>IF(OR($BB33="",$BC33=""),"",$BB33+$BC33)</f>
        <v/>
      </c>
      <c r="BE33" s="5"/>
    </row>
    <row r="34" spans="1:57">
      <c r="A34" s="105"/>
      <c r="B34" s="105"/>
      <c r="C34" s="105"/>
      <c r="D34" s="106"/>
      <c r="E34" s="411"/>
      <c r="F34" s="105"/>
      <c r="G34" s="13" t="str">
        <f>IF(OR(ISBLANK($B34),ISBLANK($C34)),"",INDEX('TRU Ops &amp; Costs'!$D$4:$D$74,MATCH($B34&amp;$C34,'TRU Ops &amp; Costs'!$P$4:$P$74,0))/0.7457)</f>
        <v/>
      </c>
      <c r="H34" s="66" t="str">
        <f>IF(OR(ISBLANK($B34),ISBLANK($C34)),"",INDEX('TRU Ops &amp; Costs'!$E$4:$E$74,MATCH($B34&amp;$C34,'TRU Ops &amp; Costs'!$P$4:$P$74,0)))</f>
        <v/>
      </c>
      <c r="I34" s="13" t="str">
        <f>IF(OR(ISBLANK($B34),ISBLANK($C34)),"",INDEX('TRU Ops &amp; Costs'!$F$4:$F$74,MATCH($B34&amp;$C34,'TRU Ops &amp; Costs'!$P$4:$P$74,0)))</f>
        <v/>
      </c>
      <c r="J34" s="65" t="str">
        <f>IF(OR(ISBLANK($B34),ISBLANK($C34)),"",INDEX('TRU Ops &amp; Costs'!$G$4:$G$74,MATCH($B34&amp;$C34,'TRU Ops &amp; Costs'!$P$4:$P$74,0)))</f>
        <v/>
      </c>
      <c r="K34" s="13" t="str">
        <f t="shared" si="14"/>
        <v/>
      </c>
      <c r="L34" s="70" t="str">
        <f>IF(ISBLANK($F34),"",INDEX('Diesel Fuel Prices'!$D$5:$D$31,MATCH($F34,'Diesel Fuel Prices'!$B$5:$B$31,0))*References!$B$38/References!$B$37)</f>
        <v/>
      </c>
      <c r="M34" s="70" t="str">
        <f>IF(ISBLANK($F34),"",VLOOKUP($F34,'Electricity Prices'!$B$4:$F$31,5,FALSE)*References!$B$38/References!$B$37)</f>
        <v/>
      </c>
      <c r="N34" s="71" t="str">
        <f>IF(OR(ISBLANK($B34),ISBLANK($C34)),"",INDEX('TRU Ops &amp; Costs'!$I$4:$I$74,MATCH($B34&amp;$C34,'TRU Ops &amp; Costs'!$P$4:$P$74,0)))</f>
        <v/>
      </c>
      <c r="O34" s="71" t="str">
        <f>IF(OR(ISBLANK($B34),ISBLANK($C34)),"",IF(E34="Yard",INDEX('TRU Ops &amp; Costs'!$J$4:$J$74,MATCH($B34&amp;$C34,'TRU Ops &amp; Costs'!$P$4:$P$74,0)),INDEX('TRU Ops &amp; Costs'!$K$4:$K$74,MATCH($B34&amp;$C34,'TRU Ops &amp; Costs'!$P$4:$P$74,0))))</f>
        <v/>
      </c>
      <c r="P34" s="71" t="str">
        <f>IF(OR(ISBLANK($B34),ISBLANK($C34)),"",$K34*INDEX('TRU Ops &amp; Costs'!$M$4:$M$74,MATCH($B34&amp;$C34,'TRU Ops &amp; Costs'!$P$4:$P$74,0))*-INDEX('TRU Ops &amp; Costs'!$L$4:$L$74,MATCH($B34&amp;$C34,'TRU Ops &amp; Costs'!$P$4:$P$74,0)))</f>
        <v/>
      </c>
      <c r="Q34" s="13"/>
      <c r="R34" s="128" t="str">
        <f t="shared" si="0"/>
        <v/>
      </c>
      <c r="S34" s="128" t="str">
        <f t="shared" si="1"/>
        <v/>
      </c>
      <c r="T34" s="168" t="str">
        <f>IF(ISBLANK($F34),"",INDEX('eGRID2018 Subregion'!$J$7:$J$33,MATCH($F34,RegionGEN,0)))</f>
        <v/>
      </c>
      <c r="U34" s="13"/>
      <c r="V34" s="203" t="str">
        <f>IF(OR(ISBLANK($B34),ISBLANK($C34),$R34=""),"",ROUND($R34*INDEX('Diesel TRU Emission Factors'!$D$6:$D$76,MATCH($B34&amp;$C34,'Diesel TRU Emission Factors'!$R$6:$R$77,0))*GramsToMT,4))</f>
        <v/>
      </c>
      <c r="W34" s="203" t="str">
        <f>IF(OR(ISBLANK($B34),ISBLANK($C34),$R34=""),"",ROUND($R34*INDEX('Diesel TRU Emission Factors'!$E$6:$E$76,MATCH($B34&amp;$C34,'Diesel TRU Emission Factors'!$R$6:$R$77,0))*GramsToMT,4))</f>
        <v/>
      </c>
      <c r="X34" s="203" t="str">
        <f>IF(OR(ISBLANK($B34),ISBLANK($C34),$R34=""),"",ROUND($R34*INDEX('Diesel TRU Emission Factors'!$H$6:$H$76,MATCH($B34&amp;$C34,'Diesel TRU Emission Factors'!$R$6:$R$77,0))*GramsToMT,4))</f>
        <v/>
      </c>
      <c r="Y34" s="205" t="str">
        <f>IF(OR(ISBLANK($B34),ISBLANK($C34),$R34=""),"",ROUND($R34*INDEX('Diesel TRU Emission Factors'!$F$6:$F$76,MATCH($B34&amp;$C34,'Diesel TRU Emission Factors'!$R$6:$R$77,0))*GramsToMT,1))</f>
        <v/>
      </c>
      <c r="Z34" s="205" t="str">
        <f>IF(OR(ISBLANK($B34),ISBLANK($C34),$R34=""),"",$R34*INDEX('Diesel TRU Emission Factors'!$G$6:$G$76,MATCH($B34&amp;$C34,'Diesel TRU Emission Factors'!$R$6:$R$77,0))*GramsToMT)</f>
        <v/>
      </c>
      <c r="AA34" s="207" t="str">
        <f>IF(ISBLANK(F34),"",R34*GalTokWh*'Diesel TRU Emission Factors'!$P$4/1000000)</f>
        <v/>
      </c>
      <c r="AB34" s="207" t="str">
        <f>IF(ISBLANK($F34),"",ROUND(Y34*References!$B$28+Z34*References!$B$29+'General Calculator'!AA34*References!$B$30,1))</f>
        <v/>
      </c>
      <c r="AC34" s="5"/>
      <c r="AD34" s="203" t="str">
        <f>IF(OR(ISBLANK($F34),$S34="",$T34=""),"",ROUND($S34*(1+$T34)*INDEX('eGRID2018 Subregion'!$C$7:$C$33,MATCH($F34,RegionGEN,0))*GramsToMT,4))</f>
        <v/>
      </c>
      <c r="AE34" s="203" t="str">
        <f>IF(OR(ISBLANK($F34),$S34="",$T34=""),"",ROUND($S34*(1+$T34)*INDEX('eGRID2018 Subregion'!$D$7:$D$33,MATCH($F34,RegionGEN,0))*GramsToMT,4))</f>
        <v/>
      </c>
      <c r="AF34" s="203" t="str">
        <f>IF(OR(ISBLANK($F34),$S34="",$T34=""),"",ROUND($S34*(1+$T34)*INDEX('eGRID2018 Subregion'!$I$7:$I$33,MATCH($F34,RegionGEN,0))*GramsToMT,4))</f>
        <v/>
      </c>
      <c r="AG34" s="205" t="str">
        <f>IF(OR(ISBLANK($F34),$S34="",$T34=""),"",ROUND($S34*(1+$T34)*INDEX('eGRID2018 Subregion'!$E$7:$E$33,MATCH($F34,RegionGEN,0))*GramsToMT,1))</f>
        <v/>
      </c>
      <c r="AH34" s="205" t="str">
        <f>IF(OR(ISBLANK($F34),$S34="",$T34=""),"",$S34*(1+$T34)*INDEX('eGRID2018 Subregion'!$F$7:$F$33,MATCH($F34,RegionGEN,0))*GramsToMT)</f>
        <v/>
      </c>
      <c r="AI34" s="205" t="str">
        <f>IF(OR(ISBLANK($F34),$S34="",$T34=""),"",$S34*(1+$T34)*INDEX('eGRID2018 Subregion'!$G$7:$G$33,MATCH($F34,RegionGEN,0))*GramsToMT)</f>
        <v/>
      </c>
      <c r="AJ34" s="205" t="str">
        <f>IF(ISBLANK($F34),"",ROUND(AG34*References!$B$28+AH34*References!$B$29+'General Calculator'!AI34*References!$B$30,1))</f>
        <v/>
      </c>
      <c r="AK34" s="5"/>
      <c r="AL34" s="203" t="str">
        <f t="shared" si="2"/>
        <v/>
      </c>
      <c r="AM34" s="203" t="str">
        <f t="shared" si="3"/>
        <v/>
      </c>
      <c r="AN34" s="203" t="str">
        <f t="shared" si="4"/>
        <v/>
      </c>
      <c r="AO34" s="205" t="str">
        <f t="shared" si="5"/>
        <v/>
      </c>
      <c r="AP34" s="205" t="str">
        <f t="shared" si="6"/>
        <v/>
      </c>
      <c r="AQ34" s="1"/>
      <c r="AR34" s="165" t="str">
        <f t="shared" si="7"/>
        <v/>
      </c>
      <c r="AS34" s="165" t="str">
        <f t="shared" ref="AS34" si="32">IF(OR(W34="",AM34="",W34=0),"", AM34/W34)</f>
        <v/>
      </c>
      <c r="AT34" s="165" t="str">
        <f t="shared" si="8"/>
        <v/>
      </c>
      <c r="AU34" s="165" t="str">
        <f t="shared" si="9"/>
        <v/>
      </c>
      <c r="AV34" s="165" t="str">
        <f t="shared" si="10"/>
        <v/>
      </c>
      <c r="AW34" s="13"/>
      <c r="AX34" s="179" t="str">
        <f t="shared" si="11"/>
        <v/>
      </c>
      <c r="AY34" s="179" t="str">
        <f t="shared" si="12"/>
        <v/>
      </c>
      <c r="AZ34" s="179" t="str">
        <f t="shared" si="16"/>
        <v/>
      </c>
      <c r="BA34" s="5"/>
      <c r="BB34" s="179" t="str">
        <f t="shared" si="13"/>
        <v/>
      </c>
      <c r="BC34" s="179" t="str">
        <f t="shared" si="17"/>
        <v/>
      </c>
      <c r="BD34" s="179" t="str">
        <f t="shared" si="18"/>
        <v/>
      </c>
      <c r="BE34" s="5"/>
    </row>
    <row r="35" spans="1:57">
      <c r="A35" s="103"/>
      <c r="B35" s="103"/>
      <c r="C35" s="103"/>
      <c r="D35" s="104"/>
      <c r="E35" s="410"/>
      <c r="F35" s="103"/>
      <c r="G35" s="13" t="str">
        <f>IF(OR(ISBLANK($B35),ISBLANK($C35)),"",INDEX('TRU Ops &amp; Costs'!$D$4:$D$74,MATCH($B35&amp;$C35,'TRU Ops &amp; Costs'!$P$4:$P$74,0))/0.7457)</f>
        <v/>
      </c>
      <c r="H35" s="66" t="str">
        <f>IF(OR(ISBLANK($B35),ISBLANK($C35)),"",INDEX('TRU Ops &amp; Costs'!$E$4:$E$74,MATCH($B35&amp;$C35,'TRU Ops &amp; Costs'!$P$4:$P$74,0)))</f>
        <v/>
      </c>
      <c r="I35" s="13" t="str">
        <f>IF(OR(ISBLANK($B35),ISBLANK($C35)),"",INDEX('TRU Ops &amp; Costs'!$F$4:$F$74,MATCH($B35&amp;$C35,'TRU Ops &amp; Costs'!$P$4:$P$74,0)))</f>
        <v/>
      </c>
      <c r="J35" s="65" t="str">
        <f>IF(OR(ISBLANK($B35),ISBLANK($C35)),"",INDEX('TRU Ops &amp; Costs'!$G$4:$G$74,MATCH($B35&amp;$C35,'TRU Ops &amp; Costs'!$P$4:$P$74,0)))</f>
        <v/>
      </c>
      <c r="K35" s="13" t="str">
        <f t="shared" si="14"/>
        <v/>
      </c>
      <c r="L35" s="70" t="str">
        <f>IF(ISBLANK($F35),"",INDEX('Diesel Fuel Prices'!$D$5:$D$31,MATCH($F35,'Diesel Fuel Prices'!$B$5:$B$31,0))*References!$B$38/References!$B$37)</f>
        <v/>
      </c>
      <c r="M35" s="70" t="str">
        <f>IF(ISBLANK($F35),"",VLOOKUP($F35,'Electricity Prices'!$B$4:$F$31,5,FALSE)*References!$B$38/References!$B$37)</f>
        <v/>
      </c>
      <c r="N35" s="71" t="str">
        <f>IF(OR(ISBLANK($B35),ISBLANK($C35)),"",INDEX('TRU Ops &amp; Costs'!$I$4:$I$74,MATCH($B35&amp;$C35,'TRU Ops &amp; Costs'!$P$4:$P$74,0)))</f>
        <v/>
      </c>
      <c r="O35" s="71" t="str">
        <f>IF(OR(ISBLANK($B35),ISBLANK($C35)),"",IF(E35="Yard",INDEX('TRU Ops &amp; Costs'!$J$4:$J$74,MATCH($B35&amp;$C35,'TRU Ops &amp; Costs'!$P$4:$P$74,0)),INDEX('TRU Ops &amp; Costs'!$K$4:$K$74,MATCH($B35&amp;$C35,'TRU Ops &amp; Costs'!$P$4:$P$74,0))))</f>
        <v/>
      </c>
      <c r="P35" s="71" t="str">
        <f>IF(OR(ISBLANK($B35),ISBLANK($C35)),"",$K35*INDEX('TRU Ops &amp; Costs'!$M$4:$M$74,MATCH($B35&amp;$C35,'TRU Ops &amp; Costs'!$P$4:$P$74,0))*-INDEX('TRU Ops &amp; Costs'!$L$4:$L$74,MATCH($B35&amp;$C35,'TRU Ops &amp; Costs'!$P$4:$P$74,0)))</f>
        <v/>
      </c>
      <c r="Q35" s="13"/>
      <c r="R35" s="127" t="str">
        <f t="shared" si="0"/>
        <v/>
      </c>
      <c r="S35" s="127" t="str">
        <f t="shared" si="1"/>
        <v/>
      </c>
      <c r="T35" s="167" t="str">
        <f>IF(ISBLANK($F35),"",INDEX('eGRID2018 Subregion'!$J$7:$J$33,MATCH($F35,RegionGEN,0)))</f>
        <v/>
      </c>
      <c r="U35" s="13"/>
      <c r="V35" s="202" t="str">
        <f>IF(OR(ISBLANK($B35),ISBLANK($C35),$R35=""),"",ROUND($R35*INDEX('Diesel TRU Emission Factors'!$D$6:$D$76,MATCH($B35&amp;$C35,'Diesel TRU Emission Factors'!$R$6:$R$77,0))*GramsToMT,4))</f>
        <v/>
      </c>
      <c r="W35" s="202" t="str">
        <f>IF(OR(ISBLANK($B35),ISBLANK($C35),$R35=""),"",ROUND($R35*INDEX('Diesel TRU Emission Factors'!$E$6:$E$76,MATCH($B35&amp;$C35,'Diesel TRU Emission Factors'!$R$6:$R$77,0))*GramsToMT,4))</f>
        <v/>
      </c>
      <c r="X35" s="202" t="str">
        <f>IF(OR(ISBLANK($B35),ISBLANK($C35),$R35=""),"",ROUND($R35*INDEX('Diesel TRU Emission Factors'!$H$6:$H$76,MATCH($B35&amp;$C35,'Diesel TRU Emission Factors'!$R$6:$R$77,0))*GramsToMT,4))</f>
        <v/>
      </c>
      <c r="Y35" s="204" t="str">
        <f>IF(OR(ISBLANK($B35),ISBLANK($C35),$R35=""),"",ROUND($R35*INDEX('Diesel TRU Emission Factors'!$F$6:$F$76,MATCH($B35&amp;$C35,'Diesel TRU Emission Factors'!$R$6:$R$77,0))*GramsToMT,1))</f>
        <v/>
      </c>
      <c r="Z35" s="204" t="str">
        <f>IF(OR(ISBLANK($B35),ISBLANK($C35),$R35=""),"",$R35*INDEX('Diesel TRU Emission Factors'!$G$6:$G$76,MATCH($B35&amp;$C35,'Diesel TRU Emission Factors'!$R$6:$R$77,0))*GramsToMT)</f>
        <v/>
      </c>
      <c r="AA35" s="206" t="str">
        <f>IF(ISBLANK(F35),"",R35*GalTokWh*'Diesel TRU Emission Factors'!$P$4/1000000)</f>
        <v/>
      </c>
      <c r="AB35" s="206" t="str">
        <f>IF(ISBLANK($F35),"",ROUND(Y35*References!$B$28+Z35*References!$B$29+'General Calculator'!AA35*References!$B$30,1))</f>
        <v/>
      </c>
      <c r="AC35" s="5"/>
      <c r="AD35" s="202" t="str">
        <f>IF(OR(ISBLANK($F35),$S35="",$T35=""),"",ROUND($S35*(1+$T35)*INDEX('eGRID2018 Subregion'!$C$7:$C$33,MATCH($F35,RegionGEN,0))*GramsToMT,4))</f>
        <v/>
      </c>
      <c r="AE35" s="202" t="str">
        <f>IF(OR(ISBLANK($F35),$S35="",$T35=""),"",ROUND($S35*(1+$T35)*INDEX('eGRID2018 Subregion'!$D$7:$D$33,MATCH($F35,RegionGEN,0))*GramsToMT,4))</f>
        <v/>
      </c>
      <c r="AF35" s="202" t="str">
        <f>IF(OR(ISBLANK($F35),$S35="",$T35=""),"",ROUND($S35*(1+$T35)*INDEX('eGRID2018 Subregion'!$I$7:$I$33,MATCH($F35,RegionGEN,0))*GramsToMT,4))</f>
        <v/>
      </c>
      <c r="AG35" s="204" t="str">
        <f>IF(OR(ISBLANK($F35),$S35="",$T35=""),"",ROUND($S35*(1+$T35)*INDEX('eGRID2018 Subregion'!$E$7:$E$33,MATCH($F35,RegionGEN,0))*GramsToMT,1))</f>
        <v/>
      </c>
      <c r="AH35" s="204" t="str">
        <f>IF(OR(ISBLANK($F35),$S35="",$T35=""),"",$S35*(1+$T35)*INDEX('eGRID2018 Subregion'!$F$7:$F$33,MATCH($F35,RegionGEN,0))*GramsToMT)</f>
        <v/>
      </c>
      <c r="AI35" s="204" t="str">
        <f>IF(OR(ISBLANK($F35),$S35="",$T35=""),"",$S35*(1+$T35)*INDEX('eGRID2018 Subregion'!$G$7:$G$33,MATCH($F35,RegionGEN,0))*GramsToMT)</f>
        <v/>
      </c>
      <c r="AJ35" s="204" t="str">
        <f>IF(ISBLANK($F35),"",ROUND(AG35*References!$B$28+AH35*References!$B$29+'General Calculator'!AI35*References!$B$30,1))</f>
        <v/>
      </c>
      <c r="AK35" s="5"/>
      <c r="AL35" s="202" t="str">
        <f t="shared" si="2"/>
        <v/>
      </c>
      <c r="AM35" s="202" t="str">
        <f t="shared" si="3"/>
        <v/>
      </c>
      <c r="AN35" s="202" t="str">
        <f t="shared" si="4"/>
        <v/>
      </c>
      <c r="AO35" s="204" t="str">
        <f t="shared" si="5"/>
        <v/>
      </c>
      <c r="AP35" s="204" t="str">
        <f t="shared" si="6"/>
        <v/>
      </c>
      <c r="AQ35" s="1"/>
      <c r="AR35" s="164" t="str">
        <f t="shared" si="7"/>
        <v/>
      </c>
      <c r="AS35" s="164" t="str">
        <f>IF(OR($W35="",$AM35="",$W35=0),"", $AM35/$W35)</f>
        <v/>
      </c>
      <c r="AT35" s="164" t="str">
        <f t="shared" si="8"/>
        <v/>
      </c>
      <c r="AU35" s="164" t="str">
        <f t="shared" si="9"/>
        <v/>
      </c>
      <c r="AV35" s="164" t="str">
        <f t="shared" si="10"/>
        <v/>
      </c>
      <c r="AW35" s="13"/>
      <c r="AX35" s="180" t="str">
        <f t="shared" si="11"/>
        <v/>
      </c>
      <c r="AY35" s="180" t="str">
        <f t="shared" si="12"/>
        <v/>
      </c>
      <c r="AZ35" s="180" t="str">
        <f>IF(OR($AX35="",$AY35=""),"",$AX35+$AY35)</f>
        <v/>
      </c>
      <c r="BA35" s="5"/>
      <c r="BB35" s="180" t="str">
        <f t="shared" si="13"/>
        <v/>
      </c>
      <c r="BC35" s="180" t="str">
        <f>IF(OR($R35="",$L35="",$M35="",$S35="",$T35=""),"",($R35*$L35*GalTokWh)-($S35*$M35*(1+$T35)))</f>
        <v/>
      </c>
      <c r="BD35" s="180" t="str">
        <f>IF(OR($BB35="",$BC35=""),"",$BB35+$BC35)</f>
        <v/>
      </c>
      <c r="BE35" s="5"/>
    </row>
    <row r="36" spans="1:57">
      <c r="A36" s="105"/>
      <c r="B36" s="105"/>
      <c r="C36" s="105"/>
      <c r="D36" s="106"/>
      <c r="E36" s="411"/>
      <c r="F36" s="105"/>
      <c r="G36" s="13" t="str">
        <f>IF(OR(ISBLANK($B36),ISBLANK($C36)),"",INDEX('TRU Ops &amp; Costs'!$D$4:$D$74,MATCH($B36&amp;$C36,'TRU Ops &amp; Costs'!$P$4:$P$74,0))/0.7457)</f>
        <v/>
      </c>
      <c r="H36" s="66" t="str">
        <f>IF(OR(ISBLANK($B36),ISBLANK($C36)),"",INDEX('TRU Ops &amp; Costs'!$E$4:$E$74,MATCH($B36&amp;$C36,'TRU Ops &amp; Costs'!$P$4:$P$74,0)))</f>
        <v/>
      </c>
      <c r="I36" s="13" t="str">
        <f>IF(OR(ISBLANK($B36),ISBLANK($C36)),"",INDEX('TRU Ops &amp; Costs'!$F$4:$F$74,MATCH($B36&amp;$C36,'TRU Ops &amp; Costs'!$P$4:$P$74,0)))</f>
        <v/>
      </c>
      <c r="J36" s="65" t="str">
        <f>IF(OR(ISBLANK($B36),ISBLANK($C36)),"",INDEX('TRU Ops &amp; Costs'!$G$4:$G$74,MATCH($B36&amp;$C36,'TRU Ops &amp; Costs'!$P$4:$P$74,0)))</f>
        <v/>
      </c>
      <c r="K36" s="13" t="str">
        <f t="shared" si="14"/>
        <v/>
      </c>
      <c r="L36" s="70" t="str">
        <f>IF(ISBLANK($F36),"",INDEX('Diesel Fuel Prices'!$D$5:$D$31,MATCH($F36,'Diesel Fuel Prices'!$B$5:$B$31,0))*References!$B$38/References!$B$37)</f>
        <v/>
      </c>
      <c r="M36" s="70" t="str">
        <f>IF(ISBLANK($F36),"",VLOOKUP($F36,'Electricity Prices'!$B$4:$F$31,5,FALSE)*References!$B$38/References!$B$37)</f>
        <v/>
      </c>
      <c r="N36" s="71" t="str">
        <f>IF(OR(ISBLANK($B36),ISBLANK($C36)),"",INDEX('TRU Ops &amp; Costs'!$I$4:$I$74,MATCH($B36&amp;$C36,'TRU Ops &amp; Costs'!$P$4:$P$74,0)))</f>
        <v/>
      </c>
      <c r="O36" s="71" t="str">
        <f>IF(OR(ISBLANK($B36),ISBLANK($C36)),"",IF(E36="Yard",INDEX('TRU Ops &amp; Costs'!$J$4:$J$74,MATCH($B36&amp;$C36,'TRU Ops &amp; Costs'!$P$4:$P$74,0)),INDEX('TRU Ops &amp; Costs'!$K$4:$K$74,MATCH($B36&amp;$C36,'TRU Ops &amp; Costs'!$P$4:$P$74,0))))</f>
        <v/>
      </c>
      <c r="P36" s="71" t="str">
        <f>IF(OR(ISBLANK($B36),ISBLANK($C36)),"",$K36*INDEX('TRU Ops &amp; Costs'!$M$4:$M$74,MATCH($B36&amp;$C36,'TRU Ops &amp; Costs'!$P$4:$P$74,0))*-INDEX('TRU Ops &amp; Costs'!$L$4:$L$74,MATCH($B36&amp;$C36,'TRU Ops &amp; Costs'!$P$4:$P$74,0)))</f>
        <v/>
      </c>
      <c r="Q36" s="13"/>
      <c r="R36" s="128" t="str">
        <f t="shared" si="0"/>
        <v/>
      </c>
      <c r="S36" s="128" t="str">
        <f t="shared" si="1"/>
        <v/>
      </c>
      <c r="T36" s="168" t="str">
        <f>IF(ISBLANK($F36),"",INDEX('eGRID2018 Subregion'!$J$7:$J$33,MATCH($F36,RegionGEN,0)))</f>
        <v/>
      </c>
      <c r="U36" s="13"/>
      <c r="V36" s="203" t="str">
        <f>IF(OR(ISBLANK($B36),ISBLANK($C36),$R36=""),"",ROUND($R36*INDEX('Diesel TRU Emission Factors'!$D$6:$D$76,MATCH($B36&amp;$C36,'Diesel TRU Emission Factors'!$R$6:$R$77,0))*GramsToMT,4))</f>
        <v/>
      </c>
      <c r="W36" s="203" t="str">
        <f>IF(OR(ISBLANK($B36),ISBLANK($C36),$R36=""),"",ROUND($R36*INDEX('Diesel TRU Emission Factors'!$E$6:$E$76,MATCH($B36&amp;$C36,'Diesel TRU Emission Factors'!$R$6:$R$77,0))*GramsToMT,4))</f>
        <v/>
      </c>
      <c r="X36" s="203" t="str">
        <f>IF(OR(ISBLANK($B36),ISBLANK($C36),$R36=""),"",ROUND($R36*INDEX('Diesel TRU Emission Factors'!$H$6:$H$76,MATCH($B36&amp;$C36,'Diesel TRU Emission Factors'!$R$6:$R$77,0))*GramsToMT,4))</f>
        <v/>
      </c>
      <c r="Y36" s="205" t="str">
        <f>IF(OR(ISBLANK($B36),ISBLANK($C36),$R36=""),"",ROUND($R36*INDEX('Diesel TRU Emission Factors'!$F$6:$F$76,MATCH($B36&amp;$C36,'Diesel TRU Emission Factors'!$R$6:$R$77,0))*GramsToMT,1))</f>
        <v/>
      </c>
      <c r="Z36" s="205" t="str">
        <f>IF(OR(ISBLANK($B36),ISBLANK($C36),$R36=""),"",$R36*INDEX('Diesel TRU Emission Factors'!$G$6:$G$76,MATCH($B36&amp;$C36,'Diesel TRU Emission Factors'!$R$6:$R$77,0))*GramsToMT)</f>
        <v/>
      </c>
      <c r="AA36" s="207" t="str">
        <f>IF(ISBLANK(F36),"",R36*GalTokWh*'Diesel TRU Emission Factors'!$P$4/1000000)</f>
        <v/>
      </c>
      <c r="AB36" s="207" t="str">
        <f>IF(ISBLANK($F36),"",ROUND(Y36*References!$B$28+Z36*References!$B$29+'General Calculator'!AA36*References!$B$30,1))</f>
        <v/>
      </c>
      <c r="AC36" s="5"/>
      <c r="AD36" s="203" t="str">
        <f>IF(OR(ISBLANK($F36),$S36="",$T36=""),"",ROUND($S36*(1+$T36)*INDEX('eGRID2018 Subregion'!$C$7:$C$33,MATCH($F36,RegionGEN,0))*GramsToMT,4))</f>
        <v/>
      </c>
      <c r="AE36" s="203" t="str">
        <f>IF(OR(ISBLANK($F36),$S36="",$T36=""),"",ROUND($S36*(1+$T36)*INDEX('eGRID2018 Subregion'!$D$7:$D$33,MATCH($F36,RegionGEN,0))*GramsToMT,4))</f>
        <v/>
      </c>
      <c r="AF36" s="203" t="str">
        <f>IF(OR(ISBLANK($F36),$S36="",$T36=""),"",ROUND($S36*(1+$T36)*INDEX('eGRID2018 Subregion'!$I$7:$I$33,MATCH($F36,RegionGEN,0))*GramsToMT,4))</f>
        <v/>
      </c>
      <c r="AG36" s="205" t="str">
        <f>IF(OR(ISBLANK($F36),$S36="",$T36=""),"",ROUND($S36*(1+$T36)*INDEX('eGRID2018 Subregion'!$E$7:$E$33,MATCH($F36,RegionGEN,0))*GramsToMT,1))</f>
        <v/>
      </c>
      <c r="AH36" s="205" t="str">
        <f>IF(OR(ISBLANK($F36),$S36="",$T36=""),"",$S36*(1+$T36)*INDEX('eGRID2018 Subregion'!$F$7:$F$33,MATCH($F36,RegionGEN,0))*GramsToMT)</f>
        <v/>
      </c>
      <c r="AI36" s="205" t="str">
        <f>IF(OR(ISBLANK($F36),$S36="",$T36=""),"",$S36*(1+$T36)*INDEX('eGRID2018 Subregion'!$G$7:$G$33,MATCH($F36,RegionGEN,0))*GramsToMT)</f>
        <v/>
      </c>
      <c r="AJ36" s="205" t="str">
        <f>IF(ISBLANK($F36),"",ROUND(AG36*References!$B$28+AH36*References!$B$29+'General Calculator'!AI36*References!$B$30,1))</f>
        <v/>
      </c>
      <c r="AK36" s="5"/>
      <c r="AL36" s="203" t="str">
        <f t="shared" si="2"/>
        <v/>
      </c>
      <c r="AM36" s="203" t="str">
        <f t="shared" si="3"/>
        <v/>
      </c>
      <c r="AN36" s="203" t="str">
        <f t="shared" si="4"/>
        <v/>
      </c>
      <c r="AO36" s="205" t="str">
        <f t="shared" si="5"/>
        <v/>
      </c>
      <c r="AP36" s="205" t="str">
        <f t="shared" si="6"/>
        <v/>
      </c>
      <c r="AQ36" s="1"/>
      <c r="AR36" s="165" t="str">
        <f t="shared" si="7"/>
        <v/>
      </c>
      <c r="AS36" s="165" t="str">
        <f t="shared" ref="AS36" si="33">IF(OR(W36="",AM36="",W36=0),"", AM36/W36)</f>
        <v/>
      </c>
      <c r="AT36" s="165" t="str">
        <f t="shared" si="8"/>
        <v/>
      </c>
      <c r="AU36" s="165" t="str">
        <f t="shared" si="9"/>
        <v/>
      </c>
      <c r="AV36" s="165" t="str">
        <f t="shared" si="10"/>
        <v/>
      </c>
      <c r="AW36" s="13"/>
      <c r="AX36" s="179" t="str">
        <f t="shared" si="11"/>
        <v/>
      </c>
      <c r="AY36" s="179" t="str">
        <f t="shared" si="12"/>
        <v/>
      </c>
      <c r="AZ36" s="179" t="str">
        <f t="shared" si="16"/>
        <v/>
      </c>
      <c r="BA36" s="5"/>
      <c r="BB36" s="179" t="str">
        <f t="shared" si="13"/>
        <v/>
      </c>
      <c r="BC36" s="179" t="str">
        <f t="shared" si="17"/>
        <v/>
      </c>
      <c r="BD36" s="179" t="str">
        <f t="shared" si="18"/>
        <v/>
      </c>
      <c r="BE36" s="5"/>
    </row>
    <row r="37" spans="1:57">
      <c r="A37" s="103"/>
      <c r="B37" s="103"/>
      <c r="C37" s="103"/>
      <c r="D37" s="104"/>
      <c r="E37" s="410"/>
      <c r="F37" s="103"/>
      <c r="G37" s="13" t="str">
        <f>IF(OR(ISBLANK($B37),ISBLANK($C37)),"",INDEX('TRU Ops &amp; Costs'!$D$4:$D$74,MATCH($B37&amp;$C37,'TRU Ops &amp; Costs'!$P$4:$P$74,0))/0.7457)</f>
        <v/>
      </c>
      <c r="H37" s="66" t="str">
        <f>IF(OR(ISBLANK($B37),ISBLANK($C37)),"",INDEX('TRU Ops &amp; Costs'!$E$4:$E$74,MATCH($B37&amp;$C37,'TRU Ops &amp; Costs'!$P$4:$P$74,0)))</f>
        <v/>
      </c>
      <c r="I37" s="13" t="str">
        <f>IF(OR(ISBLANK($B37),ISBLANK($C37)),"",INDEX('TRU Ops &amp; Costs'!$F$4:$F$74,MATCH($B37&amp;$C37,'TRU Ops &amp; Costs'!$P$4:$P$74,0)))</f>
        <v/>
      </c>
      <c r="J37" s="65" t="str">
        <f>IF(OR(ISBLANK($B37),ISBLANK($C37)),"",INDEX('TRU Ops &amp; Costs'!$G$4:$G$74,MATCH($B37&amp;$C37,'TRU Ops &amp; Costs'!$P$4:$P$74,0)))</f>
        <v/>
      </c>
      <c r="K37" s="13" t="str">
        <f t="shared" si="14"/>
        <v/>
      </c>
      <c r="L37" s="70" t="str">
        <f>IF(ISBLANK($F37),"",INDEX('Diesel Fuel Prices'!$D$5:$D$31,MATCH($F37,'Diesel Fuel Prices'!$B$5:$B$31,0))*References!$B$38/References!$B$37)</f>
        <v/>
      </c>
      <c r="M37" s="70" t="str">
        <f>IF(ISBLANK($F37),"",VLOOKUP($F37,'Electricity Prices'!$B$4:$F$31,5,FALSE)*References!$B$38/References!$B$37)</f>
        <v/>
      </c>
      <c r="N37" s="71" t="str">
        <f>IF(OR(ISBLANK($B37),ISBLANK($C37)),"",INDEX('TRU Ops &amp; Costs'!$I$4:$I$74,MATCH($B37&amp;$C37,'TRU Ops &amp; Costs'!$P$4:$P$74,0)))</f>
        <v/>
      </c>
      <c r="O37" s="71" t="str">
        <f>IF(OR(ISBLANK($B37),ISBLANK($C37)),"",IF(E37="Yard",INDEX('TRU Ops &amp; Costs'!$J$4:$J$74,MATCH($B37&amp;$C37,'TRU Ops &amp; Costs'!$P$4:$P$74,0)),INDEX('TRU Ops &amp; Costs'!$K$4:$K$74,MATCH($B37&amp;$C37,'TRU Ops &amp; Costs'!$P$4:$P$74,0))))</f>
        <v/>
      </c>
      <c r="P37" s="71" t="str">
        <f>IF(OR(ISBLANK($B37),ISBLANK($C37)),"",$K37*INDEX('TRU Ops &amp; Costs'!$M$4:$M$74,MATCH($B37&amp;$C37,'TRU Ops &amp; Costs'!$P$4:$P$74,0))*-INDEX('TRU Ops &amp; Costs'!$L$4:$L$74,MATCH($B37&amp;$C37,'TRU Ops &amp; Costs'!$P$4:$P$74,0)))</f>
        <v/>
      </c>
      <c r="Q37" s="13"/>
      <c r="R37" s="127" t="str">
        <f t="shared" si="0"/>
        <v/>
      </c>
      <c r="S37" s="127" t="str">
        <f t="shared" si="1"/>
        <v/>
      </c>
      <c r="T37" s="167" t="str">
        <f>IF(ISBLANK($F37),"",INDEX('eGRID2018 Subregion'!$J$7:$J$33,MATCH($F37,RegionGEN,0)))</f>
        <v/>
      </c>
      <c r="U37" s="13"/>
      <c r="V37" s="202" t="str">
        <f>IF(OR(ISBLANK($B37),ISBLANK($C37),$R37=""),"",ROUND($R37*INDEX('Diesel TRU Emission Factors'!$D$6:$D$76,MATCH($B37&amp;$C37,'Diesel TRU Emission Factors'!$R$6:$R$77,0))*GramsToMT,4))</f>
        <v/>
      </c>
      <c r="W37" s="202" t="str">
        <f>IF(OR(ISBLANK($B37),ISBLANK($C37),$R37=""),"",ROUND($R37*INDEX('Diesel TRU Emission Factors'!$E$6:$E$76,MATCH($B37&amp;$C37,'Diesel TRU Emission Factors'!$R$6:$R$77,0))*GramsToMT,4))</f>
        <v/>
      </c>
      <c r="X37" s="202" t="str">
        <f>IF(OR(ISBLANK($B37),ISBLANK($C37),$R37=""),"",ROUND($R37*INDEX('Diesel TRU Emission Factors'!$H$6:$H$76,MATCH($B37&amp;$C37,'Diesel TRU Emission Factors'!$R$6:$R$77,0))*GramsToMT,4))</f>
        <v/>
      </c>
      <c r="Y37" s="204" t="str">
        <f>IF(OR(ISBLANK($B37),ISBLANK($C37),$R37=""),"",ROUND($R37*INDEX('Diesel TRU Emission Factors'!$F$6:$F$76,MATCH($B37&amp;$C37,'Diesel TRU Emission Factors'!$R$6:$R$77,0))*GramsToMT,1))</f>
        <v/>
      </c>
      <c r="Z37" s="204" t="str">
        <f>IF(OR(ISBLANK($B37),ISBLANK($C37),$R37=""),"",$R37*INDEX('Diesel TRU Emission Factors'!$G$6:$G$76,MATCH($B37&amp;$C37,'Diesel TRU Emission Factors'!$R$6:$R$77,0))*GramsToMT)</f>
        <v/>
      </c>
      <c r="AA37" s="206" t="str">
        <f>IF(ISBLANK(F37),"",R37*GalTokWh*'Diesel TRU Emission Factors'!$P$4/1000000)</f>
        <v/>
      </c>
      <c r="AB37" s="206" t="str">
        <f>IF(ISBLANK($F37),"",ROUND(Y37*References!$B$28+Z37*References!$B$29+'General Calculator'!AA37*References!$B$30,1))</f>
        <v/>
      </c>
      <c r="AC37" s="5"/>
      <c r="AD37" s="202" t="str">
        <f>IF(OR(ISBLANK($F37),$S37="",$T37=""),"",ROUND($S37*(1+$T37)*INDEX('eGRID2018 Subregion'!$C$7:$C$33,MATCH($F37,RegionGEN,0))*GramsToMT,4))</f>
        <v/>
      </c>
      <c r="AE37" s="202" t="str">
        <f>IF(OR(ISBLANK($F37),$S37="",$T37=""),"",ROUND($S37*(1+$T37)*INDEX('eGRID2018 Subregion'!$D$7:$D$33,MATCH($F37,RegionGEN,0))*GramsToMT,4))</f>
        <v/>
      </c>
      <c r="AF37" s="202" t="str">
        <f>IF(OR(ISBLANK($F37),$S37="",$T37=""),"",ROUND($S37*(1+$T37)*INDEX('eGRID2018 Subregion'!$I$7:$I$33,MATCH($F37,RegionGEN,0))*GramsToMT,4))</f>
        <v/>
      </c>
      <c r="AG37" s="204" t="str">
        <f>IF(OR(ISBLANK($F37),$S37="",$T37=""),"",ROUND($S37*(1+$T37)*INDEX('eGRID2018 Subregion'!$E$7:$E$33,MATCH($F37,RegionGEN,0))*GramsToMT,1))</f>
        <v/>
      </c>
      <c r="AH37" s="204" t="str">
        <f>IF(OR(ISBLANK($F37),$S37="",$T37=""),"",$S37*(1+$T37)*INDEX('eGRID2018 Subregion'!$F$7:$F$33,MATCH($F37,RegionGEN,0))*GramsToMT)</f>
        <v/>
      </c>
      <c r="AI37" s="204" t="str">
        <f>IF(OR(ISBLANK($F37),$S37="",$T37=""),"",$S37*(1+$T37)*INDEX('eGRID2018 Subregion'!$G$7:$G$33,MATCH($F37,RegionGEN,0))*GramsToMT)</f>
        <v/>
      </c>
      <c r="AJ37" s="204" t="str">
        <f>IF(ISBLANK($F37),"",ROUND(AG37*References!$B$28+AH37*References!$B$29+'General Calculator'!AI37*References!$B$30,1))</f>
        <v/>
      </c>
      <c r="AK37" s="5"/>
      <c r="AL37" s="202" t="str">
        <f t="shared" si="2"/>
        <v/>
      </c>
      <c r="AM37" s="202" t="str">
        <f t="shared" si="3"/>
        <v/>
      </c>
      <c r="AN37" s="202" t="str">
        <f t="shared" si="4"/>
        <v/>
      </c>
      <c r="AO37" s="204" t="str">
        <f t="shared" si="5"/>
        <v/>
      </c>
      <c r="AP37" s="204" t="str">
        <f t="shared" si="6"/>
        <v/>
      </c>
      <c r="AQ37" s="1"/>
      <c r="AR37" s="164" t="str">
        <f t="shared" si="7"/>
        <v/>
      </c>
      <c r="AS37" s="164" t="str">
        <f>IF(OR($W37="",$AM37="",$W37=0),"", $AM37/$W37)</f>
        <v/>
      </c>
      <c r="AT37" s="164" t="str">
        <f t="shared" si="8"/>
        <v/>
      </c>
      <c r="AU37" s="164" t="str">
        <f t="shared" si="9"/>
        <v/>
      </c>
      <c r="AV37" s="164" t="str">
        <f t="shared" si="10"/>
        <v/>
      </c>
      <c r="AW37" s="13"/>
      <c r="AX37" s="180" t="str">
        <f t="shared" si="11"/>
        <v/>
      </c>
      <c r="AY37" s="180" t="str">
        <f t="shared" si="12"/>
        <v/>
      </c>
      <c r="AZ37" s="180" t="str">
        <f>IF(OR($AX37="",$AY37=""),"",$AX37+$AY37)</f>
        <v/>
      </c>
      <c r="BA37" s="5"/>
      <c r="BB37" s="180" t="str">
        <f t="shared" si="13"/>
        <v/>
      </c>
      <c r="BC37" s="180" t="str">
        <f>IF(OR($R37="",$L37="",$M37="",$S37="",$T37=""),"",($R37*$L37*GalTokWh)-($S37*$M37*(1+$T37)))</f>
        <v/>
      </c>
      <c r="BD37" s="180" t="str">
        <f>IF(OR($BB37="",$BC37=""),"",$BB37+$BC37)</f>
        <v/>
      </c>
      <c r="BE37" s="5"/>
    </row>
    <row r="38" spans="1:57">
      <c r="A38" s="105"/>
      <c r="B38" s="105"/>
      <c r="C38" s="105"/>
      <c r="D38" s="106"/>
      <c r="E38" s="411"/>
      <c r="F38" s="105"/>
      <c r="G38" s="13" t="str">
        <f>IF(OR(ISBLANK($B38),ISBLANK($C38)),"",INDEX('TRU Ops &amp; Costs'!$D$4:$D$74,MATCH($B38&amp;$C38,'TRU Ops &amp; Costs'!$P$4:$P$74,0))/0.7457)</f>
        <v/>
      </c>
      <c r="H38" s="66" t="str">
        <f>IF(OR(ISBLANK($B38),ISBLANK($C38)),"",INDEX('TRU Ops &amp; Costs'!$E$4:$E$74,MATCH($B38&amp;$C38,'TRU Ops &amp; Costs'!$P$4:$P$74,0)))</f>
        <v/>
      </c>
      <c r="I38" s="13" t="str">
        <f>IF(OR(ISBLANK($B38),ISBLANK($C38)),"",INDEX('TRU Ops &amp; Costs'!$F$4:$F$74,MATCH($B38&amp;$C38,'TRU Ops &amp; Costs'!$P$4:$P$74,0)))</f>
        <v/>
      </c>
      <c r="J38" s="65" t="str">
        <f>IF(OR(ISBLANK($B38),ISBLANK($C38)),"",INDEX('TRU Ops &amp; Costs'!$G$4:$G$74,MATCH($B38&amp;$C38,'TRU Ops &amp; Costs'!$P$4:$P$74,0)))</f>
        <v/>
      </c>
      <c r="K38" s="13" t="str">
        <f t="shared" si="14"/>
        <v/>
      </c>
      <c r="L38" s="70" t="str">
        <f>IF(ISBLANK($F38),"",INDEX('Diesel Fuel Prices'!$D$5:$D$31,MATCH($F38,'Diesel Fuel Prices'!$B$5:$B$31,0))*References!$B$38/References!$B$37)</f>
        <v/>
      </c>
      <c r="M38" s="70" t="str">
        <f>IF(ISBLANK($F38),"",VLOOKUP($F38,'Electricity Prices'!$B$4:$F$31,5,FALSE)*References!$B$38/References!$B$37)</f>
        <v/>
      </c>
      <c r="N38" s="71" t="str">
        <f>IF(OR(ISBLANK($B38),ISBLANK($C38)),"",INDEX('TRU Ops &amp; Costs'!$I$4:$I$74,MATCH($B38&amp;$C38,'TRU Ops &amp; Costs'!$P$4:$P$74,0)))</f>
        <v/>
      </c>
      <c r="O38" s="71" t="str">
        <f>IF(OR(ISBLANK($B38),ISBLANK($C38)),"",IF(E38="Yard",INDEX('TRU Ops &amp; Costs'!$J$4:$J$74,MATCH($B38&amp;$C38,'TRU Ops &amp; Costs'!$P$4:$P$74,0)),INDEX('TRU Ops &amp; Costs'!$K$4:$K$74,MATCH($B38&amp;$C38,'TRU Ops &amp; Costs'!$P$4:$P$74,0))))</f>
        <v/>
      </c>
      <c r="P38" s="71" t="str">
        <f>IF(OR(ISBLANK($B38),ISBLANK($C38)),"",$K38*INDEX('TRU Ops &amp; Costs'!$M$4:$M$74,MATCH($B38&amp;$C38,'TRU Ops &amp; Costs'!$P$4:$P$74,0))*-INDEX('TRU Ops &amp; Costs'!$L$4:$L$74,MATCH($B38&amp;$C38,'TRU Ops &amp; Costs'!$P$4:$P$74,0)))</f>
        <v/>
      </c>
      <c r="Q38" s="13"/>
      <c r="R38" s="128" t="str">
        <f t="shared" si="0"/>
        <v/>
      </c>
      <c r="S38" s="128" t="str">
        <f t="shared" si="1"/>
        <v/>
      </c>
      <c r="T38" s="168" t="str">
        <f>IF(ISBLANK($F38),"",INDEX('eGRID2018 Subregion'!$J$7:$J$33,MATCH($F38,RegionGEN,0)))</f>
        <v/>
      </c>
      <c r="U38" s="13"/>
      <c r="V38" s="203" t="str">
        <f>IF(OR(ISBLANK($B38),ISBLANK($C38),$R38=""),"",ROUND($R38*INDEX('Diesel TRU Emission Factors'!$D$6:$D$76,MATCH($B38&amp;$C38,'Diesel TRU Emission Factors'!$R$6:$R$77,0))*GramsToMT,4))</f>
        <v/>
      </c>
      <c r="W38" s="203" t="str">
        <f>IF(OR(ISBLANK($B38),ISBLANK($C38),$R38=""),"",ROUND($R38*INDEX('Diesel TRU Emission Factors'!$E$6:$E$76,MATCH($B38&amp;$C38,'Diesel TRU Emission Factors'!$R$6:$R$77,0))*GramsToMT,4))</f>
        <v/>
      </c>
      <c r="X38" s="203" t="str">
        <f>IF(OR(ISBLANK($B38),ISBLANK($C38),$R38=""),"",ROUND($R38*INDEX('Diesel TRU Emission Factors'!$H$6:$H$76,MATCH($B38&amp;$C38,'Diesel TRU Emission Factors'!$R$6:$R$77,0))*GramsToMT,4))</f>
        <v/>
      </c>
      <c r="Y38" s="205" t="str">
        <f>IF(OR(ISBLANK($B38),ISBLANK($C38),$R38=""),"",ROUND($R38*INDEX('Diesel TRU Emission Factors'!$F$6:$F$76,MATCH($B38&amp;$C38,'Diesel TRU Emission Factors'!$R$6:$R$77,0))*GramsToMT,1))</f>
        <v/>
      </c>
      <c r="Z38" s="205" t="str">
        <f>IF(OR(ISBLANK($B38),ISBLANK($C38),$R38=""),"",$R38*INDEX('Diesel TRU Emission Factors'!$G$6:$G$76,MATCH($B38&amp;$C38,'Diesel TRU Emission Factors'!$R$6:$R$77,0))*GramsToMT)</f>
        <v/>
      </c>
      <c r="AA38" s="207" t="str">
        <f>IF(ISBLANK(F38),"",R38*GalTokWh*'Diesel TRU Emission Factors'!$P$4/1000000)</f>
        <v/>
      </c>
      <c r="AB38" s="207" t="str">
        <f>IF(ISBLANK($F38),"",ROUND(Y38*References!$B$28+Z38*References!$B$29+'General Calculator'!AA38*References!$B$30,1))</f>
        <v/>
      </c>
      <c r="AC38" s="5"/>
      <c r="AD38" s="203" t="str">
        <f>IF(OR(ISBLANK($F38),$S38="",$T38=""),"",ROUND($S38*(1+$T38)*INDEX('eGRID2018 Subregion'!$C$7:$C$33,MATCH($F38,RegionGEN,0))*GramsToMT,4))</f>
        <v/>
      </c>
      <c r="AE38" s="203" t="str">
        <f>IF(OR(ISBLANK($F38),$S38="",$T38=""),"",ROUND($S38*(1+$T38)*INDEX('eGRID2018 Subregion'!$D$7:$D$33,MATCH($F38,RegionGEN,0))*GramsToMT,4))</f>
        <v/>
      </c>
      <c r="AF38" s="203" t="str">
        <f>IF(OR(ISBLANK($F38),$S38="",$T38=""),"",ROUND($S38*(1+$T38)*INDEX('eGRID2018 Subregion'!$I$7:$I$33,MATCH($F38,RegionGEN,0))*GramsToMT,4))</f>
        <v/>
      </c>
      <c r="AG38" s="205" t="str">
        <f>IF(OR(ISBLANK($F38),$S38="",$T38=""),"",ROUND($S38*(1+$T38)*INDEX('eGRID2018 Subregion'!$E$7:$E$33,MATCH($F38,RegionGEN,0))*GramsToMT,1))</f>
        <v/>
      </c>
      <c r="AH38" s="205" t="str">
        <f>IF(OR(ISBLANK($F38),$S38="",$T38=""),"",$S38*(1+$T38)*INDEX('eGRID2018 Subregion'!$F$7:$F$33,MATCH($F38,RegionGEN,0))*GramsToMT)</f>
        <v/>
      </c>
      <c r="AI38" s="205" t="str">
        <f>IF(OR(ISBLANK($F38),$S38="",$T38=""),"",$S38*(1+$T38)*INDEX('eGRID2018 Subregion'!$G$7:$G$33,MATCH($F38,RegionGEN,0))*GramsToMT)</f>
        <v/>
      </c>
      <c r="AJ38" s="205" t="str">
        <f>IF(ISBLANK($F38),"",ROUND(AG38*References!$B$28+AH38*References!$B$29+'General Calculator'!AI38*References!$B$30,1))</f>
        <v/>
      </c>
      <c r="AK38" s="5"/>
      <c r="AL38" s="203" t="str">
        <f t="shared" si="2"/>
        <v/>
      </c>
      <c r="AM38" s="203" t="str">
        <f t="shared" si="3"/>
        <v/>
      </c>
      <c r="AN38" s="203" t="str">
        <f t="shared" si="4"/>
        <v/>
      </c>
      <c r="AO38" s="205" t="str">
        <f t="shared" si="5"/>
        <v/>
      </c>
      <c r="AP38" s="205" t="str">
        <f t="shared" si="6"/>
        <v/>
      </c>
      <c r="AQ38" s="1"/>
      <c r="AR38" s="165" t="str">
        <f t="shared" si="7"/>
        <v/>
      </c>
      <c r="AS38" s="165" t="str">
        <f t="shared" ref="AS38" si="34">IF(OR(W38="",AM38="",W38=0),"", AM38/W38)</f>
        <v/>
      </c>
      <c r="AT38" s="165" t="str">
        <f t="shared" si="8"/>
        <v/>
      </c>
      <c r="AU38" s="165" t="str">
        <f t="shared" si="9"/>
        <v/>
      </c>
      <c r="AV38" s="165" t="str">
        <f t="shared" si="10"/>
        <v/>
      </c>
      <c r="AW38" s="13"/>
      <c r="AX38" s="179" t="str">
        <f t="shared" si="11"/>
        <v/>
      </c>
      <c r="AY38" s="179" t="str">
        <f t="shared" si="12"/>
        <v/>
      </c>
      <c r="AZ38" s="179" t="str">
        <f t="shared" si="16"/>
        <v/>
      </c>
      <c r="BA38" s="5"/>
      <c r="BB38" s="179" t="str">
        <f t="shared" si="13"/>
        <v/>
      </c>
      <c r="BC38" s="179" t="str">
        <f t="shared" si="17"/>
        <v/>
      </c>
      <c r="BD38" s="179" t="str">
        <f t="shared" si="18"/>
        <v/>
      </c>
      <c r="BE38" s="5"/>
    </row>
    <row r="39" spans="1:57">
      <c r="A39" s="103"/>
      <c r="B39" s="103"/>
      <c r="C39" s="103"/>
      <c r="D39" s="104"/>
      <c r="E39" s="410"/>
      <c r="F39" s="103"/>
      <c r="G39" s="13" t="str">
        <f>IF(OR(ISBLANK($B39),ISBLANK($C39)),"",INDEX('TRU Ops &amp; Costs'!$D$4:$D$74,MATCH($B39&amp;$C39,'TRU Ops &amp; Costs'!$P$4:$P$74,0))/0.7457)</f>
        <v/>
      </c>
      <c r="H39" s="66" t="str">
        <f>IF(OR(ISBLANK($B39),ISBLANK($C39)),"",INDEX('TRU Ops &amp; Costs'!$E$4:$E$74,MATCH($B39&amp;$C39,'TRU Ops &amp; Costs'!$P$4:$P$74,0)))</f>
        <v/>
      </c>
      <c r="I39" s="13" t="str">
        <f>IF(OR(ISBLANK($B39),ISBLANK($C39)),"",INDEX('TRU Ops &amp; Costs'!$F$4:$F$74,MATCH($B39&amp;$C39,'TRU Ops &amp; Costs'!$P$4:$P$74,0)))</f>
        <v/>
      </c>
      <c r="J39" s="65" t="str">
        <f>IF(OR(ISBLANK($B39),ISBLANK($C39)),"",INDEX('TRU Ops &amp; Costs'!$G$4:$G$74,MATCH($B39&amp;$C39,'TRU Ops &amp; Costs'!$P$4:$P$74,0)))</f>
        <v/>
      </c>
      <c r="K39" s="13" t="str">
        <f t="shared" si="14"/>
        <v/>
      </c>
      <c r="L39" s="70" t="str">
        <f>IF(ISBLANK($F39),"",INDEX('Diesel Fuel Prices'!$D$5:$D$31,MATCH($F39,'Diesel Fuel Prices'!$B$5:$B$31,0))*References!$B$38/References!$B$37)</f>
        <v/>
      </c>
      <c r="M39" s="70" t="str">
        <f>IF(ISBLANK($F39),"",VLOOKUP($F39,'Electricity Prices'!$B$4:$F$31,5,FALSE)*References!$B$38/References!$B$37)</f>
        <v/>
      </c>
      <c r="N39" s="71" t="str">
        <f>IF(OR(ISBLANK($B39),ISBLANK($C39)),"",INDEX('TRU Ops &amp; Costs'!$I$4:$I$74,MATCH($B39&amp;$C39,'TRU Ops &amp; Costs'!$P$4:$P$74,0)))</f>
        <v/>
      </c>
      <c r="O39" s="71" t="str">
        <f>IF(OR(ISBLANK($B39),ISBLANK($C39)),"",IF(E39="Yard",INDEX('TRU Ops &amp; Costs'!$J$4:$J$74,MATCH($B39&amp;$C39,'TRU Ops &amp; Costs'!$P$4:$P$74,0)),INDEX('TRU Ops &amp; Costs'!$K$4:$K$74,MATCH($B39&amp;$C39,'TRU Ops &amp; Costs'!$P$4:$P$74,0))))</f>
        <v/>
      </c>
      <c r="P39" s="71" t="str">
        <f>IF(OR(ISBLANK($B39),ISBLANK($C39)),"",$K39*INDEX('TRU Ops &amp; Costs'!$M$4:$M$74,MATCH($B39&amp;$C39,'TRU Ops &amp; Costs'!$P$4:$P$74,0))*-INDEX('TRU Ops &amp; Costs'!$L$4:$L$74,MATCH($B39&amp;$C39,'TRU Ops &amp; Costs'!$P$4:$P$74,0)))</f>
        <v/>
      </c>
      <c r="Q39" s="13"/>
      <c r="R39" s="127" t="str">
        <f t="shared" si="0"/>
        <v/>
      </c>
      <c r="S39" s="127" t="str">
        <f t="shared" si="1"/>
        <v/>
      </c>
      <c r="T39" s="167" t="str">
        <f>IF(ISBLANK($F39),"",INDEX('eGRID2018 Subregion'!$J$7:$J$33,MATCH($F39,RegionGEN,0)))</f>
        <v/>
      </c>
      <c r="U39" s="13"/>
      <c r="V39" s="202" t="str">
        <f>IF(OR(ISBLANK($B39),ISBLANK($C39),$R39=""),"",ROUND($R39*INDEX('Diesel TRU Emission Factors'!$D$6:$D$76,MATCH($B39&amp;$C39,'Diesel TRU Emission Factors'!$R$6:$R$77,0))*GramsToMT,4))</f>
        <v/>
      </c>
      <c r="W39" s="202" t="str">
        <f>IF(OR(ISBLANK($B39),ISBLANK($C39),$R39=""),"",ROUND($R39*INDEX('Diesel TRU Emission Factors'!$E$6:$E$76,MATCH($B39&amp;$C39,'Diesel TRU Emission Factors'!$R$6:$R$77,0))*GramsToMT,4))</f>
        <v/>
      </c>
      <c r="X39" s="202" t="str">
        <f>IF(OR(ISBLANK($B39),ISBLANK($C39),$R39=""),"",ROUND($R39*INDEX('Diesel TRU Emission Factors'!$H$6:$H$76,MATCH($B39&amp;$C39,'Diesel TRU Emission Factors'!$R$6:$R$77,0))*GramsToMT,4))</f>
        <v/>
      </c>
      <c r="Y39" s="204" t="str">
        <f>IF(OR(ISBLANK($B39),ISBLANK($C39),$R39=""),"",ROUND($R39*INDEX('Diesel TRU Emission Factors'!$F$6:$F$76,MATCH($B39&amp;$C39,'Diesel TRU Emission Factors'!$R$6:$R$77,0))*GramsToMT,1))</f>
        <v/>
      </c>
      <c r="Z39" s="204" t="str">
        <f>IF(OR(ISBLANK($B39),ISBLANK($C39),$R39=""),"",$R39*INDEX('Diesel TRU Emission Factors'!$G$6:$G$76,MATCH($B39&amp;$C39,'Diesel TRU Emission Factors'!$R$6:$R$77,0))*GramsToMT)</f>
        <v/>
      </c>
      <c r="AA39" s="206" t="str">
        <f>IF(ISBLANK(F39),"",R39*GalTokWh*'Diesel TRU Emission Factors'!$P$4/1000000)</f>
        <v/>
      </c>
      <c r="AB39" s="206" t="str">
        <f>IF(ISBLANK($F39),"",ROUND(Y39*References!$B$28+Z39*References!$B$29+'General Calculator'!AA39*References!$B$30,1))</f>
        <v/>
      </c>
      <c r="AC39" s="5"/>
      <c r="AD39" s="202" t="str">
        <f>IF(OR(ISBLANK($F39),$S39="",$T39=""),"",ROUND($S39*(1+$T39)*INDEX('eGRID2018 Subregion'!$C$7:$C$33,MATCH($F39,RegionGEN,0))*GramsToMT,4))</f>
        <v/>
      </c>
      <c r="AE39" s="202" t="str">
        <f>IF(OR(ISBLANK($F39),$S39="",$T39=""),"",ROUND($S39*(1+$T39)*INDEX('eGRID2018 Subregion'!$D$7:$D$33,MATCH($F39,RegionGEN,0))*GramsToMT,4))</f>
        <v/>
      </c>
      <c r="AF39" s="202" t="str">
        <f>IF(OR(ISBLANK($F39),$S39="",$T39=""),"",ROUND($S39*(1+$T39)*INDEX('eGRID2018 Subregion'!$I$7:$I$33,MATCH($F39,RegionGEN,0))*GramsToMT,4))</f>
        <v/>
      </c>
      <c r="AG39" s="204" t="str">
        <f>IF(OR(ISBLANK($F39),$S39="",$T39=""),"",ROUND($S39*(1+$T39)*INDEX('eGRID2018 Subregion'!$E$7:$E$33,MATCH($F39,RegionGEN,0))*GramsToMT,1))</f>
        <v/>
      </c>
      <c r="AH39" s="204" t="str">
        <f>IF(OR(ISBLANK($F39),$S39="",$T39=""),"",$S39*(1+$T39)*INDEX('eGRID2018 Subregion'!$F$7:$F$33,MATCH($F39,RegionGEN,0))*GramsToMT)</f>
        <v/>
      </c>
      <c r="AI39" s="204" t="str">
        <f>IF(OR(ISBLANK($F39),$S39="",$T39=""),"",$S39*(1+$T39)*INDEX('eGRID2018 Subregion'!$G$7:$G$33,MATCH($F39,RegionGEN,0))*GramsToMT)</f>
        <v/>
      </c>
      <c r="AJ39" s="204" t="str">
        <f>IF(ISBLANK($F39),"",ROUND(AG39*References!$B$28+AH39*References!$B$29+'General Calculator'!AI39*References!$B$30,1))</f>
        <v/>
      </c>
      <c r="AK39" s="5"/>
      <c r="AL39" s="202" t="str">
        <f t="shared" si="2"/>
        <v/>
      </c>
      <c r="AM39" s="202" t="str">
        <f t="shared" si="3"/>
        <v/>
      </c>
      <c r="AN39" s="202" t="str">
        <f t="shared" si="4"/>
        <v/>
      </c>
      <c r="AO39" s="204" t="str">
        <f t="shared" si="5"/>
        <v/>
      </c>
      <c r="AP39" s="204" t="str">
        <f t="shared" si="6"/>
        <v/>
      </c>
      <c r="AQ39" s="1"/>
      <c r="AR39" s="164" t="str">
        <f t="shared" si="7"/>
        <v/>
      </c>
      <c r="AS39" s="164" t="str">
        <f>IF(OR($W39="",$AM39="",$W39=0),"", $AM39/$W39)</f>
        <v/>
      </c>
      <c r="AT39" s="164" t="str">
        <f t="shared" si="8"/>
        <v/>
      </c>
      <c r="AU39" s="164" t="str">
        <f t="shared" si="9"/>
        <v/>
      </c>
      <c r="AV39" s="164" t="str">
        <f t="shared" si="10"/>
        <v/>
      </c>
      <c r="AW39" s="13"/>
      <c r="AX39" s="180" t="str">
        <f t="shared" si="11"/>
        <v/>
      </c>
      <c r="AY39" s="180" t="str">
        <f t="shared" si="12"/>
        <v/>
      </c>
      <c r="AZ39" s="180" t="str">
        <f>IF(OR($AX39="",$AY39=""),"",$AX39+$AY39)</f>
        <v/>
      </c>
      <c r="BA39" s="5"/>
      <c r="BB39" s="180" t="str">
        <f t="shared" si="13"/>
        <v/>
      </c>
      <c r="BC39" s="180" t="str">
        <f>IF(OR($R39="",$L39="",$M39="",$S39="",$T39=""),"",($R39*$L39*GalTokWh)-($S39*$M39*(1+$T39)))</f>
        <v/>
      </c>
      <c r="BD39" s="180" t="str">
        <f>IF(OR($BB39="",$BC39=""),"",$BB39+$BC39)</f>
        <v/>
      </c>
      <c r="BE39" s="5"/>
    </row>
    <row r="40" spans="1:57">
      <c r="A40" s="105"/>
      <c r="B40" s="373"/>
      <c r="C40" s="373"/>
      <c r="D40" s="374"/>
      <c r="E40" s="412"/>
      <c r="F40" s="373"/>
      <c r="G40" s="375" t="str">
        <f>IF(OR(ISBLANK($B40),ISBLANK($C40)),"",INDEX('TRU Ops &amp; Costs'!$D$4:$D$74,MATCH($B40&amp;$C40,'TRU Ops &amp; Costs'!$P$4:$P$74,0))/0.7457)</f>
        <v/>
      </c>
      <c r="H40" s="376" t="str">
        <f>IF(OR(ISBLANK($B40),ISBLANK($C40)),"",INDEX('TRU Ops &amp; Costs'!$E$4:$E$74,MATCH($B40&amp;$C40,'TRU Ops &amp; Costs'!$P$4:$P$74,0)))</f>
        <v/>
      </c>
      <c r="I40" s="375" t="str">
        <f>IF(OR(ISBLANK($B40),ISBLANK($C40)),"",INDEX('TRU Ops &amp; Costs'!$F$4:$F$74,MATCH($B40&amp;$C40,'TRU Ops &amp; Costs'!$P$4:$P$74,0)))</f>
        <v/>
      </c>
      <c r="J40" s="377" t="str">
        <f>IF(OR(ISBLANK($B40),ISBLANK($C40)),"",INDEX('TRU Ops &amp; Costs'!$G$4:$G$74,MATCH($B40&amp;$C40,'TRU Ops &amp; Costs'!$P$4:$P$74,0)))</f>
        <v/>
      </c>
      <c r="K40" s="375" t="str">
        <f t="shared" si="14"/>
        <v/>
      </c>
      <c r="L40" s="378" t="str">
        <f>IF(ISBLANK($F40),"",INDEX('Diesel Fuel Prices'!$D$5:$D$31,MATCH($F40,'Diesel Fuel Prices'!$B$5:$B$31,0))*References!$B$38/References!$B$37)</f>
        <v/>
      </c>
      <c r="M40" s="378" t="str">
        <f>IF(ISBLANK($F40),"",VLOOKUP($F40,'Electricity Prices'!$B$4:$F$31,5,FALSE)*References!$B$38/References!$B$37)</f>
        <v/>
      </c>
      <c r="N40" s="379" t="str">
        <f>IF(OR(ISBLANK($B40),ISBLANK($C40)),"",INDEX('TRU Ops &amp; Costs'!$I$4:$I$74,MATCH($B40&amp;$C40,'TRU Ops &amp; Costs'!$P$4:$P$74,0)))</f>
        <v/>
      </c>
      <c r="O40" s="379" t="str">
        <f>IF(OR(ISBLANK($B40),ISBLANK($C40)),"",IF(E40="Yard",INDEX('TRU Ops &amp; Costs'!$J$4:$J$74,MATCH($B40&amp;$C40,'TRU Ops &amp; Costs'!$P$4:$P$74,0)),INDEX('TRU Ops &amp; Costs'!$K$4:$K$74,MATCH($B40&amp;$C40,'TRU Ops &amp; Costs'!$P$4:$P$74,0))))</f>
        <v/>
      </c>
      <c r="P40" s="379" t="str">
        <f>IF(OR(ISBLANK($B40),ISBLANK($C40)),"",$K40*INDEX('TRU Ops &amp; Costs'!$M$4:$M$74,MATCH($B40&amp;$C40,'TRU Ops &amp; Costs'!$P$4:$P$74,0))*-INDEX('TRU Ops &amp; Costs'!$L$4:$L$74,MATCH($B40&amp;$C40,'TRU Ops &amp; Costs'!$P$4:$P$74,0)))</f>
        <v/>
      </c>
      <c r="Q40" s="375"/>
      <c r="R40" s="128" t="str">
        <f t="shared" si="0"/>
        <v/>
      </c>
      <c r="S40" s="128" t="str">
        <f t="shared" si="1"/>
        <v/>
      </c>
      <c r="T40" s="380" t="str">
        <f>IF(ISBLANK($F40),"",INDEX('eGRID2018 Subregion'!$J$7:$J$33,MATCH($F40,RegionGEN,0)))</f>
        <v/>
      </c>
      <c r="U40" s="375"/>
      <c r="V40" s="203" t="str">
        <f>IF(OR(ISBLANK($B40),ISBLANK($C40),$R40=""),"",ROUND($R40*INDEX('Diesel TRU Emission Factors'!$D$6:$D$76,MATCH($B40&amp;$C40,'Diesel TRU Emission Factors'!$R$6:$R$77,0))*GramsToMT,4))</f>
        <v/>
      </c>
      <c r="W40" s="203" t="str">
        <f>IF(OR(ISBLANK($B40),ISBLANK($C40),$R40=""),"",ROUND($R40*INDEX('Diesel TRU Emission Factors'!$E$6:$E$76,MATCH($B40&amp;$C40,'Diesel TRU Emission Factors'!$R$6:$R$77,0))*GramsToMT,4))</f>
        <v/>
      </c>
      <c r="X40" s="203" t="str">
        <f>IF(OR(ISBLANK($B40),ISBLANK($C40),$R40=""),"",ROUND($R40*INDEX('Diesel TRU Emission Factors'!$H$6:$H$76,MATCH($B40&amp;$C40,'Diesel TRU Emission Factors'!$R$6:$R$77,0))*GramsToMT,4))</f>
        <v/>
      </c>
      <c r="Y40" s="205" t="str">
        <f>IF(OR(ISBLANK($B40),ISBLANK($C40),$R40=""),"",ROUND($R40*INDEX('Diesel TRU Emission Factors'!$F$6:$F$76,MATCH($B40&amp;$C40,'Diesel TRU Emission Factors'!$R$6:$R$77,0))*GramsToMT,1))</f>
        <v/>
      </c>
      <c r="Z40" s="205" t="str">
        <f>IF(OR(ISBLANK($B40),ISBLANK($C40),$R40=""),"",$R40*INDEX('Diesel TRU Emission Factors'!$G$6:$G$76,MATCH($B40&amp;$C40,'Diesel TRU Emission Factors'!$R$6:$R$77,0))*GramsToMT)</f>
        <v/>
      </c>
      <c r="AA40" s="207" t="str">
        <f>IF(ISBLANK(F40),"",R40*GalTokWh*'Diesel TRU Emission Factors'!$P$4/1000000)</f>
        <v/>
      </c>
      <c r="AB40" s="207" t="str">
        <f>IF(ISBLANK($F40),"",ROUND(Y40*References!$B$28+Z40*References!$B$29+'General Calculator'!AA40*References!$B$30,1))</f>
        <v/>
      </c>
      <c r="AC40" s="381"/>
      <c r="AD40" s="203" t="str">
        <f>IF(OR(ISBLANK($F40),$S40="",$T40=""),"",ROUND($S40*(1+$T40)*INDEX('eGRID2018 Subregion'!$C$7:$C$33,MATCH($F40,RegionGEN,0))*GramsToMT,4))</f>
        <v/>
      </c>
      <c r="AE40" s="203" t="str">
        <f>IF(OR(ISBLANK($F40),$S40="",$T40=""),"",ROUND($S40*(1+$T40)*INDEX('eGRID2018 Subregion'!$D$7:$D$33,MATCH($F40,RegionGEN,0))*GramsToMT,4))</f>
        <v/>
      </c>
      <c r="AF40" s="203" t="str">
        <f>IF(OR(ISBLANK($F40),$S40="",$T40=""),"",ROUND($S40*(1+$T40)*INDEX('eGRID2018 Subregion'!$I$7:$I$33,MATCH($F40,RegionGEN,0))*GramsToMT,4))</f>
        <v/>
      </c>
      <c r="AG40" s="205" t="str">
        <f>IF(OR(ISBLANK($F40),$S40="",$T40=""),"",ROUND($S40*(1+$T40)*INDEX('eGRID2018 Subregion'!$E$7:$E$33,MATCH($F40,RegionGEN,0))*GramsToMT,1))</f>
        <v/>
      </c>
      <c r="AH40" s="205" t="str">
        <f>IF(OR(ISBLANK($F40),$S40="",$T40=""),"",$S40*(1+$T40)*INDEX('eGRID2018 Subregion'!$F$7:$F$33,MATCH($F40,RegionGEN,0))*GramsToMT)</f>
        <v/>
      </c>
      <c r="AI40" s="205" t="str">
        <f>IF(OR(ISBLANK($F40),$S40="",$T40=""),"",$S40*(1+$T40)*INDEX('eGRID2018 Subregion'!$G$7:$G$33,MATCH($F40,RegionGEN,0))*GramsToMT)</f>
        <v/>
      </c>
      <c r="AJ40" s="205" t="str">
        <f>IF(ISBLANK($F40),"",ROUND(AG40*References!$B$28+AH40*References!$B$29+'General Calculator'!AI40*References!$B$30,1))</f>
        <v/>
      </c>
      <c r="AK40" s="381"/>
      <c r="AL40" s="203" t="str">
        <f t="shared" si="2"/>
        <v/>
      </c>
      <c r="AM40" s="203" t="str">
        <f t="shared" si="3"/>
        <v/>
      </c>
      <c r="AN40" s="203" t="str">
        <f t="shared" si="4"/>
        <v/>
      </c>
      <c r="AO40" s="205" t="str">
        <f t="shared" si="5"/>
        <v/>
      </c>
      <c r="AP40" s="385" t="str">
        <f t="shared" si="6"/>
        <v/>
      </c>
      <c r="AQ40" s="386"/>
      <c r="AR40" s="387" t="str">
        <f t="shared" si="7"/>
        <v/>
      </c>
      <c r="AS40" s="387" t="str">
        <f t="shared" ref="AS40" si="35">IF(OR(W40="",AM40="",W40=0),"", AM40/W40)</f>
        <v/>
      </c>
      <c r="AT40" s="387" t="str">
        <f t="shared" si="8"/>
        <v/>
      </c>
      <c r="AU40" s="387" t="str">
        <f t="shared" si="9"/>
        <v/>
      </c>
      <c r="AV40" s="387" t="str">
        <f t="shared" si="10"/>
        <v/>
      </c>
      <c r="AW40" s="375"/>
      <c r="AX40" s="388" t="str">
        <f t="shared" si="11"/>
        <v/>
      </c>
      <c r="AY40" s="388" t="str">
        <f t="shared" si="12"/>
        <v/>
      </c>
      <c r="AZ40" s="388" t="str">
        <f t="shared" si="16"/>
        <v/>
      </c>
      <c r="BA40" s="381"/>
      <c r="BB40" s="388" t="str">
        <f t="shared" si="13"/>
        <v/>
      </c>
      <c r="BC40" s="179" t="str">
        <f t="shared" si="17"/>
        <v/>
      </c>
      <c r="BD40" s="179" t="str">
        <f t="shared" si="18"/>
        <v/>
      </c>
      <c r="BE40" s="5"/>
    </row>
    <row r="41" spans="1:57">
      <c r="E41" s="134"/>
      <c r="O41" s="71"/>
      <c r="P41" s="71"/>
      <c r="R41" s="161">
        <f>SUMIF(R5:R40, "&lt;&gt;#N/A")</f>
        <v>0</v>
      </c>
      <c r="S41" s="161">
        <f t="shared" ref="S41" si="36">SUMIF(S5:S40, "&lt;&gt;#N/A")</f>
        <v>0</v>
      </c>
      <c r="U41" s="15"/>
      <c r="V41" s="208">
        <f>SUMIF(V5:V40, "&lt;&gt;#N/A")</f>
        <v>0</v>
      </c>
      <c r="W41" s="208">
        <f t="shared" ref="W41:AB41" si="37">SUMIF(W5:W40, "&lt;&gt;#N/A")</f>
        <v>0</v>
      </c>
      <c r="X41" s="208">
        <f t="shared" si="37"/>
        <v>0</v>
      </c>
      <c r="Y41" s="209">
        <f t="shared" si="37"/>
        <v>0</v>
      </c>
      <c r="Z41" s="209">
        <f t="shared" si="37"/>
        <v>0</v>
      </c>
      <c r="AA41" s="209">
        <f t="shared" si="37"/>
        <v>0</v>
      </c>
      <c r="AB41" s="209">
        <f t="shared" si="37"/>
        <v>0</v>
      </c>
      <c r="AC41" s="72"/>
      <c r="AD41" s="208">
        <f>SUMIF(AD5:AD40, "&lt;&gt;#N/A")</f>
        <v>0</v>
      </c>
      <c r="AE41" s="208">
        <f t="shared" ref="AE41" si="38">SUMIF(AE5:AE40, "&lt;&gt;#N/A")</f>
        <v>0</v>
      </c>
      <c r="AF41" s="208">
        <f>SUMIF(AF5:AF40, "&lt;&gt;#N/A")</f>
        <v>0</v>
      </c>
      <c r="AG41" s="209">
        <f>SUMIF(AG5:AG40, "&lt;&gt;#N/A")</f>
        <v>0</v>
      </c>
      <c r="AH41" s="209">
        <f t="shared" ref="AH41:AI41" si="39">SUMIF(AH5:AH40, "&lt;&gt;#N/A")</f>
        <v>0</v>
      </c>
      <c r="AI41" s="209">
        <f t="shared" si="39"/>
        <v>0</v>
      </c>
      <c r="AJ41" s="209">
        <f>SUMIF(AJ5:AJ40, "&lt;&gt;#N/A")</f>
        <v>0</v>
      </c>
      <c r="AK41" s="72"/>
      <c r="AL41" s="208">
        <f>SUMIF(AL5:AL40, "&lt;&gt;#N/A")</f>
        <v>0</v>
      </c>
      <c r="AM41" s="208">
        <f t="shared" ref="AM41" si="40">SUMIF(AM5:AM40, "&lt;&gt;#N/A")</f>
        <v>0</v>
      </c>
      <c r="AN41" s="208">
        <f>SUMIF(AN5:AN40, "&lt;&gt;#N/A")</f>
        <v>0</v>
      </c>
      <c r="AO41" s="209">
        <f>SUMIF(AO5:AO40, "&lt;&gt;#N/A")</f>
        <v>0</v>
      </c>
      <c r="AP41" s="382">
        <f>SUMIF(AP5:AP40, "&lt;&gt;#N/A")</f>
        <v>0</v>
      </c>
      <c r="AQ41" s="1"/>
      <c r="AR41" s="383" t="str">
        <f t="shared" ref="AR41" si="41">IF(OR(V41="",AL41="",V41=0),"", AL41/V41)</f>
        <v/>
      </c>
      <c r="AS41" s="383" t="str">
        <f t="shared" ref="AS41" si="42">IF(OR(W41="",AM41="",W41=0),"", AM41/W41)</f>
        <v/>
      </c>
      <c r="AT41" s="383" t="str">
        <f t="shared" ref="AT41" si="43">IF(OR(X41="",AN41="",X41=0),"", AN41/X41)</f>
        <v/>
      </c>
      <c r="AU41" s="383" t="str">
        <f t="shared" ref="AU41" si="44">IF(OR(AB41="",AO41="",AB41=0),"", AO41/AB41)</f>
        <v/>
      </c>
      <c r="AV41" s="383" t="str">
        <f t="shared" ref="AV41" si="45">IF(OR(AB41="",AP41="",AB41=0),"", AP41/AB41)</f>
        <v/>
      </c>
      <c r="AW41" s="15"/>
      <c r="AX41" s="384">
        <f>SUMIF(AX5:AX40, "&lt;&gt;#N/A")</f>
        <v>0</v>
      </c>
      <c r="AY41" s="384">
        <f t="shared" ref="AY41:AZ41" si="46">SUMIF(AY5:AY40, "&lt;&gt;#N/A")</f>
        <v>0</v>
      </c>
      <c r="AZ41" s="384">
        <f t="shared" si="46"/>
        <v>0</v>
      </c>
      <c r="BA41" s="8"/>
      <c r="BB41" s="384">
        <f>SUMIF(BB5:BB40, "&lt;&gt;#N/A")</f>
        <v>0</v>
      </c>
      <c r="BC41" s="181">
        <f t="shared" ref="BC41" si="47">SUMIF(BC5:BC40, "&lt;&gt;#N/A")</f>
        <v>0</v>
      </c>
      <c r="BD41" s="181">
        <f>SUMIF(BD5:BD40, "&lt;&gt;#N/A")</f>
        <v>0</v>
      </c>
      <c r="BE41" s="8"/>
    </row>
    <row r="42" spans="1:57">
      <c r="E42" s="134"/>
      <c r="U42" s="13"/>
      <c r="V42" s="1"/>
      <c r="W42" s="1"/>
      <c r="X42" s="1"/>
      <c r="Y42" s="1"/>
      <c r="Z42" s="1"/>
      <c r="AA42" s="1"/>
      <c r="AB42" s="1"/>
      <c r="AC42" s="6"/>
      <c r="AD42" s="1"/>
      <c r="AE42" s="1"/>
      <c r="AF42" s="1"/>
      <c r="AG42" s="1"/>
      <c r="AH42" s="1"/>
      <c r="AI42" s="1"/>
      <c r="AJ42" s="1"/>
      <c r="AK42" s="6"/>
      <c r="AL42" s="1"/>
      <c r="AM42" s="1"/>
      <c r="AN42" s="1"/>
      <c r="AO42" s="1"/>
      <c r="AP42" s="1"/>
      <c r="AQ42" s="1"/>
      <c r="AW42" s="13"/>
      <c r="AX42" s="1"/>
      <c r="AY42" s="1"/>
      <c r="AZ42" s="1"/>
      <c r="BA42" s="6"/>
      <c r="BB42" s="1"/>
      <c r="BC42" s="1"/>
      <c r="BD42" s="1"/>
      <c r="BE42" s="6"/>
    </row>
  </sheetData>
  <sheetProtection sheet="1" objects="1" scenarios="1"/>
  <mergeCells count="8">
    <mergeCell ref="BB2:BD2"/>
    <mergeCell ref="V1:AV1"/>
    <mergeCell ref="AX1:BD1"/>
    <mergeCell ref="AD2:AJ2"/>
    <mergeCell ref="AL2:AP2"/>
    <mergeCell ref="AR2:AV2"/>
    <mergeCell ref="V2:AB2"/>
    <mergeCell ref="AX2:AZ2"/>
  </mergeCells>
  <phoneticPr fontId="24" type="noConversion"/>
  <dataValidations count="8">
    <dataValidation type="whole" allowBlank="1" showInputMessage="1" showErrorMessage="1" error="Must enter integer value greater than or equal to 1 and less than 100,000" sqref="D5:D40" xr:uid="{00000000-0002-0000-0000-000002000000}">
      <formula1>1</formula1>
      <formula2>100000</formula2>
    </dataValidation>
    <dataValidation type="list" showInputMessage="1" showErrorMessage="1" promptTitle="Region" sqref="F5:F40" xr:uid="{00000000-0002-0000-0000-000003000000}">
      <formula1>RegionGEN</formula1>
    </dataValidation>
    <dataValidation type="list" showInputMessage="1" showErrorMessage="1" sqref="A5:A40" xr:uid="{7F99D0AD-6BDD-4606-B6A3-AC182B6CF1B9}">
      <formula1>UserType</formula1>
    </dataValidation>
    <dataValidation type="list" showInputMessage="1" showErrorMessage="1" sqref="B5:B40" xr:uid="{476C60C6-ECC4-4553-9E1F-167082ECD54F}">
      <formula1>TRUType</formula1>
    </dataValidation>
    <dataValidation type="whole" allowBlank="1" showInputMessage="1" showErrorMessage="1" sqref="Q5:Q40 I5:I40" xr:uid="{7D40BF02-E26E-4DD1-AEBF-F03624C585D8}">
      <formula1>1</formula1>
      <formula2>8760</formula2>
    </dataValidation>
    <dataValidation type="decimal" operator="lessThanOrEqual" allowBlank="1" showInputMessage="1" showErrorMessage="1" sqref="K5:K40" xr:uid="{05060F6B-5E46-4B61-909D-FE8094A961C1}">
      <formula1>$I5</formula1>
    </dataValidation>
    <dataValidation type="list" showInputMessage="1" showErrorMessage="1" sqref="C5:C40" xr:uid="{DD315B5C-5A1E-470C-9EF3-0AC4166ED1EB}">
      <formula1>IF(LEFT(B5,5)="Trail",ModelYearTrail,IF(LEFT(B5,5)="Truck",ModelYearTruck,ModelYearNone))</formula1>
    </dataValidation>
    <dataValidation type="list" allowBlank="1" showInputMessage="1" showErrorMessage="1" sqref="E5:E40" xr:uid="{A6E98DBF-4B67-418F-A0AF-CB522C408D24}">
      <formula1>PlugLocation</formula1>
    </dataValidation>
  </dataValidations>
  <pageMargins left="0.75" right="0.75" top="1" bottom="1" header="0.5" footer="0.5"/>
  <pageSetup scale="55" fitToHeight="0" orientation="landscape" horizontalDpi="4294967292" verticalDpi="4294967292" r:id="rId1"/>
  <headerFooter>
    <oddHeader>&amp;L&amp;G&amp;R&amp;11Office of Transportation and Air Quality
March 2017</oddHeader>
  </headerFooter>
  <drawing r:id="rId2"/>
  <legacyDrawing r:id="rId3"/>
  <legacyDrawingHF r:id="rId4"/>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E5C8-165B-4606-92CC-6B18339901A2}">
  <sheetPr codeName="Sheet3">
    <pageSetUpPr fitToPage="1"/>
  </sheetPr>
  <dimension ref="A1:CM42"/>
  <sheetViews>
    <sheetView zoomScaleNormal="100" workbookViewId="0">
      <pane xSplit="6" ySplit="4" topLeftCell="G5" activePane="bottomRight" state="frozen"/>
      <selection pane="topRight" activeCell="G1" sqref="G1"/>
      <selection pane="bottomLeft" activeCell="A5" sqref="A5"/>
      <selection pane="bottomRight" activeCell="A5" sqref="A5"/>
    </sheetView>
  </sheetViews>
  <sheetFormatPr defaultColWidth="0" defaultRowHeight="15.6" zeroHeight="1"/>
  <cols>
    <col min="1" max="1" width="18.69921875" customWidth="1"/>
    <col min="2" max="2" width="16.59765625" bestFit="1" customWidth="1"/>
    <col min="3" max="3" width="11.8984375" customWidth="1"/>
    <col min="4" max="5" width="12.59765625" customWidth="1"/>
    <col min="6" max="6" width="14.19921875" customWidth="1"/>
    <col min="7" max="7" width="6.19921875" customWidth="1"/>
    <col min="8" max="8" width="8.3984375" customWidth="1"/>
    <col min="9" max="9" width="13.09765625" customWidth="1"/>
    <col min="10" max="10" width="8.3984375" customWidth="1"/>
    <col min="11" max="11" width="12.09765625" customWidth="1"/>
    <col min="12" max="12" width="8.3984375" customWidth="1"/>
    <col min="13" max="13" width="12.09765625" customWidth="1"/>
    <col min="14" max="14" width="16.5" hidden="1" customWidth="1"/>
    <col min="15" max="15" width="8.3984375" customWidth="1"/>
    <col min="16" max="16" width="12.69921875" customWidth="1"/>
    <col min="17" max="17" width="8.3984375" customWidth="1"/>
    <col min="18" max="18" width="12.5" customWidth="1"/>
    <col min="19" max="19" width="8.3984375" customWidth="1"/>
    <col min="20" max="20" width="12.5" customWidth="1"/>
    <col min="21" max="21" width="8.3984375" customWidth="1"/>
    <col min="22" max="22" width="12.5" customWidth="1"/>
    <col min="23" max="23" width="8.5" customWidth="1"/>
    <col min="24" max="24" width="12.69921875" customWidth="1"/>
    <col min="25" max="25" width="8.5" customWidth="1"/>
    <col min="26" max="26" width="12.19921875" customWidth="1"/>
    <col min="27" max="27" width="8.5" customWidth="1"/>
    <col min="28" max="28" width="12.69921875" customWidth="1"/>
    <col min="29" max="29" width="1.09765625" customWidth="1"/>
    <col min="30" max="30" width="14.8984375" bestFit="1" customWidth="1"/>
    <col min="31" max="31" width="14.8984375" customWidth="1"/>
    <col min="32" max="32" width="11.19921875" customWidth="1"/>
    <col min="33" max="33" width="1.09765625" customWidth="1"/>
    <col min="34" max="37" width="14.69921875" customWidth="1"/>
    <col min="38" max="39" width="14.69921875" hidden="1" customWidth="1"/>
    <col min="40" max="40" width="14.69921875" customWidth="1"/>
    <col min="41" max="41" width="1.09765625" customWidth="1"/>
    <col min="42" max="45" width="13.69921875" customWidth="1"/>
    <col min="46" max="47" width="13.69921875" hidden="1" customWidth="1"/>
    <col min="48" max="48" width="13.69921875" customWidth="1"/>
    <col min="49" max="49" width="1.09765625" customWidth="1"/>
    <col min="50" max="53" width="14.5" customWidth="1"/>
    <col min="54" max="54" width="15.59765625" bestFit="1" customWidth="1"/>
    <col min="55" max="55" width="1" customWidth="1"/>
    <col min="56" max="56" width="8.5" bestFit="1" customWidth="1"/>
    <col min="57" max="57" width="10.69921875" hidden="1" customWidth="1"/>
    <col min="58" max="58" width="8.5" bestFit="1" customWidth="1"/>
    <col min="59" max="59" width="8.3984375" customWidth="1"/>
    <col min="60" max="60" width="8.3984375" bestFit="1" customWidth="1"/>
    <col min="61" max="61" width="1.09765625" customWidth="1"/>
    <col min="62" max="64" width="12.59765625" customWidth="1"/>
    <col min="65" max="65" width="1.09765625" customWidth="1"/>
    <col min="66" max="68" width="12.59765625" customWidth="1"/>
    <col min="69" max="69" width="1.09765625" customWidth="1"/>
    <col min="70" max="91" width="0" hidden="1" customWidth="1"/>
    <col min="92" max="16384" width="11" hidden="1"/>
  </cols>
  <sheetData>
    <row r="1" spans="1:69" ht="23.4">
      <c r="A1" s="16" t="s">
        <v>297</v>
      </c>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472" t="s">
        <v>294</v>
      </c>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351"/>
      <c r="BJ1" s="466" t="s">
        <v>318</v>
      </c>
      <c r="BK1" s="466"/>
      <c r="BL1" s="466"/>
      <c r="BM1" s="466"/>
      <c r="BN1" s="466"/>
      <c r="BO1" s="466"/>
      <c r="BP1" s="466"/>
    </row>
    <row r="2" spans="1:69" ht="30.75" customHeight="1">
      <c r="A2" s="239" t="str">
        <f>IF(COUNTIF($F$5:$F$40,"USER DEFINED*")&gt;0,"To input user-defined eGRID emissions rates, enter your own values at the bottom of the ""eGRID2018 Subregion"" tab. Then select ""USER DEFINED"" eGRID region in this column (at the bottom of the drop-down list).","")</f>
        <v/>
      </c>
      <c r="B2" s="239"/>
      <c r="C2" s="239"/>
      <c r="D2" s="239"/>
      <c r="E2" s="239"/>
      <c r="F2" s="239"/>
      <c r="G2" s="239"/>
      <c r="H2" s="239"/>
      <c r="I2" s="239"/>
      <c r="J2" s="352"/>
      <c r="K2" s="352"/>
      <c r="L2" s="351"/>
      <c r="M2" s="351"/>
      <c r="N2" s="351"/>
      <c r="O2" s="351"/>
      <c r="P2" s="351"/>
      <c r="Q2" s="351"/>
      <c r="R2" s="351"/>
      <c r="S2" s="351"/>
      <c r="T2" s="351"/>
      <c r="U2" s="351"/>
      <c r="V2" s="351"/>
      <c r="W2" s="353"/>
      <c r="X2" s="353"/>
      <c r="Y2" s="353"/>
      <c r="Z2" s="353"/>
      <c r="AA2" s="353"/>
      <c r="AB2" s="353"/>
      <c r="AC2" s="351"/>
      <c r="AD2" s="351"/>
      <c r="AE2" s="351"/>
      <c r="AF2" s="351"/>
      <c r="AG2" s="351"/>
      <c r="AH2" s="467" t="s">
        <v>125</v>
      </c>
      <c r="AI2" s="467"/>
      <c r="AJ2" s="467"/>
      <c r="AK2" s="467"/>
      <c r="AL2" s="467"/>
      <c r="AM2" s="467"/>
      <c r="AN2" s="467"/>
      <c r="AO2" s="349"/>
      <c r="AP2" s="467" t="s">
        <v>126</v>
      </c>
      <c r="AQ2" s="467"/>
      <c r="AR2" s="467"/>
      <c r="AS2" s="467"/>
      <c r="AT2" s="467"/>
      <c r="AU2" s="467"/>
      <c r="AV2" s="467"/>
      <c r="AW2" s="349"/>
      <c r="AX2" s="468" t="s">
        <v>69</v>
      </c>
      <c r="AY2" s="468"/>
      <c r="AZ2" s="468"/>
      <c r="BA2" s="468"/>
      <c r="BB2" s="468"/>
      <c r="BC2" s="350"/>
      <c r="BD2" s="468" t="s">
        <v>70</v>
      </c>
      <c r="BE2" s="468"/>
      <c r="BF2" s="468"/>
      <c r="BG2" s="468"/>
      <c r="BH2" s="468"/>
      <c r="BI2" s="351"/>
      <c r="BJ2" s="467" t="s">
        <v>316</v>
      </c>
      <c r="BK2" s="467"/>
      <c r="BL2" s="467"/>
      <c r="BM2" s="349"/>
      <c r="BN2" s="467" t="s">
        <v>319</v>
      </c>
      <c r="BO2" s="467"/>
      <c r="BP2" s="467"/>
      <c r="BQ2" s="7"/>
    </row>
    <row r="3" spans="1:69" ht="63.75" customHeight="1" thickBot="1">
      <c r="A3" s="3" t="s">
        <v>109</v>
      </c>
      <c r="B3" s="3" t="s">
        <v>76</v>
      </c>
      <c r="C3" s="3" t="s">
        <v>113</v>
      </c>
      <c r="D3" s="93" t="s">
        <v>119</v>
      </c>
      <c r="E3" s="424" t="s">
        <v>367</v>
      </c>
      <c r="F3" s="3" t="s">
        <v>1</v>
      </c>
      <c r="G3" s="470" t="s">
        <v>307</v>
      </c>
      <c r="H3" s="470"/>
      <c r="I3" s="470"/>
      <c r="J3" s="469" t="s">
        <v>188</v>
      </c>
      <c r="K3" s="469"/>
      <c r="L3" s="469" t="s">
        <v>196</v>
      </c>
      <c r="M3" s="469"/>
      <c r="N3" s="344" t="s">
        <v>192</v>
      </c>
      <c r="O3" s="469" t="s">
        <v>195</v>
      </c>
      <c r="P3" s="469"/>
      <c r="Q3" s="471" t="s">
        <v>385</v>
      </c>
      <c r="R3" s="471"/>
      <c r="S3" s="469" t="s">
        <v>130</v>
      </c>
      <c r="T3" s="469"/>
      <c r="U3" s="469" t="s">
        <v>120</v>
      </c>
      <c r="V3" s="469"/>
      <c r="W3" s="469" t="s">
        <v>121</v>
      </c>
      <c r="X3" s="469"/>
      <c r="Y3" s="469" t="s">
        <v>122</v>
      </c>
      <c r="Z3" s="469"/>
      <c r="AA3" s="469" t="s">
        <v>179</v>
      </c>
      <c r="AB3" s="469"/>
      <c r="AC3" s="354"/>
      <c r="AD3" s="344" t="s">
        <v>193</v>
      </c>
      <c r="AE3" s="344" t="s">
        <v>194</v>
      </c>
      <c r="AF3" s="344" t="s">
        <v>74</v>
      </c>
      <c r="AG3" s="354"/>
      <c r="AH3" s="344" t="s">
        <v>336</v>
      </c>
      <c r="AI3" s="344" t="s">
        <v>337</v>
      </c>
      <c r="AJ3" s="344" t="s">
        <v>338</v>
      </c>
      <c r="AK3" s="344" t="s">
        <v>339</v>
      </c>
      <c r="AL3" s="344" t="s">
        <v>340</v>
      </c>
      <c r="AM3" s="344" t="s">
        <v>341</v>
      </c>
      <c r="AN3" s="344" t="s">
        <v>342</v>
      </c>
      <c r="AO3" s="355"/>
      <c r="AP3" s="344" t="s">
        <v>336</v>
      </c>
      <c r="AQ3" s="344" t="s">
        <v>337</v>
      </c>
      <c r="AR3" s="344" t="s">
        <v>338</v>
      </c>
      <c r="AS3" s="344" t="s">
        <v>339</v>
      </c>
      <c r="AT3" s="344" t="s">
        <v>340</v>
      </c>
      <c r="AU3" s="344" t="s">
        <v>341</v>
      </c>
      <c r="AV3" s="344" t="s">
        <v>342</v>
      </c>
      <c r="AW3" s="355"/>
      <c r="AX3" s="344" t="s">
        <v>336</v>
      </c>
      <c r="AY3" s="344" t="s">
        <v>337</v>
      </c>
      <c r="AZ3" s="344" t="s">
        <v>338</v>
      </c>
      <c r="BA3" s="344" t="s">
        <v>339</v>
      </c>
      <c r="BB3" s="344" t="s">
        <v>342</v>
      </c>
      <c r="BC3" s="356"/>
      <c r="BD3" s="344" t="s">
        <v>336</v>
      </c>
      <c r="BE3" s="344" t="s">
        <v>337</v>
      </c>
      <c r="BF3" s="344" t="s">
        <v>338</v>
      </c>
      <c r="BG3" s="344" t="s">
        <v>339</v>
      </c>
      <c r="BH3" s="344" t="s">
        <v>342</v>
      </c>
      <c r="BI3" s="354"/>
      <c r="BJ3" s="344" t="s">
        <v>180</v>
      </c>
      <c r="BK3" s="344" t="s">
        <v>127</v>
      </c>
      <c r="BL3" s="344" t="s">
        <v>128</v>
      </c>
      <c r="BM3" s="355"/>
      <c r="BN3" s="344" t="s">
        <v>123</v>
      </c>
      <c r="BO3" s="344" t="s">
        <v>181</v>
      </c>
      <c r="BP3" s="344" t="s">
        <v>182</v>
      </c>
      <c r="BQ3" s="9"/>
    </row>
    <row r="4" spans="1:69" ht="15.75" customHeight="1">
      <c r="A4" s="188" t="s">
        <v>55</v>
      </c>
      <c r="B4" s="188" t="s">
        <v>55</v>
      </c>
      <c r="C4" s="188" t="s">
        <v>55</v>
      </c>
      <c r="D4" s="189" t="s">
        <v>129</v>
      </c>
      <c r="E4" s="188" t="s">
        <v>55</v>
      </c>
      <c r="F4" s="188" t="s">
        <v>55</v>
      </c>
      <c r="G4" s="190" t="s">
        <v>305</v>
      </c>
      <c r="H4" s="108" t="s">
        <v>153</v>
      </c>
      <c r="I4" s="191" t="s">
        <v>129</v>
      </c>
      <c r="J4" s="192" t="s">
        <v>153</v>
      </c>
      <c r="K4" s="191" t="s">
        <v>129</v>
      </c>
      <c r="L4" s="108" t="s">
        <v>153</v>
      </c>
      <c r="M4" s="191" t="s">
        <v>129</v>
      </c>
      <c r="N4" s="108" t="s">
        <v>153</v>
      </c>
      <c r="O4" s="193" t="s">
        <v>153</v>
      </c>
      <c r="P4" s="191" t="s">
        <v>129</v>
      </c>
      <c r="Q4" s="193" t="s">
        <v>153</v>
      </c>
      <c r="R4" s="191" t="s">
        <v>129</v>
      </c>
      <c r="S4" s="192" t="s">
        <v>153</v>
      </c>
      <c r="T4" s="191" t="s">
        <v>129</v>
      </c>
      <c r="U4" s="192" t="s">
        <v>153</v>
      </c>
      <c r="V4" s="191" t="s">
        <v>129</v>
      </c>
      <c r="W4" s="192" t="s">
        <v>153</v>
      </c>
      <c r="X4" s="191" t="s">
        <v>129</v>
      </c>
      <c r="Y4" s="192" t="s">
        <v>153</v>
      </c>
      <c r="Z4" s="191" t="s">
        <v>129</v>
      </c>
      <c r="AA4" s="192" t="s">
        <v>153</v>
      </c>
      <c r="AB4" s="191" t="s">
        <v>129</v>
      </c>
      <c r="AC4" s="100"/>
      <c r="AD4" s="98" t="s">
        <v>56</v>
      </c>
      <c r="AE4" s="98" t="s">
        <v>56</v>
      </c>
      <c r="AF4" s="98" t="s">
        <v>56</v>
      </c>
      <c r="AG4" s="100"/>
      <c r="AH4" s="98" t="s">
        <v>56</v>
      </c>
      <c r="AI4" s="98" t="s">
        <v>56</v>
      </c>
      <c r="AJ4" s="98" t="s">
        <v>56</v>
      </c>
      <c r="AK4" s="98" t="s">
        <v>56</v>
      </c>
      <c r="AL4" s="98" t="s">
        <v>56</v>
      </c>
      <c r="AM4" s="98" t="s">
        <v>56</v>
      </c>
      <c r="AN4" s="98" t="s">
        <v>56</v>
      </c>
      <c r="AO4" s="5"/>
      <c r="AP4" s="98" t="s">
        <v>56</v>
      </c>
      <c r="AQ4" s="98" t="s">
        <v>56</v>
      </c>
      <c r="AR4" s="98" t="s">
        <v>56</v>
      </c>
      <c r="AS4" s="98" t="s">
        <v>56</v>
      </c>
      <c r="AT4" s="98" t="s">
        <v>56</v>
      </c>
      <c r="AU4" s="98" t="s">
        <v>56</v>
      </c>
      <c r="AV4" s="98" t="s">
        <v>56</v>
      </c>
      <c r="AW4" s="5"/>
      <c r="AX4" s="99" t="s">
        <v>56</v>
      </c>
      <c r="AY4" s="99" t="s">
        <v>56</v>
      </c>
      <c r="AZ4" s="99" t="s">
        <v>56</v>
      </c>
      <c r="BA4" s="99" t="s">
        <v>56</v>
      </c>
      <c r="BB4" s="99" t="s">
        <v>56</v>
      </c>
      <c r="BC4" s="5"/>
      <c r="BD4" s="99" t="s">
        <v>56</v>
      </c>
      <c r="BE4" s="99" t="s">
        <v>56</v>
      </c>
      <c r="BF4" s="99" t="s">
        <v>56</v>
      </c>
      <c r="BG4" s="99" t="s">
        <v>56</v>
      </c>
      <c r="BH4" s="99" t="s">
        <v>56</v>
      </c>
      <c r="BI4" s="100"/>
      <c r="BJ4" s="178" t="s">
        <v>56</v>
      </c>
      <c r="BK4" s="178" t="s">
        <v>56</v>
      </c>
      <c r="BL4" s="178" t="s">
        <v>56</v>
      </c>
      <c r="BM4" s="101"/>
      <c r="BN4" s="178" t="s">
        <v>56</v>
      </c>
      <c r="BO4" s="178" t="s">
        <v>56</v>
      </c>
      <c r="BP4" s="178" t="s">
        <v>56</v>
      </c>
      <c r="BQ4" s="6"/>
    </row>
    <row r="5" spans="1:69">
      <c r="A5" s="103"/>
      <c r="B5" s="103"/>
      <c r="C5" s="103"/>
      <c r="D5" s="104"/>
      <c r="E5" s="410"/>
      <c r="F5" s="103"/>
      <c r="G5" s="371" t="s">
        <v>205</v>
      </c>
      <c r="H5" s="102" t="str">
        <f>IF(OR(ISBLANK($B5),ISBLANK($C5)),"",ROUND(INDEX('TRU Ops &amp; Costs'!$D$4:$D$74,MATCH($B5&amp;$C5,'TRU Ops &amp; Costs'!$P$4:$P$74,0))/IF($G5="hp",0.7457,1),0))</f>
        <v/>
      </c>
      <c r="I5" s="279"/>
      <c r="J5" s="282" t="str">
        <f>IF(OR(ISBLANK($B5),ISBLANK($C5)),"",INDEX('TRU Ops &amp; Costs'!$E$4:$E$74,MATCH($B5&amp;$C5,'TRU Ops &amp; Costs'!$P$4:$P$74,0)))</f>
        <v/>
      </c>
      <c r="K5" s="283"/>
      <c r="L5" s="102" t="str">
        <f>IF(OR(ISBLANK($B5),ISBLANK($C5)),"",INDEX('TRU Ops &amp; Costs'!$F$4:$F$74,MATCH($B5&amp;$C5,'TRU Ops &amp; Costs'!$P$4:$P$74,0)))</f>
        <v/>
      </c>
      <c r="M5" s="281"/>
      <c r="N5" s="110" t="str">
        <f>IF(OR(ISBLANK($B5),ISBLANK($C5)),"",INDEX('TRU Ops &amp; Costs'!$G$4:$G$74,MATCH($B5&amp;$C5,'TRU Ops &amp; Costs'!$P$4:$P$74,0)))</f>
        <v/>
      </c>
      <c r="O5" s="368" t="str">
        <f t="shared" ref="O5:O40" si="0">IF(OR(AND($L5="",ISBLANK($M5)),$N5=""),"",IF(ISBLANK($M5),$L5,$M5)*$N5)</f>
        <v/>
      </c>
      <c r="P5" s="279"/>
      <c r="Q5" s="282" t="str">
        <f>IF(OR(ISBLANK($B5),ISBLANK($C5)),"",1)</f>
        <v/>
      </c>
      <c r="R5" s="283"/>
      <c r="S5" s="322" t="str">
        <f>IF(ISBLANK($F5),"",IFERROR(INDEX('Diesel Fuel Prices'!$D$5:$D$31,MATCH($F5,'Diesel Fuel Prices'!$B$5:$B$31,0)),INDEX('Diesel Fuel Prices'!$D$5:$D$31,MATCH("U.S. Average",'Diesel Fuel Prices'!$B$5:$B$31,0)))*References!$B$38/References!$B$37)</f>
        <v/>
      </c>
      <c r="T5" s="289"/>
      <c r="U5" s="322" t="str">
        <f>IF(ISBLANK($F5),"",IFERROR(INDEX('Electricity Prices'!$F$4:$F$30,MATCH($F5,'Electricity Prices'!$B$4:$B$30,0)),INDEX('Electricity Prices'!$F$4:$F$30,MATCH("All U.S.",'Electricity Prices'!$B$4:$B$30,0)))*References!$B$38/References!$B$37)</f>
        <v/>
      </c>
      <c r="V5" s="289"/>
      <c r="W5" s="293" t="str">
        <f>IF(OR(ISBLANK($B5),ISBLANK($C5)),"",INDEX('TRU Ops &amp; Costs'!$I$4:$I$74,MATCH($B5&amp;$C5,'TRU Ops &amp; Costs'!$P$4:$P$74,0)))</f>
        <v/>
      </c>
      <c r="X5" s="294"/>
      <c r="Y5" s="293" t="str">
        <f>IFERROR(IF(AND(ISBLANK(Q5),ISBLANK(R5)),"",IF(OR(ISBLANK($B5),ISBLANK($C5)),"",(IF(E5="Yard",INDEX('TRU Ops &amp; Costs'!$J$4:$J$74,MATCH($B5&amp;$C5,'TRU Ops &amp; Costs'!$P$4:$P$74,0)),INDEX('TRU Ops &amp; Costs'!$K$4:$K$74,MATCH($B5&amp;$C5,'TRU Ops &amp; Costs'!$P$4:$P$74,0)))))/(IF(ISBLANK(R5),Q5,R5))),"")</f>
        <v/>
      </c>
      <c r="Z5" s="294"/>
      <c r="AA5" s="293" t="str">
        <f>IF(OR(ISBLANK($B5),ISBLANK($C5),AND($O5="",ISBLANK($P5))),"",IF(ISBLANK($P5),$O5,$P5)*INDEX('TRU Ops &amp; Costs'!$M$4:$M$74,MATCH($B5&amp;$C5,'TRU Ops &amp; Costs'!$P$4:$P$74,0))*-INDEX('TRU Ops &amp; Costs'!$L$4:$L$74,MATCH($B5&amp;$C5,'TRU Ops &amp; Costs'!$P$4:$P$74,0)))</f>
        <v/>
      </c>
      <c r="AB5" s="184"/>
      <c r="AC5" s="13"/>
      <c r="AD5" s="127" t="str">
        <f t="shared" ref="AD5:AD40" si="1">IF(OR(ISBLANK($D5),AND($H5="",ISBLANK($I5)),AND($J5="",ISBLANK($K5)),AND($O5="",ISBLANK($P5))),"",$D5*ROUND(IF(ISBLANK($I5),$H5,$I5)*IF($G5="hp",0.7457,1),0)*IF(ISBLANK($K5),$J5,$K5)*IF(ISBLANK($P5),$O5,$P5))</f>
        <v/>
      </c>
      <c r="AE5" s="127" t="str">
        <f t="shared" ref="AE5:AE40" si="2">IF(OR(ISBLANK($D5),AND($H5="",ISBLANK($I5)),AND($J5="",ISBLANK($K5)),AND($O5="",ISBLANK($P5))),"",AD5/EfficiencyImprovement)</f>
        <v/>
      </c>
      <c r="AF5" s="167" t="str">
        <f>IF(ISBLANK($F5),"",INDEX('eGRID2018 Subregion'!$J$7:$J$35,MATCH($F5,RegionUSER,0)))</f>
        <v/>
      </c>
      <c r="AG5" s="13"/>
      <c r="AH5" s="202" t="str">
        <f>IF(OR(ISBLANK($B5),ISBLANK($C5),$AD5=""),"",ROUND($AD5*INDEX('Diesel TRU Emission Factors'!$D$6:$D$76,MATCH($B5&amp;$C5,'Diesel TRU Emission Factors'!$R$6:$R$77,0))*GramsToMT,4))</f>
        <v/>
      </c>
      <c r="AI5" s="202" t="str">
        <f>IF(OR(ISBLANK($B5),ISBLANK($C5),$AD5=""),"",ROUND($AD5*INDEX('Diesel TRU Emission Factors'!$E$6:$E$76,MATCH($B5&amp;$C5,'Diesel TRU Emission Factors'!$R$6:$R$77,0))*GramsToMT,4))</f>
        <v/>
      </c>
      <c r="AJ5" s="202" t="str">
        <f>IF(OR(ISBLANK($B5),ISBLANK($C5),$AD5=""),"",ROUND($AD5*INDEX('Diesel TRU Emission Factors'!$H$6:$H$76,MATCH($B5&amp;$C5,'Diesel TRU Emission Factors'!$R$6:$R$77,0))*GramsToMT,4))</f>
        <v/>
      </c>
      <c r="AK5" s="204" t="str">
        <f>IF(OR(ISBLANK($B5),ISBLANK($C5),$AD5=""),"",ROUND($AD5*INDEX('Diesel TRU Emission Factors'!$F$6:$F$76,MATCH($B5&amp;$C5,'Diesel TRU Emission Factors'!$R$6:$R$77,0))*GramsToMT,1))</f>
        <v/>
      </c>
      <c r="AL5" s="194" t="str">
        <f>IF(OR(ISBLANK($B5),ISBLANK($C5),$AD5=""),"",$AD5*INDEX('Diesel TRU Emission Factors'!$G$6:$G$76,MATCH($B5&amp;$C5,'Diesel TRU Emission Factors'!$R$6:$R$77,0))*GramsToMT)</f>
        <v/>
      </c>
      <c r="AM5" s="195" t="str">
        <f>IF(ISBLANK(F5),"",AD5*GalTokWh*'Diesel TRU Emission Factors'!$P$4/1000000)</f>
        <v/>
      </c>
      <c r="AN5" s="206" t="str">
        <f>IF(ISBLANK($F5),"",ROUND(AK5*References!$B$28+AL5*References!$B$29+AM5*References!$B$30,1))</f>
        <v/>
      </c>
      <c r="AO5" s="113"/>
      <c r="AP5" s="202" t="str">
        <f>IF(OR(ISBLANK($F5),$AE5="",$AF5=""),"",ROUND($AE5*(1+$AF5)*INDEX('eGRID2018 Subregion'!$C$7:$C$35,MATCH($F5,RegionUSER,0))*GramsToMT,4))</f>
        <v/>
      </c>
      <c r="AQ5" s="202" t="str">
        <f>IF(OR(ISBLANK($F5),$AE5="",$AF5=""),"",ROUND($AE5*(1+$AF5)*INDEX('eGRID2018 Subregion'!$D$7:$D$35,MATCH($F5,RegionUSER,0))*GramsToMT,4))</f>
        <v/>
      </c>
      <c r="AR5" s="202" t="str">
        <f>IF(OR(ISBLANK($F5),$AE5="",$AF5=""),"",ROUND($AE5*(1+$AF5)*INDEX('eGRID2018 Subregion'!$I$7:$I$35,MATCH($F5,RegionUSER,0))*GramsToMT,4))</f>
        <v/>
      </c>
      <c r="AS5" s="204" t="str">
        <f>IF(OR(ISBLANK($F5),$AE5="",$AF5=""),"",ROUND($AE5*(1+$AF5)*INDEX('eGRID2018 Subregion'!$E$7:$E$35,MATCH($F5,RegionUSER,0))*GramsToMT,1))</f>
        <v/>
      </c>
      <c r="AT5" s="194" t="str">
        <f>IF(OR(ISBLANK($F5),$AE5="",$AF5=""),"",$AE5*(1+$AF5)*INDEX('eGRID2018 Subregion'!$F$7:$F$35,MATCH($F5,RegionUSER,0))*GramsToMT)</f>
        <v/>
      </c>
      <c r="AU5" s="194" t="str">
        <f>IF(OR(ISBLANK($F5),$AE5="",$AF5=""),"",$AE5*(1+$AF5)*INDEX('eGRID2018 Subregion'!$G$7:$G$35,MATCH($F5,RegionUSER,0))*GramsToMT)</f>
        <v/>
      </c>
      <c r="AV5" s="206" t="str">
        <f>IF(ISBLANK($F5),"",ROUND(AS5*References!$B$28+AT5*References!$B$29+AU5*References!$B$30,1))</f>
        <v/>
      </c>
      <c r="AW5" s="5"/>
      <c r="AX5" s="202" t="str">
        <f t="shared" ref="AX5:AX40" si="3">IF(OR(AH5="",AP5=""),"",ROUND(AP5-AH5,4))</f>
        <v/>
      </c>
      <c r="AY5" s="202" t="str">
        <f t="shared" ref="AY5:AY40" si="4">IF(OR(AI5="",AQ5=""),"",ROUND(AQ5-AI5,4))</f>
        <v/>
      </c>
      <c r="AZ5" s="202" t="str">
        <f t="shared" ref="AZ5:AZ40" si="5">IF(OR(AJ5="",AR5=""),"",ROUND(AR5-AJ5,4))</f>
        <v/>
      </c>
      <c r="BA5" s="204" t="str">
        <f t="shared" ref="BA5:BA40" si="6">IF(OR(AK5="",AS5=""),"",ROUND(AS5-AK5,1))</f>
        <v/>
      </c>
      <c r="BB5" s="204" t="str">
        <f t="shared" ref="BB5:BB40" si="7">IF(OR(AN5="",AV5=""),"",ROUND(AV5-AN5,1))</f>
        <v/>
      </c>
      <c r="BC5" s="1"/>
      <c r="BD5" s="164" t="str">
        <f t="shared" ref="BD5:BD41" si="8">IF(OR(AH5="",AX5="",AH5=0),"",ROUND(AX5/AH5,2))</f>
        <v/>
      </c>
      <c r="BE5" s="164" t="str">
        <f t="shared" ref="BE5:BE41" si="9">IF(OR(AI5="",AY5="",AI5=0),"", AY5/AI5)</f>
        <v/>
      </c>
      <c r="BF5" s="164" t="str">
        <f t="shared" ref="BF5:BF41" si="10">IF(OR(AJ5="",AZ5="",AJ5=0),"",ROUND(AZ5/AJ5,2))</f>
        <v/>
      </c>
      <c r="BG5" s="164" t="str">
        <f t="shared" ref="BG5:BG41" si="11">IF(OR(AK5="",BA5="",AK5=0),"",ROUND(BA5/AK5,2))</f>
        <v/>
      </c>
      <c r="BH5" s="164" t="str">
        <f t="shared" ref="BH5:BH41" si="12">IF(OR(AN5="",BB5="",AN5=0),"",ROUND(BB5/AN5,2))</f>
        <v/>
      </c>
      <c r="BI5" s="13"/>
      <c r="BJ5" s="180" t="str">
        <f t="shared" ref="BJ5:BJ40" si="13">IF(OR(ISBLANK($D5),AND($W5="",ISBLANK($X5))),"",$D5*IF(ISBLANK($X5),$W5,$X5))</f>
        <v/>
      </c>
      <c r="BK5" s="180" t="str">
        <f t="shared" ref="BK5:BK40" si="14">IF(OR(ISBLANK($D5),AND($Y5="",ISBLANK($Z5))),"",$D5*IF(ISBLANK($Z5),$Y5,$Z5))</f>
        <v/>
      </c>
      <c r="BL5" s="180" t="str">
        <f>IF(OR($BJ5="",$BK5=""),"",$BJ5+$BK5)</f>
        <v/>
      </c>
      <c r="BM5" s="5"/>
      <c r="BN5" s="180" t="str">
        <f t="shared" ref="BN5:BN40" si="15">IF(OR(ISBLANK($D5),AND($AA5="",ISBLANK($AB5))),"",$D5*IF(ISBLANK($AB5),$AA5,$AB5))</f>
        <v/>
      </c>
      <c r="BO5" s="180" t="str">
        <f>IF(OR($AD5="",$AF5="",AND($S5="",ISBLANK($T5)),AND($U5="",ISBLANK($V5))),"",($AD5*(IF(ISBLANK($T5),$S5,$T5)*GalTokWh))-($AE5*IF(ISBLANK($V5),$U5,$V5)*(1+$AF5)))</f>
        <v/>
      </c>
      <c r="BP5" s="180" t="str">
        <f>IF(OR($BN5="",$BO5=""),"",$BN5+$BO5)</f>
        <v/>
      </c>
      <c r="BQ5" s="5"/>
    </row>
    <row r="6" spans="1:69">
      <c r="A6" s="105"/>
      <c r="B6" s="105"/>
      <c r="C6" s="105"/>
      <c r="D6" s="106"/>
      <c r="E6" s="411"/>
      <c r="F6" s="105"/>
      <c r="G6" s="370"/>
      <c r="H6" s="102" t="str">
        <f>IF(OR(ISBLANK($B6),ISBLANK($C6)),"",ROUND(INDEX('TRU Ops &amp; Costs'!$D$4:$D$74,MATCH($B6&amp;$C6,'TRU Ops &amp; Costs'!$P$4:$P$74,0))/IF($G6="hp",0.7457,1),0))</f>
        <v/>
      </c>
      <c r="I6" s="280"/>
      <c r="J6" s="282" t="str">
        <f>IF(OR(ISBLANK($B6),ISBLANK($C6)),"",INDEX('TRU Ops &amp; Costs'!$E$4:$E$74,MATCH($B6&amp;$C6,'TRU Ops &amp; Costs'!$P$4:$P$74,0)))</f>
        <v/>
      </c>
      <c r="K6" s="284"/>
      <c r="L6" s="102" t="str">
        <f>IF(OR(ISBLANK($B6),ISBLANK($C6)),"",INDEX('TRU Ops &amp; Costs'!$F$4:$F$74,MATCH($B6&amp;$C6,'TRU Ops &amp; Costs'!$P$4:$P$74,0)))</f>
        <v/>
      </c>
      <c r="M6" s="280"/>
      <c r="N6" s="110" t="str">
        <f>IF(OR(ISBLANK($B6),ISBLANK($C6)),"",INDEX('TRU Ops &amp; Costs'!$G$4:$G$74,MATCH($B6&amp;$C6,'TRU Ops &amp; Costs'!$P$4:$P$74,0)))</f>
        <v/>
      </c>
      <c r="O6" s="102" t="str">
        <f t="shared" si="0"/>
        <v/>
      </c>
      <c r="P6" s="280"/>
      <c r="Q6" s="282" t="str">
        <f t="shared" ref="Q6:Q40" si="16">IF(OR(ISBLANK($B6),ISBLANK($C6)),"",1)</f>
        <v/>
      </c>
      <c r="R6" s="284"/>
      <c r="S6" s="322" t="str">
        <f>IF(ISBLANK($F6),"",IFERROR(INDEX('Diesel Fuel Prices'!$D$5:$D$31,MATCH($F6,'Diesel Fuel Prices'!$B$5:$B$31,0)),INDEX('Diesel Fuel Prices'!$D$5:$D$31,MATCH("U.S. Average",'Diesel Fuel Prices'!$B$5:$B$31,0)))*References!$B$38/References!$B$37)</f>
        <v/>
      </c>
      <c r="T6" s="290"/>
      <c r="U6" s="322" t="str">
        <f>IF(ISBLANK($F6),"",IFERROR(INDEX('Electricity Prices'!$F$4:$F$30,MATCH($F6,'Electricity Prices'!$B$4:$B$30,0)),INDEX('Electricity Prices'!$F$4:$F$30,MATCH("All U.S.",'Electricity Prices'!$B$4:$B$30,0)))*References!$B$38/References!$B$37)</f>
        <v/>
      </c>
      <c r="V6" s="290"/>
      <c r="W6" s="293" t="str">
        <f>IF(OR(ISBLANK($B6),ISBLANK($C6)),"",INDEX('TRU Ops &amp; Costs'!$I$4:$I$74,MATCH($B6&amp;$C6,'TRU Ops &amp; Costs'!$P$4:$P$74,0)))</f>
        <v/>
      </c>
      <c r="X6" s="295"/>
      <c r="Y6" s="293" t="str">
        <f>IFERROR(IF(AND(ISBLANK(Q6),ISBLANK(R6)),"",IF(OR(ISBLANK($B6),ISBLANK($C6)),"",(IF(E6="Yard",INDEX('TRU Ops &amp; Costs'!$J$4:$J$74,MATCH($B6&amp;$C6,'TRU Ops &amp; Costs'!$P$4:$P$74,0)),INDEX('TRU Ops &amp; Costs'!$K$4:$K$74,MATCH($B6&amp;$C6,'TRU Ops &amp; Costs'!$P$4:$P$74,0)))))/(IF(ISBLANK(R6),Q6,R6))),"")</f>
        <v/>
      </c>
      <c r="Z6" s="295"/>
      <c r="AA6" s="293" t="str">
        <f>IF(OR(ISBLANK($B6),ISBLANK($C6),AND($O6="",ISBLANK($P6))),"",IF(ISBLANK($P6),$O6,$P6)*INDEX('TRU Ops &amp; Costs'!$M$4:$M$74,MATCH($B6&amp;$C6,'TRU Ops &amp; Costs'!$P$4:$P$74,0))*-INDEX('TRU Ops &amp; Costs'!$L$4:$L$74,MATCH($B6&amp;$C6,'TRU Ops &amp; Costs'!$P$4:$P$74,0)))</f>
        <v/>
      </c>
      <c r="AB6" s="185"/>
      <c r="AC6" s="13"/>
      <c r="AD6" s="128" t="str">
        <f t="shared" si="1"/>
        <v/>
      </c>
      <c r="AE6" s="128" t="str">
        <f t="shared" si="2"/>
        <v/>
      </c>
      <c r="AF6" s="168" t="str">
        <f>IF(ISBLANK($F6),"",INDEX('eGRID2018 Subregion'!$J$7:$J$35,MATCH($F6,RegionUSER,0)))</f>
        <v/>
      </c>
      <c r="AG6" s="13"/>
      <c r="AH6" s="203" t="str">
        <f>IF(OR(ISBLANK($B6),ISBLANK($C6),$AD6=""),"",ROUND($AD6*INDEX('Diesel TRU Emission Factors'!$D$6:$D$76,MATCH($B6&amp;$C6,'Diesel TRU Emission Factors'!$R$6:$R$77,0))*GramsToMT,4))</f>
        <v/>
      </c>
      <c r="AI6" s="203" t="str">
        <f>IF(OR(ISBLANK($B6),ISBLANK($C6),$AD6=""),"",ROUND($AD6*INDEX('Diesel TRU Emission Factors'!$E$6:$E$76,MATCH($B6&amp;$C6,'Diesel TRU Emission Factors'!$R$6:$R$77,0))*GramsToMT,4))</f>
        <v/>
      </c>
      <c r="AJ6" s="203" t="str">
        <f>IF(OR(ISBLANK($B6),ISBLANK($C6),$AD6=""),"",ROUND($AD6*INDEX('Diesel TRU Emission Factors'!$H$6:$H$76,MATCH($B6&amp;$C6,'Diesel TRU Emission Factors'!$R$6:$R$77,0))*GramsToMT,4))</f>
        <v/>
      </c>
      <c r="AK6" s="205" t="str">
        <f>IF(OR(ISBLANK($B6),ISBLANK($C6),$AD6=""),"",ROUND($AD6*INDEX('Diesel TRU Emission Factors'!$F$6:$F$76,MATCH($B6&amp;$C6,'Diesel TRU Emission Factors'!$R$6:$R$77,0))*GramsToMT,1))</f>
        <v/>
      </c>
      <c r="AL6" s="196" t="str">
        <f>IF(OR(ISBLANK($B6),ISBLANK($C6),$AD6=""),"",$AD6*INDEX('Diesel TRU Emission Factors'!$G$6:$G$76,MATCH($B6&amp;$C6,'Diesel TRU Emission Factors'!$R$6:$R$77,0))*GramsToMT)</f>
        <v/>
      </c>
      <c r="AM6" s="197" t="str">
        <f>IF(ISBLANK(F6),"",AD6*GalTokWh*'Diesel TRU Emission Factors'!$P$4/1000000)</f>
        <v/>
      </c>
      <c r="AN6" s="207" t="str">
        <f>IF(ISBLANK($F6),"",ROUND(AK6*References!$B$28+AL6*References!$B$29+AM6*References!$B$30,1))</f>
        <v/>
      </c>
      <c r="AO6" s="113"/>
      <c r="AP6" s="203" t="str">
        <f>IF(OR(ISBLANK($F6),$AE6="",$AF6=""),"",ROUND($AE6*(1+$AF6)*INDEX('eGRID2018 Subregion'!$C$7:$C$35,MATCH($F6,RegionUSER,0))*GramsToMT,4))</f>
        <v/>
      </c>
      <c r="AQ6" s="203" t="str">
        <f>IF(OR(ISBLANK($F6),$AE6="",$AF6=""),"",ROUND($AE6*(1+$AF6)*INDEX('eGRID2018 Subregion'!$D$7:$D$35,MATCH($F6,RegionUSER,0))*GramsToMT,4))</f>
        <v/>
      </c>
      <c r="AR6" s="203" t="str">
        <f>IF(OR(ISBLANK($F6),$AE6="",$AF6=""),"",ROUND($AE6*(1+$AF6)*INDEX('eGRID2018 Subregion'!$I$7:$I$35,MATCH($F6,RegionUSER,0))*GramsToMT,4))</f>
        <v/>
      </c>
      <c r="AS6" s="205" t="str">
        <f>IF(OR(ISBLANK($F6),$AE6="",$AF6=""),"",ROUND($AE6*(1+$AF6)*INDEX('eGRID2018 Subregion'!$E$7:$E$35,MATCH($F6,RegionUSER,0))*GramsToMT,1))</f>
        <v/>
      </c>
      <c r="AT6" s="196" t="str">
        <f>IF(OR(ISBLANK($F6),$AE6="",$AF6=""),"",$AE6*(1+$AF6)*INDEX('eGRID2018 Subregion'!$F$7:$F$35,MATCH($F6,RegionUSER,0))*GramsToMT)</f>
        <v/>
      </c>
      <c r="AU6" s="196" t="str">
        <f>IF(OR(ISBLANK($F6),$AE6="",$AF6=""),"",$AE6*(1+$AF6)*INDEX('eGRID2018 Subregion'!$G$7:$G$35,MATCH($F6,RegionUSER,0))*GramsToMT)</f>
        <v/>
      </c>
      <c r="AV6" s="207" t="str">
        <f>IF(ISBLANK($F6),"",ROUND(AS6*References!$B$28+AT6*References!$B$29+AU6*References!$B$30,1))</f>
        <v/>
      </c>
      <c r="AW6" s="5"/>
      <c r="AX6" s="203" t="str">
        <f t="shared" si="3"/>
        <v/>
      </c>
      <c r="AY6" s="203" t="str">
        <f t="shared" si="4"/>
        <v/>
      </c>
      <c r="AZ6" s="203" t="str">
        <f t="shared" si="5"/>
        <v/>
      </c>
      <c r="BA6" s="205" t="str">
        <f t="shared" si="6"/>
        <v/>
      </c>
      <c r="BB6" s="205" t="str">
        <f t="shared" si="7"/>
        <v/>
      </c>
      <c r="BC6" s="1"/>
      <c r="BD6" s="165" t="str">
        <f t="shared" si="8"/>
        <v/>
      </c>
      <c r="BE6" s="165" t="str">
        <f t="shared" si="9"/>
        <v/>
      </c>
      <c r="BF6" s="165" t="str">
        <f t="shared" si="10"/>
        <v/>
      </c>
      <c r="BG6" s="165" t="str">
        <f t="shared" si="11"/>
        <v/>
      </c>
      <c r="BH6" s="165" t="str">
        <f t="shared" si="12"/>
        <v/>
      </c>
      <c r="BI6" s="13"/>
      <c r="BJ6" s="179" t="str">
        <f t="shared" si="13"/>
        <v/>
      </c>
      <c r="BK6" s="179" t="str">
        <f t="shared" si="14"/>
        <v/>
      </c>
      <c r="BL6" s="179" t="str">
        <f t="shared" ref="BL6:BL40" si="17">IF(OR($BJ6="",$BK6=""),"",$BJ6+$BK6)</f>
        <v/>
      </c>
      <c r="BM6" s="5"/>
      <c r="BN6" s="179" t="str">
        <f t="shared" si="15"/>
        <v/>
      </c>
      <c r="BO6" s="179" t="str">
        <f t="shared" ref="BO6:BO40" si="18">IF(OR($AD6="",$AF6="",AND($S6="",ISBLANK($T6)),AND($U6="",ISBLANK($V6))),"",($AD6*(IF(ISBLANK($T6),$S6,$T6)*GalTokWh))-($AE6*IF(ISBLANK($V6),$U6,$V6)*(1+$AF6)))</f>
        <v/>
      </c>
      <c r="BP6" s="179" t="str">
        <f t="shared" ref="BP6:BP40" si="19">IF(OR($BN6="",$BO6=""),"",$BN6+$BO6)</f>
        <v/>
      </c>
      <c r="BQ6" s="5"/>
    </row>
    <row r="7" spans="1:69">
      <c r="A7" s="103"/>
      <c r="B7" s="103"/>
      <c r="C7" s="103"/>
      <c r="D7" s="104"/>
      <c r="E7" s="410"/>
      <c r="F7" s="103"/>
      <c r="G7" s="371"/>
      <c r="H7" s="102" t="str">
        <f>IF(OR(ISBLANK($B7),ISBLANK($C7)),"",ROUND(INDEX('TRU Ops &amp; Costs'!$D$4:$D$74,MATCH($B7&amp;$C7,'TRU Ops &amp; Costs'!$P$4:$P$74,0))/IF($G7="hp",0.7457,1),0))</f>
        <v/>
      </c>
      <c r="I7" s="281"/>
      <c r="J7" s="282" t="str">
        <f>IF(OR(ISBLANK($B7),ISBLANK($C7)),"",INDEX('TRU Ops &amp; Costs'!$E$4:$E$74,MATCH($B7&amp;$C7,'TRU Ops &amp; Costs'!$P$4:$P$74,0)))</f>
        <v/>
      </c>
      <c r="K7" s="285"/>
      <c r="L7" s="102" t="str">
        <f>IF(OR(ISBLANK($B7),ISBLANK($C7)),"",INDEX('TRU Ops &amp; Costs'!$F$4:$F$74,MATCH($B7&amp;$C7,'TRU Ops &amp; Costs'!$P$4:$P$74,0)))</f>
        <v/>
      </c>
      <c r="M7" s="281"/>
      <c r="N7" s="110" t="str">
        <f>IF(OR(ISBLANK($B7),ISBLANK($C7)),"",INDEX('TRU Ops &amp; Costs'!$G$4:$G$74,MATCH($B7&amp;$C7,'TRU Ops &amp; Costs'!$P$4:$P$74,0)))</f>
        <v/>
      </c>
      <c r="O7" s="102" t="str">
        <f t="shared" si="0"/>
        <v/>
      </c>
      <c r="P7" s="281"/>
      <c r="Q7" s="282" t="str">
        <f t="shared" si="16"/>
        <v/>
      </c>
      <c r="R7" s="285"/>
      <c r="S7" s="322" t="str">
        <f>IF(ISBLANK($F7),"",IFERROR(INDEX('Diesel Fuel Prices'!$D$5:$D$31,MATCH($F7,'Diesel Fuel Prices'!$B$5:$B$31,0)),INDEX('Diesel Fuel Prices'!$D$5:$D$31,MATCH("U.S. Average",'Diesel Fuel Prices'!$B$5:$B$31,0)))*References!$B$38/References!$B$37)</f>
        <v/>
      </c>
      <c r="T7" s="291"/>
      <c r="U7" s="322" t="str">
        <f>IF(ISBLANK($F7),"",IFERROR(INDEX('Electricity Prices'!$F$4:$F$30,MATCH($F7,'Electricity Prices'!$B$4:$B$30,0)),INDEX('Electricity Prices'!$F$4:$F$30,MATCH("All U.S.",'Electricity Prices'!$B$4:$B$30,0)))*References!$B$38/References!$B$37)</f>
        <v/>
      </c>
      <c r="V7" s="291"/>
      <c r="W7" s="293" t="str">
        <f>IF(OR(ISBLANK($B7),ISBLANK($C7)),"",INDEX('TRU Ops &amp; Costs'!$I$4:$I$74,MATCH($B7&amp;$C7,'TRU Ops &amp; Costs'!$P$4:$P$74,0)))</f>
        <v/>
      </c>
      <c r="X7" s="296"/>
      <c r="Y7" s="293" t="str">
        <f>IFERROR(IF(AND(ISBLANK(Q7),ISBLANK(R7)),"",IF(OR(ISBLANK($B7),ISBLANK($C7)),"",(IF(E7="Yard",INDEX('TRU Ops &amp; Costs'!$J$4:$J$74,MATCH($B7&amp;$C7,'TRU Ops &amp; Costs'!$P$4:$P$74,0)),INDEX('TRU Ops &amp; Costs'!$K$4:$K$74,MATCH($B7&amp;$C7,'TRU Ops &amp; Costs'!$P$4:$P$74,0)))))/(IF(ISBLANK(R7),Q7,R7))),"")</f>
        <v/>
      </c>
      <c r="Z7" s="296"/>
      <c r="AA7" s="293" t="str">
        <f>IF(OR(ISBLANK($B7),ISBLANK($C7),AND($O7="",ISBLANK($P7))),"",IF(ISBLANK($P7),$O7,$P7)*INDEX('TRU Ops &amp; Costs'!$M$4:$M$74,MATCH($B7&amp;$C7,'TRU Ops &amp; Costs'!$P$4:$P$74,0))*-INDEX('TRU Ops &amp; Costs'!$L$4:$L$74,MATCH($B7&amp;$C7,'TRU Ops &amp; Costs'!$P$4:$P$74,0)))</f>
        <v/>
      </c>
      <c r="AB7" s="186"/>
      <c r="AC7" s="13"/>
      <c r="AD7" s="127" t="str">
        <f t="shared" si="1"/>
        <v/>
      </c>
      <c r="AE7" s="127" t="str">
        <f t="shared" si="2"/>
        <v/>
      </c>
      <c r="AF7" s="167" t="str">
        <f>IF(ISBLANK($F7),"",INDEX('eGRID2018 Subregion'!$J$7:$J$35,MATCH($F7,RegionUSER,0)))</f>
        <v/>
      </c>
      <c r="AG7" s="13"/>
      <c r="AH7" s="202" t="str">
        <f>IF(OR(ISBLANK($B7),ISBLANK($C7),$AD7=""),"",ROUND($AD7*INDEX('Diesel TRU Emission Factors'!$D$6:$D$76,MATCH($B7&amp;$C7,'Diesel TRU Emission Factors'!$R$6:$R$77,0))*GramsToMT,4))</f>
        <v/>
      </c>
      <c r="AI7" s="202" t="str">
        <f>IF(OR(ISBLANK($B7),ISBLANK($C7),$AD7=""),"",ROUND($AD7*INDEX('Diesel TRU Emission Factors'!$E$6:$E$76,MATCH($B7&amp;$C7,'Diesel TRU Emission Factors'!$R$6:$R$77,0))*GramsToMT,4))</f>
        <v/>
      </c>
      <c r="AJ7" s="202" t="str">
        <f>IF(OR(ISBLANK($B7),ISBLANK($C7),$AD7=""),"",ROUND($AD7*INDEX('Diesel TRU Emission Factors'!$H$6:$H$76,MATCH($B7&amp;$C7,'Diesel TRU Emission Factors'!$R$6:$R$77,0))*GramsToMT,4))</f>
        <v/>
      </c>
      <c r="AK7" s="204" t="str">
        <f>IF(OR(ISBLANK($B7),ISBLANK($C7),$AD7=""),"",ROUND($AD7*INDEX('Diesel TRU Emission Factors'!$F$6:$F$76,MATCH($B7&amp;$C7,'Diesel TRU Emission Factors'!$R$6:$R$77,0))*GramsToMT,1))</f>
        <v/>
      </c>
      <c r="AL7" s="194" t="str">
        <f>IF(OR(ISBLANK($B7),ISBLANK($C7),$AD7=""),"",$AD7*INDEX('Diesel TRU Emission Factors'!$G$6:$G$76,MATCH($B7&amp;$C7,'Diesel TRU Emission Factors'!$R$6:$R$77,0))*GramsToMT)</f>
        <v/>
      </c>
      <c r="AM7" s="195" t="str">
        <f>IF(ISBLANK(F7),"",AD7*GalTokWh*'Diesel TRU Emission Factors'!$P$4/1000000)</f>
        <v/>
      </c>
      <c r="AN7" s="206" t="str">
        <f>IF(ISBLANK($F7),"",ROUND(AK7*References!$B$28+AL7*References!$B$29+AM7*References!$B$30,1))</f>
        <v/>
      </c>
      <c r="AO7" s="113"/>
      <c r="AP7" s="202" t="str">
        <f>IF(OR(ISBLANK($F7),$AE7="",$AF7=""),"",ROUND($AE7*(1+$AF7)*INDEX('eGRID2018 Subregion'!$C$7:$C$35,MATCH($F7,RegionUSER,0))*GramsToMT,4))</f>
        <v/>
      </c>
      <c r="AQ7" s="202" t="str">
        <f>IF(OR(ISBLANK($F7),$AE7="",$AF7=""),"",ROUND($AE7*(1+$AF7)*INDEX('eGRID2018 Subregion'!$D$7:$D$35,MATCH($F7,RegionUSER,0))*GramsToMT,4))</f>
        <v/>
      </c>
      <c r="AR7" s="202" t="str">
        <f>IF(OR(ISBLANK($F7),$AE7="",$AF7=""),"",ROUND($AE7*(1+$AF7)*INDEX('eGRID2018 Subregion'!$I$7:$I$35,MATCH($F7,RegionUSER,0))*GramsToMT,4))</f>
        <v/>
      </c>
      <c r="AS7" s="204" t="str">
        <f>IF(OR(ISBLANK($F7),$AE7="",$AF7=""),"",ROUND($AE7*(1+$AF7)*INDEX('eGRID2018 Subregion'!$E$7:$E$35,MATCH($F7,RegionUSER,0))*GramsToMT,1))</f>
        <v/>
      </c>
      <c r="AT7" s="194" t="str">
        <f>IF(OR(ISBLANK($F7),$AE7="",$AF7=""),"",$AE7*(1+$AF7)*INDEX('eGRID2018 Subregion'!$F$7:$F$35,MATCH($F7,RegionUSER,0))*GramsToMT)</f>
        <v/>
      </c>
      <c r="AU7" s="194" t="str">
        <f>IF(OR(ISBLANK($F7),$AE7="",$AF7=""),"",$AE7*(1+$AF7)*INDEX('eGRID2018 Subregion'!$G$7:$G$35,MATCH($F7,RegionUSER,0))*GramsToMT)</f>
        <v/>
      </c>
      <c r="AV7" s="206" t="str">
        <f>IF(ISBLANK($F7),"",ROUND(AS7*References!$B$28+AT7*References!$B$29+AU7*References!$B$30,1))</f>
        <v/>
      </c>
      <c r="AW7" s="5"/>
      <c r="AX7" s="202" t="str">
        <f t="shared" si="3"/>
        <v/>
      </c>
      <c r="AY7" s="202" t="str">
        <f t="shared" si="4"/>
        <v/>
      </c>
      <c r="AZ7" s="202" t="str">
        <f t="shared" si="5"/>
        <v/>
      </c>
      <c r="BA7" s="204" t="str">
        <f t="shared" si="6"/>
        <v/>
      </c>
      <c r="BB7" s="204" t="str">
        <f t="shared" si="7"/>
        <v/>
      </c>
      <c r="BC7" s="1"/>
      <c r="BD7" s="164" t="str">
        <f t="shared" si="8"/>
        <v/>
      </c>
      <c r="BE7" s="164" t="str">
        <f t="shared" ref="BE7:BE40" si="20">IF(OR(AI7="",AY7="",AI7=0),"", AY7/AI7)</f>
        <v/>
      </c>
      <c r="BF7" s="164" t="str">
        <f t="shared" si="10"/>
        <v/>
      </c>
      <c r="BG7" s="164" t="str">
        <f t="shared" si="11"/>
        <v/>
      </c>
      <c r="BH7" s="164" t="str">
        <f t="shared" si="12"/>
        <v/>
      </c>
      <c r="BI7" s="13"/>
      <c r="BJ7" s="180" t="str">
        <f t="shared" si="13"/>
        <v/>
      </c>
      <c r="BK7" s="180" t="str">
        <f t="shared" si="14"/>
        <v/>
      </c>
      <c r="BL7" s="180" t="str">
        <f>IF(OR($BJ7="",$BK7=""),"",$BJ7+$BK7)</f>
        <v/>
      </c>
      <c r="BM7" s="5"/>
      <c r="BN7" s="180" t="str">
        <f t="shared" si="15"/>
        <v/>
      </c>
      <c r="BO7" s="180" t="str">
        <f>IF(OR($AD7="",$AF7="",AND($S7="",ISBLANK($T7)),AND($U7="",ISBLANK($V7))),"",($AD7*(IF(ISBLANK($T7),$S7,$T7)*GalTokWh))-($AE7*IF(ISBLANK($V7),$U7,$V7)*(1+$AF7)))</f>
        <v/>
      </c>
      <c r="BP7" s="180" t="str">
        <f>IF(OR($BN7="",$BO7=""),"",$BN7+$BO7)</f>
        <v/>
      </c>
      <c r="BQ7" s="5"/>
    </row>
    <row r="8" spans="1:69">
      <c r="A8" s="105"/>
      <c r="B8" s="105"/>
      <c r="C8" s="105"/>
      <c r="D8" s="106"/>
      <c r="E8" s="411"/>
      <c r="F8" s="105"/>
      <c r="G8" s="370" t="s">
        <v>205</v>
      </c>
      <c r="H8" s="102" t="str">
        <f>IF(OR(ISBLANK($B8),ISBLANK($C8)),"",ROUND(INDEX('TRU Ops &amp; Costs'!$D$4:$D$74,MATCH($B8&amp;$C8,'TRU Ops &amp; Costs'!$P$4:$P$74,0))/IF($G8="hp",0.7457,1),0))</f>
        <v/>
      </c>
      <c r="I8" s="280"/>
      <c r="J8" s="282" t="str">
        <f>IF(OR(ISBLANK($B8),ISBLANK($C8)),"",INDEX('TRU Ops &amp; Costs'!$E$4:$E$74,MATCH($B8&amp;$C8,'TRU Ops &amp; Costs'!$P$4:$P$74,0)))</f>
        <v/>
      </c>
      <c r="K8" s="284"/>
      <c r="L8" s="102" t="str">
        <f>IF(OR(ISBLANK($B8),ISBLANK($C8)),"",INDEX('TRU Ops &amp; Costs'!$F$4:$F$74,MATCH($B8&amp;$C8,'TRU Ops &amp; Costs'!$P$4:$P$74,0)))</f>
        <v/>
      </c>
      <c r="M8" s="280"/>
      <c r="N8" s="110" t="str">
        <f>IF(OR(ISBLANK($B8),ISBLANK($C8)),"",INDEX('TRU Ops &amp; Costs'!$G$4:$G$74,MATCH($B8&amp;$C8,'TRU Ops &amp; Costs'!$P$4:$P$74,0)))</f>
        <v/>
      </c>
      <c r="O8" s="102" t="str">
        <f t="shared" si="0"/>
        <v/>
      </c>
      <c r="P8" s="280"/>
      <c r="Q8" s="282" t="str">
        <f t="shared" si="16"/>
        <v/>
      </c>
      <c r="R8" s="284"/>
      <c r="S8" s="322" t="str">
        <f>IF(ISBLANK($F8),"",IFERROR(INDEX('Diesel Fuel Prices'!$D$5:$D$31,MATCH($F8,'Diesel Fuel Prices'!$B$5:$B$31,0)),INDEX('Diesel Fuel Prices'!$D$5:$D$31,MATCH("U.S. Average",'Diesel Fuel Prices'!$B$5:$B$31,0)))*References!$B$38/References!$B$37)</f>
        <v/>
      </c>
      <c r="T8" s="290"/>
      <c r="U8" s="322" t="str">
        <f>IF(ISBLANK($F8),"",IFERROR(INDEX('Electricity Prices'!$F$4:$F$30,MATCH($F8,'Electricity Prices'!$B$4:$B$30,0)),INDEX('Electricity Prices'!$F$4:$F$30,MATCH("All U.S.",'Electricity Prices'!$B$4:$B$30,0)))*References!$B$38/References!$B$37)</f>
        <v/>
      </c>
      <c r="V8" s="290"/>
      <c r="W8" s="293" t="str">
        <f>IF(OR(ISBLANK($B8),ISBLANK($C8)),"",INDEX('TRU Ops &amp; Costs'!$I$4:$I$74,MATCH($B8&amp;$C8,'TRU Ops &amp; Costs'!$P$4:$P$74,0)))</f>
        <v/>
      </c>
      <c r="X8" s="295"/>
      <c r="Y8" s="293" t="str">
        <f>IFERROR(IF(AND(ISBLANK(Q8),ISBLANK(R8)),"",IF(OR(ISBLANK($B8),ISBLANK($C8)),"",(IF(E8="Yard",INDEX('TRU Ops &amp; Costs'!$J$4:$J$74,MATCH($B8&amp;$C8,'TRU Ops &amp; Costs'!$P$4:$P$74,0)),INDEX('TRU Ops &amp; Costs'!$K$4:$K$74,MATCH($B8&amp;$C8,'TRU Ops &amp; Costs'!$P$4:$P$74,0)))))/(IF(ISBLANK(R8),Q8,R8))),"")</f>
        <v/>
      </c>
      <c r="Z8" s="295"/>
      <c r="AA8" s="293" t="str">
        <f>IF(OR(ISBLANK($B8),ISBLANK($C8),AND($O8="",ISBLANK($P8))),"",IF(ISBLANK($P8),$O8,$P8)*INDEX('TRU Ops &amp; Costs'!$M$4:$M$74,MATCH($B8&amp;$C8,'TRU Ops &amp; Costs'!$P$4:$P$74,0))*-INDEX('TRU Ops &amp; Costs'!$L$4:$L$74,MATCH($B8&amp;$C8,'TRU Ops &amp; Costs'!$P$4:$P$74,0)))</f>
        <v/>
      </c>
      <c r="AB8" s="185"/>
      <c r="AC8" s="13"/>
      <c r="AD8" s="128" t="str">
        <f t="shared" si="1"/>
        <v/>
      </c>
      <c r="AE8" s="128" t="str">
        <f t="shared" si="2"/>
        <v/>
      </c>
      <c r="AF8" s="168" t="str">
        <f>IF(ISBLANK($F8),"",INDEX('eGRID2018 Subregion'!$J$7:$J$35,MATCH($F8,RegionUSER,0)))</f>
        <v/>
      </c>
      <c r="AG8" s="13"/>
      <c r="AH8" s="203" t="str">
        <f>IF(OR(ISBLANK($B8),ISBLANK($C8),$AD8=""),"",ROUND($AD8*INDEX('Diesel TRU Emission Factors'!$D$6:$D$76,MATCH($B8&amp;$C8,'Diesel TRU Emission Factors'!$R$6:$R$77,0))*GramsToMT,4))</f>
        <v/>
      </c>
      <c r="AI8" s="203" t="str">
        <f>IF(OR(ISBLANK($B8),ISBLANK($C8),$AD8=""),"",ROUND($AD8*INDEX('Diesel TRU Emission Factors'!$E$6:$E$76,MATCH($B8&amp;$C8,'Diesel TRU Emission Factors'!$R$6:$R$77,0))*GramsToMT,4))</f>
        <v/>
      </c>
      <c r="AJ8" s="203" t="str">
        <f>IF(OR(ISBLANK($B8),ISBLANK($C8),$AD8=""),"",ROUND($AD8*INDEX('Diesel TRU Emission Factors'!$H$6:$H$76,MATCH($B8&amp;$C8,'Diesel TRU Emission Factors'!$R$6:$R$77,0))*GramsToMT,4))</f>
        <v/>
      </c>
      <c r="AK8" s="205" t="str">
        <f>IF(OR(ISBLANK($B8),ISBLANK($C8),$AD8=""),"",ROUND($AD8*INDEX('Diesel TRU Emission Factors'!$F$6:$F$76,MATCH($B8&amp;$C8,'Diesel TRU Emission Factors'!$R$6:$R$77,0))*GramsToMT,1))</f>
        <v/>
      </c>
      <c r="AL8" s="196" t="str">
        <f>IF(OR(ISBLANK($B8),ISBLANK($C8),$AD8=""),"",$AD8*INDEX('Diesel TRU Emission Factors'!$G$6:$G$76,MATCH($B8&amp;$C8,'Diesel TRU Emission Factors'!$R$6:$R$77,0))*GramsToMT)</f>
        <v/>
      </c>
      <c r="AM8" s="197" t="str">
        <f>IF(ISBLANK(F8),"",AD8*GalTokWh*'Diesel TRU Emission Factors'!$P$4/1000000)</f>
        <v/>
      </c>
      <c r="AN8" s="207" t="str">
        <f>IF(ISBLANK($F8),"",ROUND(AK8*References!$B$28+AL8*References!$B$29+AM8*References!$B$30,1))</f>
        <v/>
      </c>
      <c r="AO8" s="113"/>
      <c r="AP8" s="203" t="str">
        <f>IF(OR(ISBLANK($F8),$AE8="",$AF8=""),"",ROUND($AE8*(1+$AF8)*INDEX('eGRID2018 Subregion'!$C$7:$C$35,MATCH($F8,RegionUSER,0))*GramsToMT,4))</f>
        <v/>
      </c>
      <c r="AQ8" s="203" t="str">
        <f>IF(OR(ISBLANK($F8),$AE8="",$AF8=""),"",ROUND($AE8*(1+$AF8)*INDEX('eGRID2018 Subregion'!$D$7:$D$35,MATCH($F8,RegionUSER,0))*GramsToMT,4))</f>
        <v/>
      </c>
      <c r="AR8" s="203" t="str">
        <f>IF(OR(ISBLANK($F8),$AE8="",$AF8=""),"",ROUND($AE8*(1+$AF8)*INDEX('eGRID2018 Subregion'!$I$7:$I$35,MATCH($F8,RegionUSER,0))*GramsToMT,4))</f>
        <v/>
      </c>
      <c r="AS8" s="205" t="str">
        <f>IF(OR(ISBLANK($F8),$AE8="",$AF8=""),"",ROUND($AE8*(1+$AF8)*INDEX('eGRID2018 Subregion'!$E$7:$E$35,MATCH($F8,RegionUSER,0))*GramsToMT,1))</f>
        <v/>
      </c>
      <c r="AT8" s="196" t="str">
        <f>IF(OR(ISBLANK($F8),$AE8="",$AF8=""),"",$AE8*(1+$AF8)*INDEX('eGRID2018 Subregion'!$F$7:$F$35,MATCH($F8,RegionUSER,0))*GramsToMT)</f>
        <v/>
      </c>
      <c r="AU8" s="196" t="str">
        <f>IF(OR(ISBLANK($F8),$AE8="",$AF8=""),"",$AE8*(1+$AF8)*INDEX('eGRID2018 Subregion'!$G$7:$G$35,MATCH($F8,RegionUSER,0))*GramsToMT)</f>
        <v/>
      </c>
      <c r="AV8" s="207" t="str">
        <f>IF(ISBLANK($F8),"",ROUND(AS8*References!$B$28+AT8*References!$B$29+AU8*References!$B$30,1))</f>
        <v/>
      </c>
      <c r="AW8" s="5"/>
      <c r="AX8" s="203" t="str">
        <f t="shared" si="3"/>
        <v/>
      </c>
      <c r="AY8" s="203" t="str">
        <f t="shared" si="4"/>
        <v/>
      </c>
      <c r="AZ8" s="203" t="str">
        <f t="shared" si="5"/>
        <v/>
      </c>
      <c r="BA8" s="205" t="str">
        <f t="shared" si="6"/>
        <v/>
      </c>
      <c r="BB8" s="205" t="str">
        <f t="shared" si="7"/>
        <v/>
      </c>
      <c r="BC8" s="1"/>
      <c r="BD8" s="165" t="str">
        <f t="shared" si="8"/>
        <v/>
      </c>
      <c r="BE8" s="165" t="str">
        <f t="shared" si="20"/>
        <v/>
      </c>
      <c r="BF8" s="165" t="str">
        <f t="shared" si="10"/>
        <v/>
      </c>
      <c r="BG8" s="165" t="str">
        <f t="shared" si="11"/>
        <v/>
      </c>
      <c r="BH8" s="165" t="str">
        <f t="shared" si="12"/>
        <v/>
      </c>
      <c r="BI8" s="13"/>
      <c r="BJ8" s="179" t="str">
        <f t="shared" si="13"/>
        <v/>
      </c>
      <c r="BK8" s="179" t="str">
        <f t="shared" si="14"/>
        <v/>
      </c>
      <c r="BL8" s="179" t="str">
        <f t="shared" si="17"/>
        <v/>
      </c>
      <c r="BM8" s="5"/>
      <c r="BN8" s="179" t="str">
        <f t="shared" si="15"/>
        <v/>
      </c>
      <c r="BO8" s="179" t="str">
        <f t="shared" si="18"/>
        <v/>
      </c>
      <c r="BP8" s="179" t="str">
        <f t="shared" si="19"/>
        <v/>
      </c>
      <c r="BQ8" s="5"/>
    </row>
    <row r="9" spans="1:69">
      <c r="A9" s="103"/>
      <c r="B9" s="103"/>
      <c r="C9" s="103"/>
      <c r="D9" s="104"/>
      <c r="E9" s="410"/>
      <c r="F9" s="103"/>
      <c r="G9" s="371" t="s">
        <v>205</v>
      </c>
      <c r="H9" s="102" t="str">
        <f>IF(OR(ISBLANK($B9),ISBLANK($C9)),"",ROUND(INDEX('TRU Ops &amp; Costs'!$D$4:$D$74,MATCH($B9&amp;$C9,'TRU Ops &amp; Costs'!$P$4:$P$74,0))/IF($G9="hp",0.7457,1),0))</f>
        <v/>
      </c>
      <c r="I9" s="281"/>
      <c r="J9" s="282" t="str">
        <f>IF(OR(ISBLANK($B9),ISBLANK($C9)),"",INDEX('TRU Ops &amp; Costs'!$E$4:$E$74,MATCH($B9&amp;$C9,'TRU Ops &amp; Costs'!$P$4:$P$74,0)))</f>
        <v/>
      </c>
      <c r="K9" s="285"/>
      <c r="L9" s="102" t="str">
        <f>IF(OR(ISBLANK($B9),ISBLANK($C9)),"",INDEX('TRU Ops &amp; Costs'!$F$4:$F$74,MATCH($B9&amp;$C9,'TRU Ops &amp; Costs'!$P$4:$P$74,0)))</f>
        <v/>
      </c>
      <c r="M9" s="281"/>
      <c r="N9" s="110" t="str">
        <f>IF(OR(ISBLANK($B9),ISBLANK($C9)),"",INDEX('TRU Ops &amp; Costs'!$G$4:$G$74,MATCH($B9&amp;$C9,'TRU Ops &amp; Costs'!$P$4:$P$74,0)))</f>
        <v/>
      </c>
      <c r="O9" s="102" t="str">
        <f t="shared" si="0"/>
        <v/>
      </c>
      <c r="P9" s="281"/>
      <c r="Q9" s="282" t="str">
        <f t="shared" si="16"/>
        <v/>
      </c>
      <c r="R9" s="285"/>
      <c r="S9" s="322" t="str">
        <f>IF(ISBLANK($F9),"",IFERROR(INDEX('Diesel Fuel Prices'!$D$5:$D$31,MATCH($F9,'Diesel Fuel Prices'!$B$5:$B$31,0)),INDEX('Diesel Fuel Prices'!$D$5:$D$31,MATCH("U.S. Average",'Diesel Fuel Prices'!$B$5:$B$31,0)))*References!$B$38/References!$B$37)</f>
        <v/>
      </c>
      <c r="T9" s="291"/>
      <c r="U9" s="322" t="str">
        <f>IF(ISBLANK($F9),"",IFERROR(INDEX('Electricity Prices'!$F$4:$F$30,MATCH($F9,'Electricity Prices'!$B$4:$B$30,0)),INDEX('Electricity Prices'!$F$4:$F$30,MATCH("All U.S.",'Electricity Prices'!$B$4:$B$30,0)))*References!$B$38/References!$B$37)</f>
        <v/>
      </c>
      <c r="V9" s="291"/>
      <c r="W9" s="293" t="str">
        <f>IF(OR(ISBLANK($B9),ISBLANK($C9)),"",INDEX('TRU Ops &amp; Costs'!$I$4:$I$74,MATCH($B9&amp;$C9,'TRU Ops &amp; Costs'!$P$4:$P$74,0)))</f>
        <v/>
      </c>
      <c r="X9" s="296"/>
      <c r="Y9" s="293" t="str">
        <f>IFERROR(IF(AND(ISBLANK(Q9),ISBLANK(R9)),"",IF(OR(ISBLANK($B9),ISBLANK($C9)),"",(IF(E9="Yard",INDEX('TRU Ops &amp; Costs'!$J$4:$J$74,MATCH($B9&amp;$C9,'TRU Ops &amp; Costs'!$P$4:$P$74,0)),INDEX('TRU Ops &amp; Costs'!$K$4:$K$74,MATCH($B9&amp;$C9,'TRU Ops &amp; Costs'!$P$4:$P$74,0)))))/(IF(ISBLANK(R9),Q9,R9))),"")</f>
        <v/>
      </c>
      <c r="Z9" s="296"/>
      <c r="AA9" s="293" t="str">
        <f>IF(OR(ISBLANK($B9),ISBLANK($C9),AND($O9="",ISBLANK($P9))),"",IF(ISBLANK($P9),$O9,$P9)*INDEX('TRU Ops &amp; Costs'!$M$4:$M$74,MATCH($B9&amp;$C9,'TRU Ops &amp; Costs'!$P$4:$P$74,0))*-INDEX('TRU Ops &amp; Costs'!$L$4:$L$74,MATCH($B9&amp;$C9,'TRU Ops &amp; Costs'!$P$4:$P$74,0)))</f>
        <v/>
      </c>
      <c r="AB9" s="186"/>
      <c r="AC9" s="13"/>
      <c r="AD9" s="127" t="str">
        <f t="shared" si="1"/>
        <v/>
      </c>
      <c r="AE9" s="127" t="str">
        <f t="shared" si="2"/>
        <v/>
      </c>
      <c r="AF9" s="167" t="str">
        <f>IF(ISBLANK($F9),"",INDEX('eGRID2018 Subregion'!$J$7:$J$35,MATCH($F9,RegionUSER,0)))</f>
        <v/>
      </c>
      <c r="AG9" s="13"/>
      <c r="AH9" s="202" t="str">
        <f>IF(OR(ISBLANK($B9),ISBLANK($C9),$AD9=""),"",ROUND($AD9*INDEX('Diesel TRU Emission Factors'!$D$6:$D$76,MATCH($B9&amp;$C9,'Diesel TRU Emission Factors'!$R$6:$R$77,0))*GramsToMT,4))</f>
        <v/>
      </c>
      <c r="AI9" s="202" t="str">
        <f>IF(OR(ISBLANK($B9),ISBLANK($C9),$AD9=""),"",ROUND($AD9*INDEX('Diesel TRU Emission Factors'!$E$6:$E$76,MATCH($B9&amp;$C9,'Diesel TRU Emission Factors'!$R$6:$R$77,0))*GramsToMT,4))</f>
        <v/>
      </c>
      <c r="AJ9" s="202" t="str">
        <f>IF(OR(ISBLANK($B9),ISBLANK($C9),$AD9=""),"",ROUND($AD9*INDEX('Diesel TRU Emission Factors'!$H$6:$H$76,MATCH($B9&amp;$C9,'Diesel TRU Emission Factors'!$R$6:$R$77,0))*GramsToMT,4))</f>
        <v/>
      </c>
      <c r="AK9" s="204" t="str">
        <f>IF(OR(ISBLANK($B9),ISBLANK($C9),$AD9=""),"",ROUND($AD9*INDEX('Diesel TRU Emission Factors'!$F$6:$F$76,MATCH($B9&amp;$C9,'Diesel TRU Emission Factors'!$R$6:$R$77,0))*GramsToMT,1))</f>
        <v/>
      </c>
      <c r="AL9" s="194" t="str">
        <f>IF(OR(ISBLANK($B9),ISBLANK($C9),$AD9=""),"",$AD9*INDEX('Diesel TRU Emission Factors'!$G$6:$G$76,MATCH($B9&amp;$C9,'Diesel TRU Emission Factors'!$R$6:$R$77,0))*GramsToMT)</f>
        <v/>
      </c>
      <c r="AM9" s="195" t="str">
        <f>IF(ISBLANK(F9),"",AD9*GalTokWh*'Diesel TRU Emission Factors'!$P$4/1000000)</f>
        <v/>
      </c>
      <c r="AN9" s="206" t="str">
        <f>IF(ISBLANK($F9),"",ROUND(AK9*References!$B$28+AL9*References!$B$29+AM9*References!$B$30,1))</f>
        <v/>
      </c>
      <c r="AO9" s="113"/>
      <c r="AP9" s="202" t="str">
        <f>IF(OR(ISBLANK($F9),$AE9="",$AF9=""),"",ROUND($AE9*(1+$AF9)*INDEX('eGRID2018 Subregion'!$C$7:$C$35,MATCH($F9,RegionUSER,0))*GramsToMT,4))</f>
        <v/>
      </c>
      <c r="AQ9" s="202" t="str">
        <f>IF(OR(ISBLANK($F9),$AE9="",$AF9=""),"",ROUND($AE9*(1+$AF9)*INDEX('eGRID2018 Subregion'!$D$7:$D$35,MATCH($F9,RegionUSER,0))*GramsToMT,4))</f>
        <v/>
      </c>
      <c r="AR9" s="202" t="str">
        <f>IF(OR(ISBLANK($F9),$AE9="",$AF9=""),"",ROUND($AE9*(1+$AF9)*INDEX('eGRID2018 Subregion'!$I$7:$I$35,MATCH($F9,RegionUSER,0))*GramsToMT,4))</f>
        <v/>
      </c>
      <c r="AS9" s="204" t="str">
        <f>IF(OR(ISBLANK($F9),$AE9="",$AF9=""),"",ROUND($AE9*(1+$AF9)*INDEX('eGRID2018 Subregion'!$E$7:$E$35,MATCH($F9,RegionUSER,0))*GramsToMT,1))</f>
        <v/>
      </c>
      <c r="AT9" s="194" t="str">
        <f>IF(OR(ISBLANK($F9),$AE9="",$AF9=""),"",$AE9*(1+$AF9)*INDEX('eGRID2018 Subregion'!$F$7:$F$35,MATCH($F9,RegionUSER,0))*GramsToMT)</f>
        <v/>
      </c>
      <c r="AU9" s="194" t="str">
        <f>IF(OR(ISBLANK($F9),$AE9="",$AF9=""),"",$AE9*(1+$AF9)*INDEX('eGRID2018 Subregion'!$G$7:$G$35,MATCH($F9,RegionUSER,0))*GramsToMT)</f>
        <v/>
      </c>
      <c r="AV9" s="206" t="str">
        <f>IF(ISBLANK($F9),"",ROUND(AS9*References!$B$28+AT9*References!$B$29+AU9*References!$B$30,1))</f>
        <v/>
      </c>
      <c r="AW9" s="5"/>
      <c r="AX9" s="202" t="str">
        <f t="shared" si="3"/>
        <v/>
      </c>
      <c r="AY9" s="202" t="str">
        <f t="shared" si="4"/>
        <v/>
      </c>
      <c r="AZ9" s="202" t="str">
        <f t="shared" si="5"/>
        <v/>
      </c>
      <c r="BA9" s="204" t="str">
        <f t="shared" si="6"/>
        <v/>
      </c>
      <c r="BB9" s="204" t="str">
        <f t="shared" si="7"/>
        <v/>
      </c>
      <c r="BC9" s="1"/>
      <c r="BD9" s="164" t="str">
        <f t="shared" si="8"/>
        <v/>
      </c>
      <c r="BE9" s="164" t="str">
        <f t="shared" si="20"/>
        <v/>
      </c>
      <c r="BF9" s="164" t="str">
        <f t="shared" si="10"/>
        <v/>
      </c>
      <c r="BG9" s="164" t="str">
        <f t="shared" si="11"/>
        <v/>
      </c>
      <c r="BH9" s="164" t="str">
        <f t="shared" si="12"/>
        <v/>
      </c>
      <c r="BI9" s="13"/>
      <c r="BJ9" s="180" t="str">
        <f t="shared" si="13"/>
        <v/>
      </c>
      <c r="BK9" s="180" t="str">
        <f t="shared" si="14"/>
        <v/>
      </c>
      <c r="BL9" s="180" t="str">
        <f>IF(OR($BJ9="",$BK9=""),"",$BJ9+$BK9)</f>
        <v/>
      </c>
      <c r="BM9" s="5"/>
      <c r="BN9" s="180" t="str">
        <f t="shared" si="15"/>
        <v/>
      </c>
      <c r="BO9" s="180" t="str">
        <f>IF(OR($AD9="",$AF9="",AND($S9="",ISBLANK($T9)),AND($U9="",ISBLANK($V9))),"",($AD9*(IF(ISBLANK($T9),$S9,$T9)*GalTokWh))-($AE9*IF(ISBLANK($V9),$U9,$V9)*(1+$AF9)))</f>
        <v/>
      </c>
      <c r="BP9" s="180" t="str">
        <f>IF(OR($BN9="",$BO9=""),"",$BN9+$BO9)</f>
        <v/>
      </c>
      <c r="BQ9" s="5"/>
    </row>
    <row r="10" spans="1:69">
      <c r="A10" s="105"/>
      <c r="B10" s="105"/>
      <c r="C10" s="105"/>
      <c r="D10" s="106"/>
      <c r="E10" s="411"/>
      <c r="F10" s="105"/>
      <c r="G10" s="370" t="s">
        <v>205</v>
      </c>
      <c r="H10" s="102" t="str">
        <f>IF(OR(ISBLANK($B10),ISBLANK($C10)),"",ROUND(INDEX('TRU Ops &amp; Costs'!$D$4:$D$74,MATCH($B10&amp;$C10,'TRU Ops &amp; Costs'!$P$4:$P$74,0))/IF($G10="hp",0.7457,1),0))</f>
        <v/>
      </c>
      <c r="I10" s="280"/>
      <c r="J10" s="282" t="str">
        <f>IF(OR(ISBLANK($B10),ISBLANK($C10)),"",INDEX('TRU Ops &amp; Costs'!$E$4:$E$74,MATCH($B10&amp;$C10,'TRU Ops &amp; Costs'!$P$4:$P$74,0)))</f>
        <v/>
      </c>
      <c r="K10" s="284"/>
      <c r="L10" s="102" t="str">
        <f>IF(OR(ISBLANK($B10),ISBLANK($C10)),"",INDEX('TRU Ops &amp; Costs'!$F$4:$F$74,MATCH($B10&amp;$C10,'TRU Ops &amp; Costs'!$P$4:$P$74,0)))</f>
        <v/>
      </c>
      <c r="M10" s="280"/>
      <c r="N10" s="110" t="str">
        <f>IF(OR(ISBLANK($B10),ISBLANK($C10)),"",INDEX('TRU Ops &amp; Costs'!$G$4:$G$74,MATCH($B10&amp;$C10,'TRU Ops &amp; Costs'!$P$4:$P$74,0)))</f>
        <v/>
      </c>
      <c r="O10" s="102" t="str">
        <f t="shared" si="0"/>
        <v/>
      </c>
      <c r="P10" s="280"/>
      <c r="Q10" s="282" t="str">
        <f t="shared" si="16"/>
        <v/>
      </c>
      <c r="R10" s="284"/>
      <c r="S10" s="322" t="str">
        <f>IF(ISBLANK($F10),"",IFERROR(INDEX('Diesel Fuel Prices'!$D$5:$D$31,MATCH($F10,'Diesel Fuel Prices'!$B$5:$B$31,0)),INDEX('Diesel Fuel Prices'!$D$5:$D$31,MATCH("U.S. Average",'Diesel Fuel Prices'!$B$5:$B$31,0)))*References!$B$38/References!$B$37)</f>
        <v/>
      </c>
      <c r="T10" s="290"/>
      <c r="U10" s="322" t="str">
        <f>IF(ISBLANK($F10),"",IFERROR(INDEX('Electricity Prices'!$F$4:$F$30,MATCH($F10,'Electricity Prices'!$B$4:$B$30,0)),INDEX('Electricity Prices'!$F$4:$F$30,MATCH("All U.S.",'Electricity Prices'!$B$4:$B$30,0)))*References!$B$38/References!$B$37)</f>
        <v/>
      </c>
      <c r="V10" s="290"/>
      <c r="W10" s="293" t="str">
        <f>IF(OR(ISBLANK($B10),ISBLANK($C10)),"",INDEX('TRU Ops &amp; Costs'!$I$4:$I$74,MATCH($B10&amp;$C10,'TRU Ops &amp; Costs'!$P$4:$P$74,0)))</f>
        <v/>
      </c>
      <c r="X10" s="295"/>
      <c r="Y10" s="293" t="str">
        <f>IFERROR(IF(AND(ISBLANK(Q10),ISBLANK(R10)),"",IF(OR(ISBLANK($B10),ISBLANK($C10)),"",(IF(E10="Yard",INDEX('TRU Ops &amp; Costs'!$J$4:$J$74,MATCH($B10&amp;$C10,'TRU Ops &amp; Costs'!$P$4:$P$74,0)),INDEX('TRU Ops &amp; Costs'!$K$4:$K$74,MATCH($B10&amp;$C10,'TRU Ops &amp; Costs'!$P$4:$P$74,0)))))/(IF(ISBLANK(R10),Q10,R10))),"")</f>
        <v/>
      </c>
      <c r="Z10" s="295"/>
      <c r="AA10" s="293" t="str">
        <f>IF(OR(ISBLANK($B10),ISBLANK($C10),AND($O10="",ISBLANK($P10))),"",IF(ISBLANK($P10),$O10,$P10)*INDEX('TRU Ops &amp; Costs'!$M$4:$M$74,MATCH($B10&amp;$C10,'TRU Ops &amp; Costs'!$P$4:$P$74,0))*-INDEX('TRU Ops &amp; Costs'!$L$4:$L$74,MATCH($B10&amp;$C10,'TRU Ops &amp; Costs'!$P$4:$P$74,0)))</f>
        <v/>
      </c>
      <c r="AB10" s="185"/>
      <c r="AC10" s="13"/>
      <c r="AD10" s="128" t="str">
        <f t="shared" si="1"/>
        <v/>
      </c>
      <c r="AE10" s="128" t="str">
        <f t="shared" si="2"/>
        <v/>
      </c>
      <c r="AF10" s="168" t="str">
        <f>IF(ISBLANK($F10),"",INDEX('eGRID2018 Subregion'!$J$7:$J$35,MATCH($F10,RegionUSER,0)))</f>
        <v/>
      </c>
      <c r="AG10" s="13"/>
      <c r="AH10" s="203" t="str">
        <f>IF(OR(ISBLANK($B10),ISBLANK($C10),$AD10=""),"",ROUND($AD10*INDEX('Diesel TRU Emission Factors'!$D$6:$D$76,MATCH($B10&amp;$C10,'Diesel TRU Emission Factors'!$R$6:$R$77,0))*GramsToMT,4))</f>
        <v/>
      </c>
      <c r="AI10" s="203" t="str">
        <f>IF(OR(ISBLANK($B10),ISBLANK($C10),$AD10=""),"",ROUND($AD10*INDEX('Diesel TRU Emission Factors'!$E$6:$E$76,MATCH($B10&amp;$C10,'Diesel TRU Emission Factors'!$R$6:$R$77,0))*GramsToMT,4))</f>
        <v/>
      </c>
      <c r="AJ10" s="203" t="str">
        <f>IF(OR(ISBLANK($B10),ISBLANK($C10),$AD10=""),"",ROUND($AD10*INDEX('Diesel TRU Emission Factors'!$H$6:$H$76,MATCH($B10&amp;$C10,'Diesel TRU Emission Factors'!$R$6:$R$77,0))*GramsToMT,4))</f>
        <v/>
      </c>
      <c r="AK10" s="205" t="str">
        <f>IF(OR(ISBLANK($B10),ISBLANK($C10),$AD10=""),"",ROUND($AD10*INDEX('Diesel TRU Emission Factors'!$F$6:$F$76,MATCH($B10&amp;$C10,'Diesel TRU Emission Factors'!$R$6:$R$77,0))*GramsToMT,1))</f>
        <v/>
      </c>
      <c r="AL10" s="196" t="str">
        <f>IF(OR(ISBLANK($B10),ISBLANK($C10),$AD10=""),"",$AD10*INDEX('Diesel TRU Emission Factors'!$G$6:$G$76,MATCH($B10&amp;$C10,'Diesel TRU Emission Factors'!$R$6:$R$77,0))*GramsToMT)</f>
        <v/>
      </c>
      <c r="AM10" s="197" t="str">
        <f>IF(ISBLANK(F10),"",AD10*GalTokWh*'Diesel TRU Emission Factors'!$P$4/1000000)</f>
        <v/>
      </c>
      <c r="AN10" s="207" t="str">
        <f>IF(ISBLANK($F10),"",ROUND(AK10*References!$B$28+AL10*References!$B$29+AM10*References!$B$30,1))</f>
        <v/>
      </c>
      <c r="AO10" s="113"/>
      <c r="AP10" s="203" t="str">
        <f>IF(OR(ISBLANK($F10),$AE10="",$AF10=""),"",ROUND($AE10*(1+$AF10)*INDEX('eGRID2018 Subregion'!$C$7:$C$35,MATCH($F10,RegionUSER,0))*GramsToMT,4))</f>
        <v/>
      </c>
      <c r="AQ10" s="203" t="str">
        <f>IF(OR(ISBLANK($F10),$AE10="",$AF10=""),"",ROUND($AE10*(1+$AF10)*INDEX('eGRID2018 Subregion'!$D$7:$D$35,MATCH($F10,RegionUSER,0))*GramsToMT,4))</f>
        <v/>
      </c>
      <c r="AR10" s="203" t="str">
        <f>IF(OR(ISBLANK($F10),$AE10="",$AF10=""),"",ROUND($AE10*(1+$AF10)*INDEX('eGRID2018 Subregion'!$I$7:$I$35,MATCH($F10,RegionUSER,0))*GramsToMT,4))</f>
        <v/>
      </c>
      <c r="AS10" s="205" t="str">
        <f>IF(OR(ISBLANK($F10),$AE10="",$AF10=""),"",ROUND($AE10*(1+$AF10)*INDEX('eGRID2018 Subregion'!$E$7:$E$35,MATCH($F10,RegionUSER,0))*GramsToMT,1))</f>
        <v/>
      </c>
      <c r="AT10" s="196" t="str">
        <f>IF(OR(ISBLANK($F10),$AE10="",$AF10=""),"",$AE10*(1+$AF10)*INDEX('eGRID2018 Subregion'!$F$7:$F$35,MATCH($F10,RegionUSER,0))*GramsToMT)</f>
        <v/>
      </c>
      <c r="AU10" s="196" t="str">
        <f>IF(OR(ISBLANK($F10),$AE10="",$AF10=""),"",$AE10*(1+$AF10)*INDEX('eGRID2018 Subregion'!$G$7:$G$35,MATCH($F10,RegionUSER,0))*GramsToMT)</f>
        <v/>
      </c>
      <c r="AV10" s="207" t="str">
        <f>IF(ISBLANK($F10),"",ROUND(AS10*References!$B$28+AT10*References!$B$29+AU10*References!$B$30,1))</f>
        <v/>
      </c>
      <c r="AW10" s="5"/>
      <c r="AX10" s="203" t="str">
        <f t="shared" si="3"/>
        <v/>
      </c>
      <c r="AY10" s="203" t="str">
        <f t="shared" si="4"/>
        <v/>
      </c>
      <c r="AZ10" s="203" t="str">
        <f t="shared" si="5"/>
        <v/>
      </c>
      <c r="BA10" s="205" t="str">
        <f t="shared" si="6"/>
        <v/>
      </c>
      <c r="BB10" s="205" t="str">
        <f t="shared" si="7"/>
        <v/>
      </c>
      <c r="BC10" s="1"/>
      <c r="BD10" s="165" t="str">
        <f t="shared" si="8"/>
        <v/>
      </c>
      <c r="BE10" s="165" t="str">
        <f t="shared" si="20"/>
        <v/>
      </c>
      <c r="BF10" s="165" t="str">
        <f t="shared" si="10"/>
        <v/>
      </c>
      <c r="BG10" s="165" t="str">
        <f t="shared" si="11"/>
        <v/>
      </c>
      <c r="BH10" s="165" t="str">
        <f t="shared" si="12"/>
        <v/>
      </c>
      <c r="BI10" s="13"/>
      <c r="BJ10" s="179" t="str">
        <f t="shared" si="13"/>
        <v/>
      </c>
      <c r="BK10" s="179" t="str">
        <f t="shared" si="14"/>
        <v/>
      </c>
      <c r="BL10" s="179" t="str">
        <f t="shared" si="17"/>
        <v/>
      </c>
      <c r="BM10" s="5"/>
      <c r="BN10" s="179" t="str">
        <f t="shared" si="15"/>
        <v/>
      </c>
      <c r="BO10" s="179" t="str">
        <f t="shared" si="18"/>
        <v/>
      </c>
      <c r="BP10" s="179" t="str">
        <f t="shared" si="19"/>
        <v/>
      </c>
      <c r="BQ10" s="5"/>
    </row>
    <row r="11" spans="1:69">
      <c r="A11" s="103"/>
      <c r="B11" s="103"/>
      <c r="C11" s="103"/>
      <c r="D11" s="104"/>
      <c r="E11" s="410"/>
      <c r="F11" s="103"/>
      <c r="G11" s="371" t="s">
        <v>205</v>
      </c>
      <c r="H11" s="102" t="str">
        <f>IF(OR(ISBLANK($B11),ISBLANK($C11)),"",ROUND(INDEX('TRU Ops &amp; Costs'!$D$4:$D$74,MATCH($B11&amp;$C11,'TRU Ops &amp; Costs'!$P$4:$P$74,0))/IF($G11="hp",0.7457,1),0))</f>
        <v/>
      </c>
      <c r="I11" s="281"/>
      <c r="J11" s="282" t="str">
        <f>IF(OR(ISBLANK($B11),ISBLANK($C11)),"",INDEX('TRU Ops &amp; Costs'!$E$4:$E$74,MATCH($B11&amp;$C11,'TRU Ops &amp; Costs'!$P$4:$P$74,0)))</f>
        <v/>
      </c>
      <c r="K11" s="285"/>
      <c r="L11" s="102" t="str">
        <f>IF(OR(ISBLANK($B11),ISBLANK($C11)),"",INDEX('TRU Ops &amp; Costs'!$F$4:$F$74,MATCH($B11&amp;$C11,'TRU Ops &amp; Costs'!$P$4:$P$74,0)))</f>
        <v/>
      </c>
      <c r="M11" s="281"/>
      <c r="N11" s="110" t="str">
        <f>IF(OR(ISBLANK($B11),ISBLANK($C11)),"",INDEX('TRU Ops &amp; Costs'!$G$4:$G$74,MATCH($B11&amp;$C11,'TRU Ops &amp; Costs'!$P$4:$P$74,0)))</f>
        <v/>
      </c>
      <c r="O11" s="102" t="str">
        <f t="shared" si="0"/>
        <v/>
      </c>
      <c r="P11" s="281"/>
      <c r="Q11" s="282" t="str">
        <f t="shared" si="16"/>
        <v/>
      </c>
      <c r="R11" s="285"/>
      <c r="S11" s="322" t="str">
        <f>IF(ISBLANK($F11),"",IFERROR(INDEX('Diesel Fuel Prices'!$D$5:$D$31,MATCH($F11,'Diesel Fuel Prices'!$B$5:$B$31,0)),INDEX('Diesel Fuel Prices'!$D$5:$D$31,MATCH("U.S. Average",'Diesel Fuel Prices'!$B$5:$B$31,0)))*References!$B$38/References!$B$37)</f>
        <v/>
      </c>
      <c r="T11" s="291"/>
      <c r="U11" s="322" t="str">
        <f>IF(ISBLANK($F11),"",IFERROR(INDEX('Electricity Prices'!$F$4:$F$30,MATCH($F11,'Electricity Prices'!$B$4:$B$30,0)),INDEX('Electricity Prices'!$F$4:$F$30,MATCH("All U.S.",'Electricity Prices'!$B$4:$B$30,0)))*References!$B$38/References!$B$37)</f>
        <v/>
      </c>
      <c r="V11" s="291"/>
      <c r="W11" s="293" t="str">
        <f>IF(OR(ISBLANK($B11),ISBLANK($C11)),"",INDEX('TRU Ops &amp; Costs'!$I$4:$I$74,MATCH($B11&amp;$C11,'TRU Ops &amp; Costs'!$P$4:$P$74,0)))</f>
        <v/>
      </c>
      <c r="X11" s="296"/>
      <c r="Y11" s="293" t="str">
        <f>IFERROR(IF(AND(ISBLANK(Q11),ISBLANK(R11)),"",IF(OR(ISBLANK($B11),ISBLANK($C11)),"",(IF(E11="Yard",INDEX('TRU Ops &amp; Costs'!$J$4:$J$74,MATCH($B11&amp;$C11,'TRU Ops &amp; Costs'!$P$4:$P$74,0)),INDEX('TRU Ops &amp; Costs'!$K$4:$K$74,MATCH($B11&amp;$C11,'TRU Ops &amp; Costs'!$P$4:$P$74,0)))))/(IF(ISBLANK(R11),Q11,R11))),"")</f>
        <v/>
      </c>
      <c r="Z11" s="296"/>
      <c r="AA11" s="293" t="str">
        <f>IF(OR(ISBLANK($B11),ISBLANK($C11),AND($O11="",ISBLANK($P11))),"",IF(ISBLANK($P11),$O11,$P11)*INDEX('TRU Ops &amp; Costs'!$M$4:$M$74,MATCH($B11&amp;$C11,'TRU Ops &amp; Costs'!$P$4:$P$74,0))*-INDEX('TRU Ops &amp; Costs'!$L$4:$L$74,MATCH($B11&amp;$C11,'TRU Ops &amp; Costs'!$P$4:$P$74,0)))</f>
        <v/>
      </c>
      <c r="AB11" s="186"/>
      <c r="AC11" s="13"/>
      <c r="AD11" s="127" t="str">
        <f t="shared" si="1"/>
        <v/>
      </c>
      <c r="AE11" s="127" t="str">
        <f t="shared" si="2"/>
        <v/>
      </c>
      <c r="AF11" s="167" t="str">
        <f>IF(ISBLANK($F11),"",INDEX('eGRID2018 Subregion'!$J$7:$J$35,MATCH($F11,RegionUSER,0)))</f>
        <v/>
      </c>
      <c r="AG11" s="13"/>
      <c r="AH11" s="202" t="str">
        <f>IF(OR(ISBLANK($B11),ISBLANK($C11),$AD11=""),"",ROUND($AD11*INDEX('Diesel TRU Emission Factors'!$D$6:$D$76,MATCH($B11&amp;$C11,'Diesel TRU Emission Factors'!$R$6:$R$77,0))*GramsToMT,4))</f>
        <v/>
      </c>
      <c r="AI11" s="202" t="str">
        <f>IF(OR(ISBLANK($B11),ISBLANK($C11),$AD11=""),"",ROUND($AD11*INDEX('Diesel TRU Emission Factors'!$E$6:$E$76,MATCH($B11&amp;$C11,'Diesel TRU Emission Factors'!$R$6:$R$77,0))*GramsToMT,4))</f>
        <v/>
      </c>
      <c r="AJ11" s="202" t="str">
        <f>IF(OR(ISBLANK($B11),ISBLANK($C11),$AD11=""),"",ROUND($AD11*INDEX('Diesel TRU Emission Factors'!$H$6:$H$76,MATCH($B11&amp;$C11,'Diesel TRU Emission Factors'!$R$6:$R$77,0))*GramsToMT,4))</f>
        <v/>
      </c>
      <c r="AK11" s="204" t="str">
        <f>IF(OR(ISBLANK($B11),ISBLANK($C11),$AD11=""),"",ROUND($AD11*INDEX('Diesel TRU Emission Factors'!$F$6:$F$76,MATCH($B11&amp;$C11,'Diesel TRU Emission Factors'!$R$6:$R$77,0))*GramsToMT,1))</f>
        <v/>
      </c>
      <c r="AL11" s="194" t="str">
        <f>IF(OR(ISBLANK($B11),ISBLANK($C11),$AD11=""),"",$AD11*INDEX('Diesel TRU Emission Factors'!$G$6:$G$76,MATCH($B11&amp;$C11,'Diesel TRU Emission Factors'!$R$6:$R$77,0))*GramsToMT)</f>
        <v/>
      </c>
      <c r="AM11" s="195" t="str">
        <f>IF(ISBLANK(F11),"",AD11*GalTokWh*'Diesel TRU Emission Factors'!$P$4/1000000)</f>
        <v/>
      </c>
      <c r="AN11" s="206" t="str">
        <f>IF(ISBLANK($F11),"",ROUND(AK11*References!$B$28+AL11*References!$B$29+AM11*References!$B$30,1))</f>
        <v/>
      </c>
      <c r="AO11" s="113"/>
      <c r="AP11" s="202" t="str">
        <f>IF(OR(ISBLANK($F11),$AE11="",$AF11=""),"",ROUND($AE11*(1+$AF11)*INDEX('eGRID2018 Subregion'!$C$7:$C$35,MATCH($F11,RegionUSER,0))*GramsToMT,4))</f>
        <v/>
      </c>
      <c r="AQ11" s="202" t="str">
        <f>IF(OR(ISBLANK($F11),$AE11="",$AF11=""),"",ROUND($AE11*(1+$AF11)*INDEX('eGRID2018 Subregion'!$D$7:$D$35,MATCH($F11,RegionUSER,0))*GramsToMT,4))</f>
        <v/>
      </c>
      <c r="AR11" s="202" t="str">
        <f>IF(OR(ISBLANK($F11),$AE11="",$AF11=""),"",ROUND($AE11*(1+$AF11)*INDEX('eGRID2018 Subregion'!$I$7:$I$35,MATCH($F11,RegionUSER,0))*GramsToMT,4))</f>
        <v/>
      </c>
      <c r="AS11" s="204" t="str">
        <f>IF(OR(ISBLANK($F11),$AE11="",$AF11=""),"",ROUND($AE11*(1+$AF11)*INDEX('eGRID2018 Subregion'!$E$7:$E$35,MATCH($F11,RegionUSER,0))*GramsToMT,1))</f>
        <v/>
      </c>
      <c r="AT11" s="194" t="str">
        <f>IF(OR(ISBLANK($F11),$AE11="",$AF11=""),"",$AE11*(1+$AF11)*INDEX('eGRID2018 Subregion'!$F$7:$F$35,MATCH($F11,RegionUSER,0))*GramsToMT)</f>
        <v/>
      </c>
      <c r="AU11" s="194" t="str">
        <f>IF(OR(ISBLANK($F11),$AE11="",$AF11=""),"",$AE11*(1+$AF11)*INDEX('eGRID2018 Subregion'!$G$7:$G$35,MATCH($F11,RegionUSER,0))*GramsToMT)</f>
        <v/>
      </c>
      <c r="AV11" s="206" t="str">
        <f>IF(ISBLANK($F11),"",ROUND(AS11*References!$B$28+AT11*References!$B$29+AU11*References!$B$30,1))</f>
        <v/>
      </c>
      <c r="AW11" s="5"/>
      <c r="AX11" s="202" t="str">
        <f t="shared" si="3"/>
        <v/>
      </c>
      <c r="AY11" s="202" t="str">
        <f t="shared" si="4"/>
        <v/>
      </c>
      <c r="AZ11" s="202" t="str">
        <f t="shared" si="5"/>
        <v/>
      </c>
      <c r="BA11" s="204" t="str">
        <f t="shared" si="6"/>
        <v/>
      </c>
      <c r="BB11" s="204" t="str">
        <f t="shared" si="7"/>
        <v/>
      </c>
      <c r="BC11" s="1"/>
      <c r="BD11" s="164" t="str">
        <f t="shared" si="8"/>
        <v/>
      </c>
      <c r="BE11" s="164" t="str">
        <f t="shared" si="20"/>
        <v/>
      </c>
      <c r="BF11" s="164" t="str">
        <f t="shared" si="10"/>
        <v/>
      </c>
      <c r="BG11" s="164" t="str">
        <f t="shared" si="11"/>
        <v/>
      </c>
      <c r="BH11" s="164" t="str">
        <f t="shared" si="12"/>
        <v/>
      </c>
      <c r="BI11" s="13"/>
      <c r="BJ11" s="180" t="str">
        <f t="shared" si="13"/>
        <v/>
      </c>
      <c r="BK11" s="180" t="str">
        <f t="shared" si="14"/>
        <v/>
      </c>
      <c r="BL11" s="180" t="str">
        <f>IF(OR($BJ11="",$BK11=""),"",$BJ11+$BK11)</f>
        <v/>
      </c>
      <c r="BM11" s="5"/>
      <c r="BN11" s="180" t="str">
        <f t="shared" si="15"/>
        <v/>
      </c>
      <c r="BO11" s="180" t="str">
        <f>IF(OR($AD11="",$AF11="",AND($S11="",ISBLANK($T11)),AND($U11="",ISBLANK($V11))),"",($AD11*(IF(ISBLANK($T11),$S11,$T11)*GalTokWh))-($AE11*IF(ISBLANK($V11),$U11,$V11)*(1+$AF11)))</f>
        <v/>
      </c>
      <c r="BP11" s="180" t="str">
        <f>IF(OR($BN11="",$BO11=""),"",$BN11+$BO11)</f>
        <v/>
      </c>
      <c r="BQ11" s="5"/>
    </row>
    <row r="12" spans="1:69">
      <c r="A12" s="105"/>
      <c r="B12" s="105"/>
      <c r="C12" s="105"/>
      <c r="D12" s="106"/>
      <c r="E12" s="411"/>
      <c r="F12" s="105"/>
      <c r="G12" s="370" t="s">
        <v>205</v>
      </c>
      <c r="H12" s="102" t="str">
        <f>IF(OR(ISBLANK($B12),ISBLANK($C12)),"",ROUND(INDEX('TRU Ops &amp; Costs'!$D$4:$D$74,MATCH($B12&amp;$C12,'TRU Ops &amp; Costs'!$P$4:$P$74,0))/IF($G12="hp",0.7457,1),0))</f>
        <v/>
      </c>
      <c r="I12" s="280"/>
      <c r="J12" s="282" t="str">
        <f>IF(OR(ISBLANK($B12),ISBLANK($C12)),"",INDEX('TRU Ops &amp; Costs'!$E$4:$E$74,MATCH($B12&amp;$C12,'TRU Ops &amp; Costs'!$P$4:$P$74,0)))</f>
        <v/>
      </c>
      <c r="K12" s="284"/>
      <c r="L12" s="102" t="str">
        <f>IF(OR(ISBLANK($B12),ISBLANK($C12)),"",INDEX('TRU Ops &amp; Costs'!$F$4:$F$74,MATCH($B12&amp;$C12,'TRU Ops &amp; Costs'!$P$4:$P$74,0)))</f>
        <v/>
      </c>
      <c r="M12" s="280"/>
      <c r="N12" s="110" t="str">
        <f>IF(OR(ISBLANK($B12),ISBLANK($C12)),"",INDEX('TRU Ops &amp; Costs'!$G$4:$G$74,MATCH($B12&amp;$C12,'TRU Ops &amp; Costs'!$P$4:$P$74,0)))</f>
        <v/>
      </c>
      <c r="O12" s="102" t="str">
        <f t="shared" si="0"/>
        <v/>
      </c>
      <c r="P12" s="280"/>
      <c r="Q12" s="282" t="str">
        <f t="shared" si="16"/>
        <v/>
      </c>
      <c r="R12" s="284"/>
      <c r="S12" s="322" t="str">
        <f>IF(ISBLANK($F12),"",IFERROR(INDEX('Diesel Fuel Prices'!$D$5:$D$31,MATCH($F12,'Diesel Fuel Prices'!$B$5:$B$31,0)),INDEX('Diesel Fuel Prices'!$D$5:$D$31,MATCH("U.S. Average",'Diesel Fuel Prices'!$B$5:$B$31,0)))*References!$B$38/References!$B$37)</f>
        <v/>
      </c>
      <c r="T12" s="290"/>
      <c r="U12" s="322" t="str">
        <f>IF(ISBLANK($F12),"",IFERROR(INDEX('Electricity Prices'!$F$4:$F$30,MATCH($F12,'Electricity Prices'!$B$4:$B$30,0)),INDEX('Electricity Prices'!$F$4:$F$30,MATCH("All U.S.",'Electricity Prices'!$B$4:$B$30,0)))*References!$B$38/References!$B$37)</f>
        <v/>
      </c>
      <c r="V12" s="290"/>
      <c r="W12" s="293" t="str">
        <f>IF(OR(ISBLANK($B12),ISBLANK($C12)),"",INDEX('TRU Ops &amp; Costs'!$I$4:$I$74,MATCH($B12&amp;$C12,'TRU Ops &amp; Costs'!$P$4:$P$74,0)))</f>
        <v/>
      </c>
      <c r="X12" s="295"/>
      <c r="Y12" s="293" t="str">
        <f>IFERROR(IF(AND(ISBLANK(Q12),ISBLANK(R12)),"",IF(OR(ISBLANK($B12),ISBLANK($C12)),"",(IF(E12="Yard",INDEX('TRU Ops &amp; Costs'!$J$4:$J$74,MATCH($B12&amp;$C12,'TRU Ops &amp; Costs'!$P$4:$P$74,0)),INDEX('TRU Ops &amp; Costs'!$K$4:$K$74,MATCH($B12&amp;$C12,'TRU Ops &amp; Costs'!$P$4:$P$74,0)))))/(IF(ISBLANK(R12),Q12,R12))),"")</f>
        <v/>
      </c>
      <c r="Z12" s="295"/>
      <c r="AA12" s="293" t="str">
        <f>IF(OR(ISBLANK($B12),ISBLANK($C12),AND($O12="",ISBLANK($P12))),"",IF(ISBLANK($P12),$O12,$P12)*INDEX('TRU Ops &amp; Costs'!$M$4:$M$74,MATCH($B12&amp;$C12,'TRU Ops &amp; Costs'!$P$4:$P$74,0))*-INDEX('TRU Ops &amp; Costs'!$L$4:$L$74,MATCH($B12&amp;$C12,'TRU Ops &amp; Costs'!$P$4:$P$74,0)))</f>
        <v/>
      </c>
      <c r="AB12" s="185"/>
      <c r="AC12" s="13"/>
      <c r="AD12" s="128" t="str">
        <f t="shared" si="1"/>
        <v/>
      </c>
      <c r="AE12" s="128" t="str">
        <f t="shared" si="2"/>
        <v/>
      </c>
      <c r="AF12" s="168" t="str">
        <f>IF(ISBLANK($F12),"",INDEX('eGRID2018 Subregion'!$J$7:$J$35,MATCH($F12,RegionUSER,0)))</f>
        <v/>
      </c>
      <c r="AG12" s="13"/>
      <c r="AH12" s="203" t="str">
        <f>IF(OR(ISBLANK($B12),ISBLANK($C12),$AD12=""),"",ROUND($AD12*INDEX('Diesel TRU Emission Factors'!$D$6:$D$76,MATCH($B12&amp;$C12,'Diesel TRU Emission Factors'!$R$6:$R$77,0))*GramsToMT,4))</f>
        <v/>
      </c>
      <c r="AI12" s="203" t="str">
        <f>IF(OR(ISBLANK($B12),ISBLANK($C12),$AD12=""),"",ROUND($AD12*INDEX('Diesel TRU Emission Factors'!$E$6:$E$76,MATCH($B12&amp;$C12,'Diesel TRU Emission Factors'!$R$6:$R$77,0))*GramsToMT,4))</f>
        <v/>
      </c>
      <c r="AJ12" s="203" t="str">
        <f>IF(OR(ISBLANK($B12),ISBLANK($C12),$AD12=""),"",ROUND($AD12*INDEX('Diesel TRU Emission Factors'!$H$6:$H$76,MATCH($B12&amp;$C12,'Diesel TRU Emission Factors'!$R$6:$R$77,0))*GramsToMT,4))</f>
        <v/>
      </c>
      <c r="AK12" s="205" t="str">
        <f>IF(OR(ISBLANK($B12),ISBLANK($C12),$AD12=""),"",ROUND($AD12*INDEX('Diesel TRU Emission Factors'!$F$6:$F$76,MATCH($B12&amp;$C12,'Diesel TRU Emission Factors'!$R$6:$R$77,0))*GramsToMT,1))</f>
        <v/>
      </c>
      <c r="AL12" s="196" t="str">
        <f>IF(OR(ISBLANK($B12),ISBLANK($C12),$AD12=""),"",$AD12*INDEX('Diesel TRU Emission Factors'!$G$6:$G$76,MATCH($B12&amp;$C12,'Diesel TRU Emission Factors'!$R$6:$R$77,0))*GramsToMT)</f>
        <v/>
      </c>
      <c r="AM12" s="197" t="str">
        <f>IF(ISBLANK(F12),"",AD12*GalTokWh*'Diesel TRU Emission Factors'!$P$4/1000000)</f>
        <v/>
      </c>
      <c r="AN12" s="207" t="str">
        <f>IF(ISBLANK($F12),"",ROUND(AK12*References!$B$28+AL12*References!$B$29+AM12*References!$B$30,1))</f>
        <v/>
      </c>
      <c r="AO12" s="113"/>
      <c r="AP12" s="203" t="str">
        <f>IF(OR(ISBLANK($F12),$AE12="",$AF12=""),"",ROUND($AE12*(1+$AF12)*INDEX('eGRID2018 Subregion'!$C$7:$C$35,MATCH($F12,RegionUSER,0))*GramsToMT,4))</f>
        <v/>
      </c>
      <c r="AQ12" s="203" t="str">
        <f>IF(OR(ISBLANK($F12),$AE12="",$AF12=""),"",ROUND($AE12*(1+$AF12)*INDEX('eGRID2018 Subregion'!$D$7:$D$35,MATCH($F12,RegionUSER,0))*GramsToMT,4))</f>
        <v/>
      </c>
      <c r="AR12" s="203" t="str">
        <f>IF(OR(ISBLANK($F12),$AE12="",$AF12=""),"",ROUND($AE12*(1+$AF12)*INDEX('eGRID2018 Subregion'!$I$7:$I$35,MATCH($F12,RegionUSER,0))*GramsToMT,4))</f>
        <v/>
      </c>
      <c r="AS12" s="205" t="str">
        <f>IF(OR(ISBLANK($F12),$AE12="",$AF12=""),"",ROUND($AE12*(1+$AF12)*INDEX('eGRID2018 Subregion'!$E$7:$E$35,MATCH($F12,RegionUSER,0))*GramsToMT,1))</f>
        <v/>
      </c>
      <c r="AT12" s="196" t="str">
        <f>IF(OR(ISBLANK($F12),$AE12="",$AF12=""),"",$AE12*(1+$AF12)*INDEX('eGRID2018 Subregion'!$F$7:$F$35,MATCH($F12,RegionUSER,0))*GramsToMT)</f>
        <v/>
      </c>
      <c r="AU12" s="196" t="str">
        <f>IF(OR(ISBLANK($F12),$AE12="",$AF12=""),"",$AE12*(1+$AF12)*INDEX('eGRID2018 Subregion'!$G$7:$G$35,MATCH($F12,RegionUSER,0))*GramsToMT)</f>
        <v/>
      </c>
      <c r="AV12" s="207" t="str">
        <f>IF(ISBLANK($F12),"",ROUND(AS12*References!$B$28+AT12*References!$B$29+AU12*References!$B$30,1))</f>
        <v/>
      </c>
      <c r="AW12" s="5"/>
      <c r="AX12" s="203" t="str">
        <f t="shared" si="3"/>
        <v/>
      </c>
      <c r="AY12" s="203" t="str">
        <f t="shared" si="4"/>
        <v/>
      </c>
      <c r="AZ12" s="203" t="str">
        <f t="shared" si="5"/>
        <v/>
      </c>
      <c r="BA12" s="205" t="str">
        <f t="shared" si="6"/>
        <v/>
      </c>
      <c r="BB12" s="205" t="str">
        <f t="shared" si="7"/>
        <v/>
      </c>
      <c r="BC12" s="1"/>
      <c r="BD12" s="165" t="str">
        <f t="shared" si="8"/>
        <v/>
      </c>
      <c r="BE12" s="165" t="str">
        <f t="shared" si="20"/>
        <v/>
      </c>
      <c r="BF12" s="165" t="str">
        <f t="shared" si="10"/>
        <v/>
      </c>
      <c r="BG12" s="165" t="str">
        <f t="shared" si="11"/>
        <v/>
      </c>
      <c r="BH12" s="165" t="str">
        <f t="shared" si="12"/>
        <v/>
      </c>
      <c r="BI12" s="13"/>
      <c r="BJ12" s="179" t="str">
        <f t="shared" si="13"/>
        <v/>
      </c>
      <c r="BK12" s="179" t="str">
        <f t="shared" si="14"/>
        <v/>
      </c>
      <c r="BL12" s="179" t="str">
        <f t="shared" si="17"/>
        <v/>
      </c>
      <c r="BM12" s="5"/>
      <c r="BN12" s="179" t="str">
        <f t="shared" si="15"/>
        <v/>
      </c>
      <c r="BO12" s="179" t="str">
        <f t="shared" si="18"/>
        <v/>
      </c>
      <c r="BP12" s="179" t="str">
        <f t="shared" si="19"/>
        <v/>
      </c>
      <c r="BQ12" s="5"/>
    </row>
    <row r="13" spans="1:69">
      <c r="A13" s="103"/>
      <c r="B13" s="103"/>
      <c r="C13" s="103"/>
      <c r="D13" s="104"/>
      <c r="E13" s="410"/>
      <c r="F13" s="103"/>
      <c r="G13" s="371" t="s">
        <v>205</v>
      </c>
      <c r="H13" s="102" t="str">
        <f>IF(OR(ISBLANK($B13),ISBLANK($C13)),"",ROUND(INDEX('TRU Ops &amp; Costs'!$D$4:$D$74,MATCH($B13&amp;$C13,'TRU Ops &amp; Costs'!$P$4:$P$74,0))/IF($G13="hp",0.7457,1),0))</f>
        <v/>
      </c>
      <c r="I13" s="281"/>
      <c r="J13" s="282" t="str">
        <f>IF(OR(ISBLANK($B13),ISBLANK($C13)),"",INDEX('TRU Ops &amp; Costs'!$E$4:$E$74,MATCH($B13&amp;$C13,'TRU Ops &amp; Costs'!$P$4:$P$74,0)))</f>
        <v/>
      </c>
      <c r="K13" s="285"/>
      <c r="L13" s="102" t="str">
        <f>IF(OR(ISBLANK($B13),ISBLANK($C13)),"",INDEX('TRU Ops &amp; Costs'!$F$4:$F$74,MATCH($B13&amp;$C13,'TRU Ops &amp; Costs'!$P$4:$P$74,0)))</f>
        <v/>
      </c>
      <c r="M13" s="281"/>
      <c r="N13" s="110" t="str">
        <f>IF(OR(ISBLANK($B13),ISBLANK($C13)),"",INDEX('TRU Ops &amp; Costs'!$G$4:$G$74,MATCH($B13&amp;$C13,'TRU Ops &amp; Costs'!$P$4:$P$74,0)))</f>
        <v/>
      </c>
      <c r="O13" s="102" t="str">
        <f t="shared" si="0"/>
        <v/>
      </c>
      <c r="P13" s="281"/>
      <c r="Q13" s="282" t="str">
        <f t="shared" si="16"/>
        <v/>
      </c>
      <c r="R13" s="285"/>
      <c r="S13" s="322" t="str">
        <f>IF(ISBLANK($F13),"",IFERROR(INDEX('Diesel Fuel Prices'!$D$5:$D$31,MATCH($F13,'Diesel Fuel Prices'!$B$5:$B$31,0)),INDEX('Diesel Fuel Prices'!$D$5:$D$31,MATCH("U.S. Average",'Diesel Fuel Prices'!$B$5:$B$31,0)))*References!$B$38/References!$B$37)</f>
        <v/>
      </c>
      <c r="T13" s="291"/>
      <c r="U13" s="322" t="str">
        <f>IF(ISBLANK($F13),"",IFERROR(INDEX('Electricity Prices'!$F$4:$F$30,MATCH($F13,'Electricity Prices'!$B$4:$B$30,0)),INDEX('Electricity Prices'!$F$4:$F$30,MATCH("All U.S.",'Electricity Prices'!$B$4:$B$30,0)))*References!$B$38/References!$B$37)</f>
        <v/>
      </c>
      <c r="V13" s="291"/>
      <c r="W13" s="293" t="str">
        <f>IF(OR(ISBLANK($B13),ISBLANK($C13)),"",INDEX('TRU Ops &amp; Costs'!$I$4:$I$74,MATCH($B13&amp;$C13,'TRU Ops &amp; Costs'!$P$4:$P$74,0)))</f>
        <v/>
      </c>
      <c r="X13" s="296"/>
      <c r="Y13" s="293" t="str">
        <f>IFERROR(IF(AND(ISBLANK(Q13),ISBLANK(R13)),"",IF(OR(ISBLANK($B13),ISBLANK($C13)),"",(IF(E13="Yard",INDEX('TRU Ops &amp; Costs'!$J$4:$J$74,MATCH($B13&amp;$C13,'TRU Ops &amp; Costs'!$P$4:$P$74,0)),INDEX('TRU Ops &amp; Costs'!$K$4:$K$74,MATCH($B13&amp;$C13,'TRU Ops &amp; Costs'!$P$4:$P$74,0)))))/(IF(ISBLANK(R13),Q13,R13))),"")</f>
        <v/>
      </c>
      <c r="Z13" s="296"/>
      <c r="AA13" s="293" t="str">
        <f>IF(OR(ISBLANK($B13),ISBLANK($C13),AND($O13="",ISBLANK($P13))),"",IF(ISBLANK($P13),$O13,$P13)*INDEX('TRU Ops &amp; Costs'!$M$4:$M$74,MATCH($B13&amp;$C13,'TRU Ops &amp; Costs'!$P$4:$P$74,0))*-INDEX('TRU Ops &amp; Costs'!$L$4:$L$74,MATCH($B13&amp;$C13,'TRU Ops &amp; Costs'!$P$4:$P$74,0)))</f>
        <v/>
      </c>
      <c r="AB13" s="186"/>
      <c r="AC13" s="13"/>
      <c r="AD13" s="127" t="str">
        <f t="shared" si="1"/>
        <v/>
      </c>
      <c r="AE13" s="127" t="str">
        <f t="shared" si="2"/>
        <v/>
      </c>
      <c r="AF13" s="167" t="str">
        <f>IF(ISBLANK($F13),"",INDEX('eGRID2018 Subregion'!$J$7:$J$35,MATCH($F13,RegionUSER,0)))</f>
        <v/>
      </c>
      <c r="AG13" s="13"/>
      <c r="AH13" s="202" t="str">
        <f>IF(OR(ISBLANK($B13),ISBLANK($C13),$AD13=""),"",ROUND($AD13*INDEX('Diesel TRU Emission Factors'!$D$6:$D$76,MATCH($B13&amp;$C13,'Diesel TRU Emission Factors'!$R$6:$R$77,0))*GramsToMT,4))</f>
        <v/>
      </c>
      <c r="AI13" s="202" t="str">
        <f>IF(OR(ISBLANK($B13),ISBLANK($C13),$AD13=""),"",ROUND($AD13*INDEX('Diesel TRU Emission Factors'!$E$6:$E$76,MATCH($B13&amp;$C13,'Diesel TRU Emission Factors'!$R$6:$R$77,0))*GramsToMT,4))</f>
        <v/>
      </c>
      <c r="AJ13" s="202" t="str">
        <f>IF(OR(ISBLANK($B13),ISBLANK($C13),$AD13=""),"",ROUND($AD13*INDEX('Diesel TRU Emission Factors'!$H$6:$H$76,MATCH($B13&amp;$C13,'Diesel TRU Emission Factors'!$R$6:$R$77,0))*GramsToMT,4))</f>
        <v/>
      </c>
      <c r="AK13" s="204" t="str">
        <f>IF(OR(ISBLANK($B13),ISBLANK($C13),$AD13=""),"",ROUND($AD13*INDEX('Diesel TRU Emission Factors'!$F$6:$F$76,MATCH($B13&amp;$C13,'Diesel TRU Emission Factors'!$R$6:$R$77,0))*GramsToMT,1))</f>
        <v/>
      </c>
      <c r="AL13" s="194" t="str">
        <f>IF(OR(ISBLANK($B13),ISBLANK($C13),$AD13=""),"",$AD13*INDEX('Diesel TRU Emission Factors'!$G$6:$G$76,MATCH($B13&amp;$C13,'Diesel TRU Emission Factors'!$R$6:$R$77,0))*GramsToMT)</f>
        <v/>
      </c>
      <c r="AM13" s="195" t="str">
        <f>IF(ISBLANK(F13),"",AD13*GalTokWh*'Diesel TRU Emission Factors'!$P$4/1000000)</f>
        <v/>
      </c>
      <c r="AN13" s="206" t="str">
        <f>IF(ISBLANK($F13),"",ROUND(AK13*References!$B$28+AL13*References!$B$29+AM13*References!$B$30,1))</f>
        <v/>
      </c>
      <c r="AO13" s="113"/>
      <c r="AP13" s="202" t="str">
        <f>IF(OR(ISBLANK($F13),$AE13="",$AF13=""),"",ROUND($AE13*(1+$AF13)*INDEX('eGRID2018 Subregion'!$C$7:$C$35,MATCH($F13,RegionUSER,0))*GramsToMT,4))</f>
        <v/>
      </c>
      <c r="AQ13" s="202" t="str">
        <f>IF(OR(ISBLANK($F13),$AE13="",$AF13=""),"",ROUND($AE13*(1+$AF13)*INDEX('eGRID2018 Subregion'!$D$7:$D$35,MATCH($F13,RegionUSER,0))*GramsToMT,4))</f>
        <v/>
      </c>
      <c r="AR13" s="202" t="str">
        <f>IF(OR(ISBLANK($F13),$AE13="",$AF13=""),"",ROUND($AE13*(1+$AF13)*INDEX('eGRID2018 Subregion'!$I$7:$I$35,MATCH($F13,RegionUSER,0))*GramsToMT,4))</f>
        <v/>
      </c>
      <c r="AS13" s="204" t="str">
        <f>IF(OR(ISBLANK($F13),$AE13="",$AF13=""),"",ROUND($AE13*(1+$AF13)*INDEX('eGRID2018 Subregion'!$E$7:$E$35,MATCH($F13,RegionUSER,0))*GramsToMT,1))</f>
        <v/>
      </c>
      <c r="AT13" s="194" t="str">
        <f>IF(OR(ISBLANK($F13),$AE13="",$AF13=""),"",$AE13*(1+$AF13)*INDEX('eGRID2018 Subregion'!$F$7:$F$35,MATCH($F13,RegionUSER,0))*GramsToMT)</f>
        <v/>
      </c>
      <c r="AU13" s="194" t="str">
        <f>IF(OR(ISBLANK($F13),$AE13="",$AF13=""),"",$AE13*(1+$AF13)*INDEX('eGRID2018 Subregion'!$G$7:$G$35,MATCH($F13,RegionUSER,0))*GramsToMT)</f>
        <v/>
      </c>
      <c r="AV13" s="206" t="str">
        <f>IF(ISBLANK($F13),"",ROUND(AS13*References!$B$28+AT13*References!$B$29+AU13*References!$B$30,1))</f>
        <v/>
      </c>
      <c r="AW13" s="5"/>
      <c r="AX13" s="202" t="str">
        <f t="shared" si="3"/>
        <v/>
      </c>
      <c r="AY13" s="202" t="str">
        <f t="shared" si="4"/>
        <v/>
      </c>
      <c r="AZ13" s="202" t="str">
        <f t="shared" si="5"/>
        <v/>
      </c>
      <c r="BA13" s="204" t="str">
        <f t="shared" si="6"/>
        <v/>
      </c>
      <c r="BB13" s="204" t="str">
        <f t="shared" si="7"/>
        <v/>
      </c>
      <c r="BC13" s="1"/>
      <c r="BD13" s="164" t="str">
        <f t="shared" si="8"/>
        <v/>
      </c>
      <c r="BE13" s="164" t="str">
        <f t="shared" si="20"/>
        <v/>
      </c>
      <c r="BF13" s="164" t="str">
        <f t="shared" si="10"/>
        <v/>
      </c>
      <c r="BG13" s="164" t="str">
        <f t="shared" si="11"/>
        <v/>
      </c>
      <c r="BH13" s="164" t="str">
        <f t="shared" si="12"/>
        <v/>
      </c>
      <c r="BI13" s="13"/>
      <c r="BJ13" s="180" t="str">
        <f t="shared" si="13"/>
        <v/>
      </c>
      <c r="BK13" s="180" t="str">
        <f t="shared" si="14"/>
        <v/>
      </c>
      <c r="BL13" s="180" t="str">
        <f>IF(OR($BJ13="",$BK13=""),"",$BJ13+$BK13)</f>
        <v/>
      </c>
      <c r="BM13" s="5"/>
      <c r="BN13" s="180" t="str">
        <f t="shared" si="15"/>
        <v/>
      </c>
      <c r="BO13" s="180" t="str">
        <f>IF(OR($AD13="",$AF13="",AND($S13="",ISBLANK($T13)),AND($U13="",ISBLANK($V13))),"",($AD13*(IF(ISBLANK($T13),$S13,$T13)*GalTokWh))-($AE13*IF(ISBLANK($V13),$U13,$V13)*(1+$AF13)))</f>
        <v/>
      </c>
      <c r="BP13" s="180" t="str">
        <f>IF(OR($BN13="",$BO13=""),"",$BN13+$BO13)</f>
        <v/>
      </c>
      <c r="BQ13" s="5"/>
    </row>
    <row r="14" spans="1:69">
      <c r="A14" s="105"/>
      <c r="B14" s="105"/>
      <c r="C14" s="105"/>
      <c r="D14" s="106"/>
      <c r="E14" s="411"/>
      <c r="F14" s="105"/>
      <c r="G14" s="370" t="s">
        <v>205</v>
      </c>
      <c r="H14" s="102" t="str">
        <f>IF(OR(ISBLANK($B14),ISBLANK($C14)),"",ROUND(INDEX('TRU Ops &amp; Costs'!$D$4:$D$74,MATCH($B14&amp;$C14,'TRU Ops &amp; Costs'!$P$4:$P$74,0))/IF($G14="hp",0.7457,1),0))</f>
        <v/>
      </c>
      <c r="I14" s="280"/>
      <c r="J14" s="282" t="str">
        <f>IF(OR(ISBLANK($B14),ISBLANK($C14)),"",INDEX('TRU Ops &amp; Costs'!$E$4:$E$74,MATCH($B14&amp;$C14,'TRU Ops &amp; Costs'!$P$4:$P$74,0)))</f>
        <v/>
      </c>
      <c r="K14" s="284"/>
      <c r="L14" s="102" t="str">
        <f>IF(OR(ISBLANK($B14),ISBLANK($C14)),"",INDEX('TRU Ops &amp; Costs'!$F$4:$F$74,MATCH($B14&amp;$C14,'TRU Ops &amp; Costs'!$P$4:$P$74,0)))</f>
        <v/>
      </c>
      <c r="M14" s="280"/>
      <c r="N14" s="110" t="str">
        <f>IF(OR(ISBLANK($B14),ISBLANK($C14)),"",INDEX('TRU Ops &amp; Costs'!$G$4:$G$74,MATCH($B14&amp;$C14,'TRU Ops &amp; Costs'!$P$4:$P$74,0)))</f>
        <v/>
      </c>
      <c r="O14" s="102" t="str">
        <f t="shared" si="0"/>
        <v/>
      </c>
      <c r="P14" s="280"/>
      <c r="Q14" s="282" t="str">
        <f t="shared" si="16"/>
        <v/>
      </c>
      <c r="R14" s="284"/>
      <c r="S14" s="322" t="str">
        <f>IF(ISBLANK($F14),"",IFERROR(INDEX('Diesel Fuel Prices'!$D$5:$D$31,MATCH($F14,'Diesel Fuel Prices'!$B$5:$B$31,0)),INDEX('Diesel Fuel Prices'!$D$5:$D$31,MATCH("U.S. Average",'Diesel Fuel Prices'!$B$5:$B$31,0)))*References!$B$38/References!$B$37)</f>
        <v/>
      </c>
      <c r="T14" s="290"/>
      <c r="U14" s="322" t="str">
        <f>IF(ISBLANK($F14),"",IFERROR(INDEX('Electricity Prices'!$F$4:$F$30,MATCH($F14,'Electricity Prices'!$B$4:$B$30,0)),INDEX('Electricity Prices'!$F$4:$F$30,MATCH("All U.S.",'Electricity Prices'!$B$4:$B$30,0)))*References!$B$38/References!$B$37)</f>
        <v/>
      </c>
      <c r="V14" s="290"/>
      <c r="W14" s="293" t="str">
        <f>IF(OR(ISBLANK($B14),ISBLANK($C14)),"",INDEX('TRU Ops &amp; Costs'!$I$4:$I$74,MATCH($B14&amp;$C14,'TRU Ops &amp; Costs'!$P$4:$P$74,0)))</f>
        <v/>
      </c>
      <c r="X14" s="295"/>
      <c r="Y14" s="293" t="str">
        <f>IFERROR(IF(AND(ISBLANK(Q14),ISBLANK(R14)),"",IF(OR(ISBLANK($B14),ISBLANK($C14)),"",(IF(E14="Yard",INDEX('TRU Ops &amp; Costs'!$J$4:$J$74,MATCH($B14&amp;$C14,'TRU Ops &amp; Costs'!$P$4:$P$74,0)),INDEX('TRU Ops &amp; Costs'!$K$4:$K$74,MATCH($B14&amp;$C14,'TRU Ops &amp; Costs'!$P$4:$P$74,0)))))/(IF(ISBLANK(R14),Q14,R14))),"")</f>
        <v/>
      </c>
      <c r="Z14" s="295"/>
      <c r="AA14" s="293" t="str">
        <f>IF(OR(ISBLANK($B14),ISBLANK($C14),AND($O14="",ISBLANK($P14))),"",IF(ISBLANK($P14),$O14,$P14)*INDEX('TRU Ops &amp; Costs'!$M$4:$M$74,MATCH($B14&amp;$C14,'TRU Ops &amp; Costs'!$P$4:$P$74,0))*-INDEX('TRU Ops &amp; Costs'!$L$4:$L$74,MATCH($B14&amp;$C14,'TRU Ops &amp; Costs'!$P$4:$P$74,0)))</f>
        <v/>
      </c>
      <c r="AB14" s="185"/>
      <c r="AC14" s="13"/>
      <c r="AD14" s="128" t="str">
        <f t="shared" si="1"/>
        <v/>
      </c>
      <c r="AE14" s="128" t="str">
        <f t="shared" si="2"/>
        <v/>
      </c>
      <c r="AF14" s="168" t="str">
        <f>IF(ISBLANK($F14),"",INDEX('eGRID2018 Subregion'!$J$7:$J$35,MATCH($F14,RegionUSER,0)))</f>
        <v/>
      </c>
      <c r="AG14" s="13"/>
      <c r="AH14" s="203" t="str">
        <f>IF(OR(ISBLANK($B14),ISBLANK($C14),$AD14=""),"",ROUND($AD14*INDEX('Diesel TRU Emission Factors'!$D$6:$D$76,MATCH($B14&amp;$C14,'Diesel TRU Emission Factors'!$R$6:$R$77,0))*GramsToMT,4))</f>
        <v/>
      </c>
      <c r="AI14" s="203" t="str">
        <f>IF(OR(ISBLANK($B14),ISBLANK($C14),$AD14=""),"",ROUND($AD14*INDEX('Diesel TRU Emission Factors'!$E$6:$E$76,MATCH($B14&amp;$C14,'Diesel TRU Emission Factors'!$R$6:$R$77,0))*GramsToMT,4))</f>
        <v/>
      </c>
      <c r="AJ14" s="203" t="str">
        <f>IF(OR(ISBLANK($B14),ISBLANK($C14),$AD14=""),"",ROUND($AD14*INDEX('Diesel TRU Emission Factors'!$H$6:$H$76,MATCH($B14&amp;$C14,'Diesel TRU Emission Factors'!$R$6:$R$77,0))*GramsToMT,4))</f>
        <v/>
      </c>
      <c r="AK14" s="205" t="str">
        <f>IF(OR(ISBLANK($B14),ISBLANK($C14),$AD14=""),"",ROUND($AD14*INDEX('Diesel TRU Emission Factors'!$F$6:$F$76,MATCH($B14&amp;$C14,'Diesel TRU Emission Factors'!$R$6:$R$77,0))*GramsToMT,1))</f>
        <v/>
      </c>
      <c r="AL14" s="196" t="str">
        <f>IF(OR(ISBLANK($B14),ISBLANK($C14),$AD14=""),"",$AD14*INDEX('Diesel TRU Emission Factors'!$G$6:$G$76,MATCH($B14&amp;$C14,'Diesel TRU Emission Factors'!$R$6:$R$77,0))*GramsToMT)</f>
        <v/>
      </c>
      <c r="AM14" s="197" t="str">
        <f>IF(ISBLANK(F14),"",AD14*GalTokWh*'Diesel TRU Emission Factors'!$P$4/1000000)</f>
        <v/>
      </c>
      <c r="AN14" s="207" t="str">
        <f>IF(ISBLANK($F14),"",ROUND(AK14*References!$B$28+AL14*References!$B$29+AM14*References!$B$30,1))</f>
        <v/>
      </c>
      <c r="AO14" s="113"/>
      <c r="AP14" s="203" t="str">
        <f>IF(OR(ISBLANK($F14),$AE14="",$AF14=""),"",ROUND($AE14*(1+$AF14)*INDEX('eGRID2018 Subregion'!$C$7:$C$35,MATCH($F14,RegionUSER,0))*GramsToMT,4))</f>
        <v/>
      </c>
      <c r="AQ14" s="203" t="str">
        <f>IF(OR(ISBLANK($F14),$AE14="",$AF14=""),"",ROUND($AE14*(1+$AF14)*INDEX('eGRID2018 Subregion'!$D$7:$D$35,MATCH($F14,RegionUSER,0))*GramsToMT,4))</f>
        <v/>
      </c>
      <c r="AR14" s="203" t="str">
        <f>IF(OR(ISBLANK($F14),$AE14="",$AF14=""),"",ROUND($AE14*(1+$AF14)*INDEX('eGRID2018 Subregion'!$I$7:$I$35,MATCH($F14,RegionUSER,0))*GramsToMT,4))</f>
        <v/>
      </c>
      <c r="AS14" s="205" t="str">
        <f>IF(OR(ISBLANK($F14),$AE14="",$AF14=""),"",ROUND($AE14*(1+$AF14)*INDEX('eGRID2018 Subregion'!$E$7:$E$35,MATCH($F14,RegionUSER,0))*GramsToMT,1))</f>
        <v/>
      </c>
      <c r="AT14" s="196" t="str">
        <f>IF(OR(ISBLANK($F14),$AE14="",$AF14=""),"",$AE14*(1+$AF14)*INDEX('eGRID2018 Subregion'!$F$7:$F$35,MATCH($F14,RegionUSER,0))*GramsToMT)</f>
        <v/>
      </c>
      <c r="AU14" s="196" t="str">
        <f>IF(OR(ISBLANK($F14),$AE14="",$AF14=""),"",$AE14*(1+$AF14)*INDEX('eGRID2018 Subregion'!$G$7:$G$35,MATCH($F14,RegionUSER,0))*GramsToMT)</f>
        <v/>
      </c>
      <c r="AV14" s="207" t="str">
        <f>IF(ISBLANK($F14),"",ROUND(AS14*References!$B$28+AT14*References!$B$29+AU14*References!$B$30,1))</f>
        <v/>
      </c>
      <c r="AW14" s="5"/>
      <c r="AX14" s="203" t="str">
        <f t="shared" si="3"/>
        <v/>
      </c>
      <c r="AY14" s="203" t="str">
        <f t="shared" si="4"/>
        <v/>
      </c>
      <c r="AZ14" s="203" t="str">
        <f t="shared" si="5"/>
        <v/>
      </c>
      <c r="BA14" s="205" t="str">
        <f t="shared" si="6"/>
        <v/>
      </c>
      <c r="BB14" s="205" t="str">
        <f t="shared" si="7"/>
        <v/>
      </c>
      <c r="BC14" s="1"/>
      <c r="BD14" s="165" t="str">
        <f t="shared" si="8"/>
        <v/>
      </c>
      <c r="BE14" s="165" t="str">
        <f t="shared" si="20"/>
        <v/>
      </c>
      <c r="BF14" s="165" t="str">
        <f t="shared" si="10"/>
        <v/>
      </c>
      <c r="BG14" s="165" t="str">
        <f t="shared" si="11"/>
        <v/>
      </c>
      <c r="BH14" s="165" t="str">
        <f t="shared" si="12"/>
        <v/>
      </c>
      <c r="BI14" s="13"/>
      <c r="BJ14" s="179" t="str">
        <f t="shared" si="13"/>
        <v/>
      </c>
      <c r="BK14" s="179" t="str">
        <f t="shared" si="14"/>
        <v/>
      </c>
      <c r="BL14" s="179" t="str">
        <f t="shared" si="17"/>
        <v/>
      </c>
      <c r="BM14" s="5"/>
      <c r="BN14" s="179" t="str">
        <f t="shared" si="15"/>
        <v/>
      </c>
      <c r="BO14" s="179" t="str">
        <f t="shared" si="18"/>
        <v/>
      </c>
      <c r="BP14" s="179" t="str">
        <f t="shared" si="19"/>
        <v/>
      </c>
      <c r="BQ14" s="5"/>
    </row>
    <row r="15" spans="1:69">
      <c r="A15" s="103"/>
      <c r="B15" s="103"/>
      <c r="C15" s="103"/>
      <c r="D15" s="104"/>
      <c r="E15" s="410"/>
      <c r="F15" s="103"/>
      <c r="G15" s="371" t="s">
        <v>205</v>
      </c>
      <c r="H15" s="102" t="str">
        <f>IF(OR(ISBLANK($B15),ISBLANK($C15)),"",ROUND(INDEX('TRU Ops &amp; Costs'!$D$4:$D$74,MATCH($B15&amp;$C15,'TRU Ops &amp; Costs'!$P$4:$P$74,0))/IF($G15="hp",0.7457,1),0))</f>
        <v/>
      </c>
      <c r="I15" s="281"/>
      <c r="J15" s="282" t="str">
        <f>IF(OR(ISBLANK($B15),ISBLANK($C15)),"",INDEX('TRU Ops &amp; Costs'!$E$4:$E$74,MATCH($B15&amp;$C15,'TRU Ops &amp; Costs'!$P$4:$P$74,0)))</f>
        <v/>
      </c>
      <c r="K15" s="285"/>
      <c r="L15" s="102" t="str">
        <f>IF(OR(ISBLANK($B15),ISBLANK($C15)),"",INDEX('TRU Ops &amp; Costs'!$F$4:$F$74,MATCH($B15&amp;$C15,'TRU Ops &amp; Costs'!$P$4:$P$74,0)))</f>
        <v/>
      </c>
      <c r="M15" s="281"/>
      <c r="N15" s="110" t="str">
        <f>IF(OR(ISBLANK($B15),ISBLANK($C15)),"",INDEX('TRU Ops &amp; Costs'!$G$4:$G$74,MATCH($B15&amp;$C15,'TRU Ops &amp; Costs'!$P$4:$P$74,0)))</f>
        <v/>
      </c>
      <c r="O15" s="102" t="str">
        <f t="shared" si="0"/>
        <v/>
      </c>
      <c r="P15" s="281"/>
      <c r="Q15" s="282" t="str">
        <f t="shared" si="16"/>
        <v/>
      </c>
      <c r="R15" s="285"/>
      <c r="S15" s="322" t="str">
        <f>IF(ISBLANK($F15),"",IFERROR(INDEX('Diesel Fuel Prices'!$D$5:$D$31,MATCH($F15,'Diesel Fuel Prices'!$B$5:$B$31,0)),INDEX('Diesel Fuel Prices'!$D$5:$D$31,MATCH("U.S. Average",'Diesel Fuel Prices'!$B$5:$B$31,0)))*References!$B$38/References!$B$37)</f>
        <v/>
      </c>
      <c r="T15" s="291"/>
      <c r="U15" s="322" t="str">
        <f>IF(ISBLANK($F15),"",IFERROR(INDEX('Electricity Prices'!$F$4:$F$30,MATCH($F15,'Electricity Prices'!$B$4:$B$30,0)),INDEX('Electricity Prices'!$F$4:$F$30,MATCH("All U.S.",'Electricity Prices'!$B$4:$B$30,0)))*References!$B$38/References!$B$37)</f>
        <v/>
      </c>
      <c r="V15" s="291"/>
      <c r="W15" s="293" t="str">
        <f>IF(OR(ISBLANK($B15),ISBLANK($C15)),"",INDEX('TRU Ops &amp; Costs'!$I$4:$I$74,MATCH($B15&amp;$C15,'TRU Ops &amp; Costs'!$P$4:$P$74,0)))</f>
        <v/>
      </c>
      <c r="X15" s="296"/>
      <c r="Y15" s="293" t="str">
        <f>IFERROR(IF(AND(ISBLANK(Q15),ISBLANK(R15)),"",IF(OR(ISBLANK($B15),ISBLANK($C15)),"",(IF(E15="Yard",INDEX('TRU Ops &amp; Costs'!$J$4:$J$74,MATCH($B15&amp;$C15,'TRU Ops &amp; Costs'!$P$4:$P$74,0)),INDEX('TRU Ops &amp; Costs'!$K$4:$K$74,MATCH($B15&amp;$C15,'TRU Ops &amp; Costs'!$P$4:$P$74,0)))))/(IF(ISBLANK(R15),Q15,R15))),"")</f>
        <v/>
      </c>
      <c r="Z15" s="296"/>
      <c r="AA15" s="293" t="str">
        <f>IF(OR(ISBLANK($B15),ISBLANK($C15),AND($O15="",ISBLANK($P15))),"",IF(ISBLANK($P15),$O15,$P15)*INDEX('TRU Ops &amp; Costs'!$M$4:$M$74,MATCH($B15&amp;$C15,'TRU Ops &amp; Costs'!$P$4:$P$74,0))*-INDEX('TRU Ops &amp; Costs'!$L$4:$L$74,MATCH($B15&amp;$C15,'TRU Ops &amp; Costs'!$P$4:$P$74,0)))</f>
        <v/>
      </c>
      <c r="AB15" s="186"/>
      <c r="AC15" s="13"/>
      <c r="AD15" s="127" t="str">
        <f t="shared" si="1"/>
        <v/>
      </c>
      <c r="AE15" s="127" t="str">
        <f t="shared" si="2"/>
        <v/>
      </c>
      <c r="AF15" s="167" t="str">
        <f>IF(ISBLANK($F15),"",INDEX('eGRID2018 Subregion'!$J$7:$J$35,MATCH($F15,RegionUSER,0)))</f>
        <v/>
      </c>
      <c r="AG15" s="13"/>
      <c r="AH15" s="202" t="str">
        <f>IF(OR(ISBLANK($B15),ISBLANK($C15),$AD15=""),"",ROUND($AD15*INDEX('Diesel TRU Emission Factors'!$D$6:$D$76,MATCH($B15&amp;$C15,'Diesel TRU Emission Factors'!$R$6:$R$77,0))*GramsToMT,4))</f>
        <v/>
      </c>
      <c r="AI15" s="202" t="str">
        <f>IF(OR(ISBLANK($B15),ISBLANK($C15),$AD15=""),"",ROUND($AD15*INDEX('Diesel TRU Emission Factors'!$E$6:$E$76,MATCH($B15&amp;$C15,'Diesel TRU Emission Factors'!$R$6:$R$77,0))*GramsToMT,4))</f>
        <v/>
      </c>
      <c r="AJ15" s="202" t="str">
        <f>IF(OR(ISBLANK($B15),ISBLANK($C15),$AD15=""),"",ROUND($AD15*INDEX('Diesel TRU Emission Factors'!$H$6:$H$76,MATCH($B15&amp;$C15,'Diesel TRU Emission Factors'!$R$6:$R$77,0))*GramsToMT,4))</f>
        <v/>
      </c>
      <c r="AK15" s="204" t="str">
        <f>IF(OR(ISBLANK($B15),ISBLANK($C15),$AD15=""),"",ROUND($AD15*INDEX('Diesel TRU Emission Factors'!$F$6:$F$76,MATCH($B15&amp;$C15,'Diesel TRU Emission Factors'!$R$6:$R$77,0))*GramsToMT,1))</f>
        <v/>
      </c>
      <c r="AL15" s="194" t="str">
        <f>IF(OR(ISBLANK($B15),ISBLANK($C15),$AD15=""),"",$AD15*INDEX('Diesel TRU Emission Factors'!$G$6:$G$76,MATCH($B15&amp;$C15,'Diesel TRU Emission Factors'!$R$6:$R$77,0))*GramsToMT)</f>
        <v/>
      </c>
      <c r="AM15" s="195" t="str">
        <f>IF(ISBLANK(F15),"",AD15*GalTokWh*'Diesel TRU Emission Factors'!$P$4/1000000)</f>
        <v/>
      </c>
      <c r="AN15" s="206" t="str">
        <f>IF(ISBLANK($F15),"",ROUND(AK15*References!$B$28+AL15*References!$B$29+AM15*References!$B$30,1))</f>
        <v/>
      </c>
      <c r="AO15" s="113"/>
      <c r="AP15" s="202" t="str">
        <f>IF(OR(ISBLANK($F15),$AE15="",$AF15=""),"",ROUND($AE15*(1+$AF15)*INDEX('eGRID2018 Subregion'!$C$7:$C$35,MATCH($F15,RegionUSER,0))*GramsToMT,4))</f>
        <v/>
      </c>
      <c r="AQ15" s="202" t="str">
        <f>IF(OR(ISBLANK($F15),$AE15="",$AF15=""),"",ROUND($AE15*(1+$AF15)*INDEX('eGRID2018 Subregion'!$D$7:$D$35,MATCH($F15,RegionUSER,0))*GramsToMT,4))</f>
        <v/>
      </c>
      <c r="AR15" s="202" t="str">
        <f>IF(OR(ISBLANK($F15),$AE15="",$AF15=""),"",ROUND($AE15*(1+$AF15)*INDEX('eGRID2018 Subregion'!$I$7:$I$35,MATCH($F15,RegionUSER,0))*GramsToMT,4))</f>
        <v/>
      </c>
      <c r="AS15" s="204" t="str">
        <f>IF(OR(ISBLANK($F15),$AE15="",$AF15=""),"",ROUND($AE15*(1+$AF15)*INDEX('eGRID2018 Subregion'!$E$7:$E$35,MATCH($F15,RegionUSER,0))*GramsToMT,1))</f>
        <v/>
      </c>
      <c r="AT15" s="194" t="str">
        <f>IF(OR(ISBLANK($F15),$AE15="",$AF15=""),"",$AE15*(1+$AF15)*INDEX('eGRID2018 Subregion'!$F$7:$F$35,MATCH($F15,RegionUSER,0))*GramsToMT)</f>
        <v/>
      </c>
      <c r="AU15" s="194" t="str">
        <f>IF(OR(ISBLANK($F15),$AE15="",$AF15=""),"",$AE15*(1+$AF15)*INDEX('eGRID2018 Subregion'!$G$7:$G$35,MATCH($F15,RegionUSER,0))*GramsToMT)</f>
        <v/>
      </c>
      <c r="AV15" s="206" t="str">
        <f>IF(ISBLANK($F15),"",ROUND(AS15*References!$B$28+AT15*References!$B$29+AU15*References!$B$30,1))</f>
        <v/>
      </c>
      <c r="AW15" s="5"/>
      <c r="AX15" s="202" t="str">
        <f t="shared" si="3"/>
        <v/>
      </c>
      <c r="AY15" s="202" t="str">
        <f t="shared" si="4"/>
        <v/>
      </c>
      <c r="AZ15" s="202" t="str">
        <f t="shared" si="5"/>
        <v/>
      </c>
      <c r="BA15" s="204" t="str">
        <f t="shared" si="6"/>
        <v/>
      </c>
      <c r="BB15" s="204" t="str">
        <f t="shared" si="7"/>
        <v/>
      </c>
      <c r="BC15" s="1"/>
      <c r="BD15" s="164" t="str">
        <f t="shared" si="8"/>
        <v/>
      </c>
      <c r="BE15" s="164" t="str">
        <f t="shared" si="20"/>
        <v/>
      </c>
      <c r="BF15" s="164" t="str">
        <f t="shared" si="10"/>
        <v/>
      </c>
      <c r="BG15" s="164" t="str">
        <f t="shared" si="11"/>
        <v/>
      </c>
      <c r="BH15" s="164" t="str">
        <f t="shared" si="12"/>
        <v/>
      </c>
      <c r="BI15" s="13"/>
      <c r="BJ15" s="180" t="str">
        <f t="shared" si="13"/>
        <v/>
      </c>
      <c r="BK15" s="180" t="str">
        <f t="shared" si="14"/>
        <v/>
      </c>
      <c r="BL15" s="180" t="str">
        <f>IF(OR($BJ15="",$BK15=""),"",$BJ15+$BK15)</f>
        <v/>
      </c>
      <c r="BM15" s="5"/>
      <c r="BN15" s="180" t="str">
        <f t="shared" si="15"/>
        <v/>
      </c>
      <c r="BO15" s="180" t="str">
        <f>IF(OR($AD15="",$AF15="",AND($S15="",ISBLANK($T15)),AND($U15="",ISBLANK($V15))),"",($AD15*(IF(ISBLANK($T15),$S15,$T15)*GalTokWh))-($AE15*IF(ISBLANK($V15),$U15,$V15)*(1+$AF15)))</f>
        <v/>
      </c>
      <c r="BP15" s="180" t="str">
        <f>IF(OR($BN15="",$BO15=""),"",$BN15+$BO15)</f>
        <v/>
      </c>
      <c r="BQ15" s="5"/>
    </row>
    <row r="16" spans="1:69">
      <c r="A16" s="105"/>
      <c r="B16" s="105"/>
      <c r="C16" s="105"/>
      <c r="D16" s="106"/>
      <c r="E16" s="411"/>
      <c r="F16" s="105"/>
      <c r="G16" s="370" t="s">
        <v>205</v>
      </c>
      <c r="H16" s="102" t="str">
        <f>IF(OR(ISBLANK($B16),ISBLANK($C16)),"",ROUND(INDEX('TRU Ops &amp; Costs'!$D$4:$D$74,MATCH($B16&amp;$C16,'TRU Ops &amp; Costs'!$P$4:$P$74,0))/IF($G16="hp",0.7457,1),0))</f>
        <v/>
      </c>
      <c r="I16" s="280"/>
      <c r="J16" s="282" t="str">
        <f>IF(OR(ISBLANK($B16),ISBLANK($C16)),"",INDEX('TRU Ops &amp; Costs'!$E$4:$E$74,MATCH($B16&amp;$C16,'TRU Ops &amp; Costs'!$P$4:$P$74,0)))</f>
        <v/>
      </c>
      <c r="K16" s="284"/>
      <c r="L16" s="102" t="str">
        <f>IF(OR(ISBLANK($B16),ISBLANK($C16)),"",INDEX('TRU Ops &amp; Costs'!$F$4:$F$74,MATCH($B16&amp;$C16,'TRU Ops &amp; Costs'!$P$4:$P$74,0)))</f>
        <v/>
      </c>
      <c r="M16" s="280"/>
      <c r="N16" s="110" t="str">
        <f>IF(OR(ISBLANK($B16),ISBLANK($C16)),"",INDEX('TRU Ops &amp; Costs'!$G$4:$G$74,MATCH($B16&amp;$C16,'TRU Ops &amp; Costs'!$P$4:$P$74,0)))</f>
        <v/>
      </c>
      <c r="O16" s="102" t="str">
        <f t="shared" si="0"/>
        <v/>
      </c>
      <c r="P16" s="280"/>
      <c r="Q16" s="282" t="str">
        <f t="shared" si="16"/>
        <v/>
      </c>
      <c r="R16" s="284"/>
      <c r="S16" s="322" t="str">
        <f>IF(ISBLANK($F16),"",IFERROR(INDEX('Diesel Fuel Prices'!$D$5:$D$31,MATCH($F16,'Diesel Fuel Prices'!$B$5:$B$31,0)),INDEX('Diesel Fuel Prices'!$D$5:$D$31,MATCH("U.S. Average",'Diesel Fuel Prices'!$B$5:$B$31,0)))*References!$B$38/References!$B$37)</f>
        <v/>
      </c>
      <c r="T16" s="290"/>
      <c r="U16" s="322" t="str">
        <f>IF(ISBLANK($F16),"",IFERROR(INDEX('Electricity Prices'!$F$4:$F$30,MATCH($F16,'Electricity Prices'!$B$4:$B$30,0)),INDEX('Electricity Prices'!$F$4:$F$30,MATCH("All U.S.",'Electricity Prices'!$B$4:$B$30,0)))*References!$B$38/References!$B$37)</f>
        <v/>
      </c>
      <c r="V16" s="290"/>
      <c r="W16" s="293" t="str">
        <f>IF(OR(ISBLANK($B16),ISBLANK($C16)),"",INDEX('TRU Ops &amp; Costs'!$I$4:$I$74,MATCH($B16&amp;$C16,'TRU Ops &amp; Costs'!$P$4:$P$74,0)))</f>
        <v/>
      </c>
      <c r="X16" s="295"/>
      <c r="Y16" s="293" t="str">
        <f>IFERROR(IF(AND(ISBLANK(Q16),ISBLANK(R16)),"",IF(OR(ISBLANK($B16),ISBLANK($C16)),"",(IF(E16="Yard",INDEX('TRU Ops &amp; Costs'!$J$4:$J$74,MATCH($B16&amp;$C16,'TRU Ops &amp; Costs'!$P$4:$P$74,0)),INDEX('TRU Ops &amp; Costs'!$K$4:$K$74,MATCH($B16&amp;$C16,'TRU Ops &amp; Costs'!$P$4:$P$74,0)))))/(IF(ISBLANK(R16),Q16,R16))),"")</f>
        <v/>
      </c>
      <c r="Z16" s="295"/>
      <c r="AA16" s="293" t="str">
        <f>IF(OR(ISBLANK($B16),ISBLANK($C16),AND($O16="",ISBLANK($P16))),"",IF(ISBLANK($P16),$O16,$P16)*INDEX('TRU Ops &amp; Costs'!$M$4:$M$74,MATCH($B16&amp;$C16,'TRU Ops &amp; Costs'!$P$4:$P$74,0))*-INDEX('TRU Ops &amp; Costs'!$L$4:$L$74,MATCH($B16&amp;$C16,'TRU Ops &amp; Costs'!$P$4:$P$74,0)))</f>
        <v/>
      </c>
      <c r="AB16" s="185"/>
      <c r="AC16" s="13"/>
      <c r="AD16" s="128" t="str">
        <f t="shared" si="1"/>
        <v/>
      </c>
      <c r="AE16" s="128" t="str">
        <f t="shared" si="2"/>
        <v/>
      </c>
      <c r="AF16" s="168" t="str">
        <f>IF(ISBLANK($F16),"",INDEX('eGRID2018 Subregion'!$J$7:$J$35,MATCH($F16,RegionUSER,0)))</f>
        <v/>
      </c>
      <c r="AG16" s="13"/>
      <c r="AH16" s="203" t="str">
        <f>IF(OR(ISBLANK($B16),ISBLANK($C16),$AD16=""),"",ROUND($AD16*INDEX('Diesel TRU Emission Factors'!$D$6:$D$76,MATCH($B16&amp;$C16,'Diesel TRU Emission Factors'!$R$6:$R$77,0))*GramsToMT,4))</f>
        <v/>
      </c>
      <c r="AI16" s="203" t="str">
        <f>IF(OR(ISBLANK($B16),ISBLANK($C16),$AD16=""),"",ROUND($AD16*INDEX('Diesel TRU Emission Factors'!$E$6:$E$76,MATCH($B16&amp;$C16,'Diesel TRU Emission Factors'!$R$6:$R$77,0))*GramsToMT,4))</f>
        <v/>
      </c>
      <c r="AJ16" s="203" t="str">
        <f>IF(OR(ISBLANK($B16),ISBLANK($C16),$AD16=""),"",ROUND($AD16*INDEX('Diesel TRU Emission Factors'!$H$6:$H$76,MATCH($B16&amp;$C16,'Diesel TRU Emission Factors'!$R$6:$R$77,0))*GramsToMT,4))</f>
        <v/>
      </c>
      <c r="AK16" s="205" t="str">
        <f>IF(OR(ISBLANK($B16),ISBLANK($C16),$AD16=""),"",ROUND($AD16*INDEX('Diesel TRU Emission Factors'!$F$6:$F$76,MATCH($B16&amp;$C16,'Diesel TRU Emission Factors'!$R$6:$R$77,0))*GramsToMT,1))</f>
        <v/>
      </c>
      <c r="AL16" s="196" t="str">
        <f>IF(OR(ISBLANK($B16),ISBLANK($C16),$AD16=""),"",$AD16*INDEX('Diesel TRU Emission Factors'!$G$6:$G$76,MATCH($B16&amp;$C16,'Diesel TRU Emission Factors'!$R$6:$R$77,0))*GramsToMT)</f>
        <v/>
      </c>
      <c r="AM16" s="197" t="str">
        <f>IF(ISBLANK(F16),"",AD16*GalTokWh*'Diesel TRU Emission Factors'!$P$4/1000000)</f>
        <v/>
      </c>
      <c r="AN16" s="207" t="str">
        <f>IF(ISBLANK($F16),"",ROUND(AK16*References!$B$28+AL16*References!$B$29+AM16*References!$B$30,1))</f>
        <v/>
      </c>
      <c r="AO16" s="113"/>
      <c r="AP16" s="203" t="str">
        <f>IF(OR(ISBLANK($F16),$AE16="",$AF16=""),"",ROUND($AE16*(1+$AF16)*INDEX('eGRID2018 Subregion'!$C$7:$C$35,MATCH($F16,RegionUSER,0))*GramsToMT,4))</f>
        <v/>
      </c>
      <c r="AQ16" s="203" t="str">
        <f>IF(OR(ISBLANK($F16),$AE16="",$AF16=""),"",ROUND($AE16*(1+$AF16)*INDEX('eGRID2018 Subregion'!$D$7:$D$35,MATCH($F16,RegionUSER,0))*GramsToMT,4))</f>
        <v/>
      </c>
      <c r="AR16" s="203" t="str">
        <f>IF(OR(ISBLANK($F16),$AE16="",$AF16=""),"",ROUND($AE16*(1+$AF16)*INDEX('eGRID2018 Subregion'!$I$7:$I$35,MATCH($F16,RegionUSER,0))*GramsToMT,4))</f>
        <v/>
      </c>
      <c r="AS16" s="205" t="str">
        <f>IF(OR(ISBLANK($F16),$AE16="",$AF16=""),"",ROUND($AE16*(1+$AF16)*INDEX('eGRID2018 Subregion'!$E$7:$E$35,MATCH($F16,RegionUSER,0))*GramsToMT,1))</f>
        <v/>
      </c>
      <c r="AT16" s="196" t="str">
        <f>IF(OR(ISBLANK($F16),$AE16="",$AF16=""),"",$AE16*(1+$AF16)*INDEX('eGRID2018 Subregion'!$F$7:$F$35,MATCH($F16,RegionUSER,0))*GramsToMT)</f>
        <v/>
      </c>
      <c r="AU16" s="196" t="str">
        <f>IF(OR(ISBLANK($F16),$AE16="",$AF16=""),"",$AE16*(1+$AF16)*INDEX('eGRID2018 Subregion'!$G$7:$G$35,MATCH($F16,RegionUSER,0))*GramsToMT)</f>
        <v/>
      </c>
      <c r="AV16" s="207" t="str">
        <f>IF(ISBLANK($F16),"",ROUND(AS16*References!$B$28+AT16*References!$B$29+AU16*References!$B$30,1))</f>
        <v/>
      </c>
      <c r="AW16" s="5"/>
      <c r="AX16" s="203" t="str">
        <f t="shared" si="3"/>
        <v/>
      </c>
      <c r="AY16" s="203" t="str">
        <f t="shared" si="4"/>
        <v/>
      </c>
      <c r="AZ16" s="203" t="str">
        <f t="shared" si="5"/>
        <v/>
      </c>
      <c r="BA16" s="205" t="str">
        <f t="shared" si="6"/>
        <v/>
      </c>
      <c r="BB16" s="205" t="str">
        <f t="shared" si="7"/>
        <v/>
      </c>
      <c r="BC16" s="1"/>
      <c r="BD16" s="165" t="str">
        <f t="shared" si="8"/>
        <v/>
      </c>
      <c r="BE16" s="165" t="str">
        <f t="shared" si="20"/>
        <v/>
      </c>
      <c r="BF16" s="165" t="str">
        <f t="shared" si="10"/>
        <v/>
      </c>
      <c r="BG16" s="165" t="str">
        <f t="shared" si="11"/>
        <v/>
      </c>
      <c r="BH16" s="165" t="str">
        <f t="shared" si="12"/>
        <v/>
      </c>
      <c r="BI16" s="13"/>
      <c r="BJ16" s="179" t="str">
        <f t="shared" si="13"/>
        <v/>
      </c>
      <c r="BK16" s="179" t="str">
        <f t="shared" si="14"/>
        <v/>
      </c>
      <c r="BL16" s="179" t="str">
        <f t="shared" si="17"/>
        <v/>
      </c>
      <c r="BM16" s="5"/>
      <c r="BN16" s="179" t="str">
        <f t="shared" si="15"/>
        <v/>
      </c>
      <c r="BO16" s="179" t="str">
        <f t="shared" si="18"/>
        <v/>
      </c>
      <c r="BP16" s="179" t="str">
        <f t="shared" si="19"/>
        <v/>
      </c>
      <c r="BQ16" s="5"/>
    </row>
    <row r="17" spans="1:69">
      <c r="A17" s="103"/>
      <c r="B17" s="103"/>
      <c r="C17" s="103"/>
      <c r="D17" s="104"/>
      <c r="E17" s="410"/>
      <c r="F17" s="103"/>
      <c r="G17" s="371" t="s">
        <v>205</v>
      </c>
      <c r="H17" s="102" t="str">
        <f>IF(OR(ISBLANK($B17),ISBLANK($C17)),"",ROUND(INDEX('TRU Ops &amp; Costs'!$D$4:$D$74,MATCH($B17&amp;$C17,'TRU Ops &amp; Costs'!$P$4:$P$74,0))/IF($G17="hp",0.7457,1),0))</f>
        <v/>
      </c>
      <c r="I17" s="281"/>
      <c r="J17" s="282" t="str">
        <f>IF(OR(ISBLANK($B17),ISBLANK($C17)),"",INDEX('TRU Ops &amp; Costs'!$E$4:$E$74,MATCH($B17&amp;$C17,'TRU Ops &amp; Costs'!$P$4:$P$74,0)))</f>
        <v/>
      </c>
      <c r="K17" s="285"/>
      <c r="L17" s="102" t="str">
        <f>IF(OR(ISBLANK($B17),ISBLANK($C17)),"",INDEX('TRU Ops &amp; Costs'!$F$4:$F$74,MATCH($B17&amp;$C17,'TRU Ops &amp; Costs'!$P$4:$P$74,0)))</f>
        <v/>
      </c>
      <c r="M17" s="281"/>
      <c r="N17" s="110" t="str">
        <f>IF(OR(ISBLANK($B17),ISBLANK($C17)),"",INDEX('TRU Ops &amp; Costs'!$G$4:$G$74,MATCH($B17&amp;$C17,'TRU Ops &amp; Costs'!$P$4:$P$74,0)))</f>
        <v/>
      </c>
      <c r="O17" s="102" t="str">
        <f t="shared" si="0"/>
        <v/>
      </c>
      <c r="P17" s="281"/>
      <c r="Q17" s="282" t="str">
        <f t="shared" si="16"/>
        <v/>
      </c>
      <c r="R17" s="285"/>
      <c r="S17" s="322" t="str">
        <f>IF(ISBLANK($F17),"",IFERROR(INDEX('Diesel Fuel Prices'!$D$5:$D$31,MATCH($F17,'Diesel Fuel Prices'!$B$5:$B$31,0)),INDEX('Diesel Fuel Prices'!$D$5:$D$31,MATCH("U.S. Average",'Diesel Fuel Prices'!$B$5:$B$31,0)))*References!$B$38/References!$B$37)</f>
        <v/>
      </c>
      <c r="T17" s="291"/>
      <c r="U17" s="322" t="str">
        <f>IF(ISBLANK($F17),"",IFERROR(INDEX('Electricity Prices'!$F$4:$F$30,MATCH($F17,'Electricity Prices'!$B$4:$B$30,0)),INDEX('Electricity Prices'!$F$4:$F$30,MATCH("All U.S.",'Electricity Prices'!$B$4:$B$30,0)))*References!$B$38/References!$B$37)</f>
        <v/>
      </c>
      <c r="V17" s="291"/>
      <c r="W17" s="293" t="str">
        <f>IF(OR(ISBLANK($B17),ISBLANK($C17)),"",INDEX('TRU Ops &amp; Costs'!$I$4:$I$74,MATCH($B17&amp;$C17,'TRU Ops &amp; Costs'!$P$4:$P$74,0)))</f>
        <v/>
      </c>
      <c r="X17" s="296"/>
      <c r="Y17" s="293" t="str">
        <f>IFERROR(IF(AND(ISBLANK(Q17),ISBLANK(R17)),"",IF(OR(ISBLANK($B17),ISBLANK($C17)),"",(IF(E17="Yard",INDEX('TRU Ops &amp; Costs'!$J$4:$J$74,MATCH($B17&amp;$C17,'TRU Ops &amp; Costs'!$P$4:$P$74,0)),INDEX('TRU Ops &amp; Costs'!$K$4:$K$74,MATCH($B17&amp;$C17,'TRU Ops &amp; Costs'!$P$4:$P$74,0)))))/(IF(ISBLANK(R17),Q17,R17))),"")</f>
        <v/>
      </c>
      <c r="Z17" s="296"/>
      <c r="AA17" s="293" t="str">
        <f>IF(OR(ISBLANK($B17),ISBLANK($C17),AND($O17="",ISBLANK($P17))),"",IF(ISBLANK($P17),$O17,$P17)*INDEX('TRU Ops &amp; Costs'!$M$4:$M$74,MATCH($B17&amp;$C17,'TRU Ops &amp; Costs'!$P$4:$P$74,0))*-INDEX('TRU Ops &amp; Costs'!$L$4:$L$74,MATCH($B17&amp;$C17,'TRU Ops &amp; Costs'!$P$4:$P$74,0)))</f>
        <v/>
      </c>
      <c r="AB17" s="186"/>
      <c r="AC17" s="13"/>
      <c r="AD17" s="127" t="str">
        <f t="shared" si="1"/>
        <v/>
      </c>
      <c r="AE17" s="127" t="str">
        <f t="shared" si="2"/>
        <v/>
      </c>
      <c r="AF17" s="167" t="str">
        <f>IF(ISBLANK($F17),"",INDEX('eGRID2018 Subregion'!$J$7:$J$35,MATCH($F17,RegionUSER,0)))</f>
        <v/>
      </c>
      <c r="AG17" s="13"/>
      <c r="AH17" s="202" t="str">
        <f>IF(OR(ISBLANK($B17),ISBLANK($C17),$AD17=""),"",ROUND($AD17*INDEX('Diesel TRU Emission Factors'!$D$6:$D$76,MATCH($B17&amp;$C17,'Diesel TRU Emission Factors'!$R$6:$R$77,0))*GramsToMT,4))</f>
        <v/>
      </c>
      <c r="AI17" s="202" t="str">
        <f>IF(OR(ISBLANK($B17),ISBLANK($C17),$AD17=""),"",ROUND($AD17*INDEX('Diesel TRU Emission Factors'!$E$6:$E$76,MATCH($B17&amp;$C17,'Diesel TRU Emission Factors'!$R$6:$R$77,0))*GramsToMT,4))</f>
        <v/>
      </c>
      <c r="AJ17" s="202" t="str">
        <f>IF(OR(ISBLANK($B17),ISBLANK($C17),$AD17=""),"",ROUND($AD17*INDEX('Diesel TRU Emission Factors'!$H$6:$H$76,MATCH($B17&amp;$C17,'Diesel TRU Emission Factors'!$R$6:$R$77,0))*GramsToMT,4))</f>
        <v/>
      </c>
      <c r="AK17" s="204" t="str">
        <f>IF(OR(ISBLANK($B17),ISBLANK($C17),$AD17=""),"",ROUND($AD17*INDEX('Diesel TRU Emission Factors'!$F$6:$F$76,MATCH($B17&amp;$C17,'Diesel TRU Emission Factors'!$R$6:$R$77,0))*GramsToMT,1))</f>
        <v/>
      </c>
      <c r="AL17" s="194" t="str">
        <f>IF(OR(ISBLANK($B17),ISBLANK($C17),$AD17=""),"",$AD17*INDEX('Diesel TRU Emission Factors'!$G$6:$G$76,MATCH($B17&amp;$C17,'Diesel TRU Emission Factors'!$R$6:$R$77,0))*GramsToMT)</f>
        <v/>
      </c>
      <c r="AM17" s="195" t="str">
        <f>IF(ISBLANK(F17),"",AD17*GalTokWh*'Diesel TRU Emission Factors'!$P$4/1000000)</f>
        <v/>
      </c>
      <c r="AN17" s="206" t="str">
        <f>IF(ISBLANK($F17),"",ROUND(AK17*References!$B$28+AL17*References!$B$29+AM17*References!$B$30,1))</f>
        <v/>
      </c>
      <c r="AO17" s="113"/>
      <c r="AP17" s="202" t="str">
        <f>IF(OR(ISBLANK($F17),$AE17="",$AF17=""),"",ROUND($AE17*(1+$AF17)*INDEX('eGRID2018 Subregion'!$C$7:$C$35,MATCH($F17,RegionUSER,0))*GramsToMT,4))</f>
        <v/>
      </c>
      <c r="AQ17" s="202" t="str">
        <f>IF(OR(ISBLANK($F17),$AE17="",$AF17=""),"",ROUND($AE17*(1+$AF17)*INDEX('eGRID2018 Subregion'!$D$7:$D$35,MATCH($F17,RegionUSER,0))*GramsToMT,4))</f>
        <v/>
      </c>
      <c r="AR17" s="202" t="str">
        <f>IF(OR(ISBLANK($F17),$AE17="",$AF17=""),"",ROUND($AE17*(1+$AF17)*INDEX('eGRID2018 Subregion'!$I$7:$I$35,MATCH($F17,RegionUSER,0))*GramsToMT,4))</f>
        <v/>
      </c>
      <c r="AS17" s="204" t="str">
        <f>IF(OR(ISBLANK($F17),$AE17="",$AF17=""),"",ROUND($AE17*(1+$AF17)*INDEX('eGRID2018 Subregion'!$E$7:$E$35,MATCH($F17,RegionUSER,0))*GramsToMT,1))</f>
        <v/>
      </c>
      <c r="AT17" s="194" t="str">
        <f>IF(OR(ISBLANK($F17),$AE17="",$AF17=""),"",$AE17*(1+$AF17)*INDEX('eGRID2018 Subregion'!$F$7:$F$35,MATCH($F17,RegionUSER,0))*GramsToMT)</f>
        <v/>
      </c>
      <c r="AU17" s="194" t="str">
        <f>IF(OR(ISBLANK($F17),$AE17="",$AF17=""),"",$AE17*(1+$AF17)*INDEX('eGRID2018 Subregion'!$G$7:$G$35,MATCH($F17,RegionUSER,0))*GramsToMT)</f>
        <v/>
      </c>
      <c r="AV17" s="206" t="str">
        <f>IF(ISBLANK($F17),"",ROUND(AS17*References!$B$28+AT17*References!$B$29+AU17*References!$B$30,1))</f>
        <v/>
      </c>
      <c r="AW17" s="5"/>
      <c r="AX17" s="202" t="str">
        <f t="shared" si="3"/>
        <v/>
      </c>
      <c r="AY17" s="202" t="str">
        <f t="shared" si="4"/>
        <v/>
      </c>
      <c r="AZ17" s="202" t="str">
        <f t="shared" si="5"/>
        <v/>
      </c>
      <c r="BA17" s="204" t="str">
        <f t="shared" si="6"/>
        <v/>
      </c>
      <c r="BB17" s="204" t="str">
        <f t="shared" si="7"/>
        <v/>
      </c>
      <c r="BC17" s="1"/>
      <c r="BD17" s="164" t="str">
        <f t="shared" si="8"/>
        <v/>
      </c>
      <c r="BE17" s="164" t="str">
        <f t="shared" si="20"/>
        <v/>
      </c>
      <c r="BF17" s="164" t="str">
        <f t="shared" si="10"/>
        <v/>
      </c>
      <c r="BG17" s="164" t="str">
        <f t="shared" si="11"/>
        <v/>
      </c>
      <c r="BH17" s="164" t="str">
        <f t="shared" si="12"/>
        <v/>
      </c>
      <c r="BI17" s="13"/>
      <c r="BJ17" s="180" t="str">
        <f t="shared" si="13"/>
        <v/>
      </c>
      <c r="BK17" s="180" t="str">
        <f t="shared" si="14"/>
        <v/>
      </c>
      <c r="BL17" s="180" t="str">
        <f>IF(OR($BJ17="",$BK17=""),"",$BJ17+$BK17)</f>
        <v/>
      </c>
      <c r="BM17" s="5"/>
      <c r="BN17" s="180" t="str">
        <f t="shared" si="15"/>
        <v/>
      </c>
      <c r="BO17" s="180" t="str">
        <f>IF(OR($AD17="",$AF17="",AND($S17="",ISBLANK($T17)),AND($U17="",ISBLANK($V17))),"",($AD17*(IF(ISBLANK($T17),$S17,$T17)*GalTokWh))-($AE17*IF(ISBLANK($V17),$U17,$V17)*(1+$AF17)))</f>
        <v/>
      </c>
      <c r="BP17" s="180" t="str">
        <f>IF(OR($BN17="",$BO17=""),"",$BN17+$BO17)</f>
        <v/>
      </c>
      <c r="BQ17" s="5"/>
    </row>
    <row r="18" spans="1:69">
      <c r="A18" s="105"/>
      <c r="B18" s="105"/>
      <c r="C18" s="105"/>
      <c r="D18" s="106"/>
      <c r="E18" s="411"/>
      <c r="F18" s="105"/>
      <c r="G18" s="370" t="s">
        <v>205</v>
      </c>
      <c r="H18" s="102" t="str">
        <f>IF(OR(ISBLANK($B18),ISBLANK($C18)),"",ROUND(INDEX('TRU Ops &amp; Costs'!$D$4:$D$74,MATCH($B18&amp;$C18,'TRU Ops &amp; Costs'!$P$4:$P$74,0))/IF($G18="hp",0.7457,1),0))</f>
        <v/>
      </c>
      <c r="I18" s="280"/>
      <c r="J18" s="282" t="str">
        <f>IF(OR(ISBLANK($B18),ISBLANK($C18)),"",INDEX('TRU Ops &amp; Costs'!$E$4:$E$74,MATCH($B18&amp;$C18,'TRU Ops &amp; Costs'!$P$4:$P$74,0)))</f>
        <v/>
      </c>
      <c r="K18" s="284"/>
      <c r="L18" s="102" t="str">
        <f>IF(OR(ISBLANK($B18),ISBLANK($C18)),"",INDEX('TRU Ops &amp; Costs'!$F$4:$F$74,MATCH($B18&amp;$C18,'TRU Ops &amp; Costs'!$P$4:$P$74,0)))</f>
        <v/>
      </c>
      <c r="M18" s="280"/>
      <c r="N18" s="110" t="str">
        <f>IF(OR(ISBLANK($B18),ISBLANK($C18)),"",INDEX('TRU Ops &amp; Costs'!$G$4:$G$74,MATCH($B18&amp;$C18,'TRU Ops &amp; Costs'!$P$4:$P$74,0)))</f>
        <v/>
      </c>
      <c r="O18" s="102" t="str">
        <f t="shared" si="0"/>
        <v/>
      </c>
      <c r="P18" s="280"/>
      <c r="Q18" s="282" t="str">
        <f t="shared" si="16"/>
        <v/>
      </c>
      <c r="R18" s="284"/>
      <c r="S18" s="322" t="str">
        <f>IF(ISBLANK($F18),"",IFERROR(INDEX('Diesel Fuel Prices'!$D$5:$D$31,MATCH($F18,'Diesel Fuel Prices'!$B$5:$B$31,0)),INDEX('Diesel Fuel Prices'!$D$5:$D$31,MATCH("U.S. Average",'Diesel Fuel Prices'!$B$5:$B$31,0)))*References!$B$38/References!$B$37)</f>
        <v/>
      </c>
      <c r="T18" s="290"/>
      <c r="U18" s="322" t="str">
        <f>IF(ISBLANK($F18),"",IFERROR(INDEX('Electricity Prices'!$F$4:$F$30,MATCH($F18,'Electricity Prices'!$B$4:$B$30,0)),INDEX('Electricity Prices'!$F$4:$F$30,MATCH("All U.S.",'Electricity Prices'!$B$4:$B$30,0)))*References!$B$38/References!$B$37)</f>
        <v/>
      </c>
      <c r="V18" s="290"/>
      <c r="W18" s="293" t="str">
        <f>IF(OR(ISBLANK($B18),ISBLANK($C18)),"",INDEX('TRU Ops &amp; Costs'!$I$4:$I$74,MATCH($B18&amp;$C18,'TRU Ops &amp; Costs'!$P$4:$P$74,0)))</f>
        <v/>
      </c>
      <c r="X18" s="295"/>
      <c r="Y18" s="293" t="str">
        <f>IFERROR(IF(AND(ISBLANK(Q18),ISBLANK(R18)),"",IF(OR(ISBLANK($B18),ISBLANK($C18)),"",(IF(E18="Yard",INDEX('TRU Ops &amp; Costs'!$J$4:$J$74,MATCH($B18&amp;$C18,'TRU Ops &amp; Costs'!$P$4:$P$74,0)),INDEX('TRU Ops &amp; Costs'!$K$4:$K$74,MATCH($B18&amp;$C18,'TRU Ops &amp; Costs'!$P$4:$P$74,0)))))/(IF(ISBLANK(R18),Q18,R18))),"")</f>
        <v/>
      </c>
      <c r="Z18" s="295"/>
      <c r="AA18" s="293" t="str">
        <f>IF(OR(ISBLANK($B18),ISBLANK($C18),AND($O18="",ISBLANK($P18))),"",IF(ISBLANK($P18),$O18,$P18)*INDEX('TRU Ops &amp; Costs'!$M$4:$M$74,MATCH($B18&amp;$C18,'TRU Ops &amp; Costs'!$P$4:$P$74,0))*-INDEX('TRU Ops &amp; Costs'!$L$4:$L$74,MATCH($B18&amp;$C18,'TRU Ops &amp; Costs'!$P$4:$P$74,0)))</f>
        <v/>
      </c>
      <c r="AB18" s="185"/>
      <c r="AC18" s="13"/>
      <c r="AD18" s="128" t="str">
        <f t="shared" si="1"/>
        <v/>
      </c>
      <c r="AE18" s="128" t="str">
        <f t="shared" si="2"/>
        <v/>
      </c>
      <c r="AF18" s="168" t="str">
        <f>IF(ISBLANK($F18),"",INDEX('eGRID2018 Subregion'!$J$7:$J$35,MATCH($F18,RegionUSER,0)))</f>
        <v/>
      </c>
      <c r="AG18" s="13"/>
      <c r="AH18" s="203" t="str">
        <f>IF(OR(ISBLANK($B18),ISBLANK($C18),$AD18=""),"",ROUND($AD18*INDEX('Diesel TRU Emission Factors'!$D$6:$D$76,MATCH($B18&amp;$C18,'Diesel TRU Emission Factors'!$R$6:$R$77,0))*GramsToMT,4))</f>
        <v/>
      </c>
      <c r="AI18" s="203" t="str">
        <f>IF(OR(ISBLANK($B18),ISBLANK($C18),$AD18=""),"",ROUND($AD18*INDEX('Diesel TRU Emission Factors'!$E$6:$E$76,MATCH($B18&amp;$C18,'Diesel TRU Emission Factors'!$R$6:$R$77,0))*GramsToMT,4))</f>
        <v/>
      </c>
      <c r="AJ18" s="203" t="str">
        <f>IF(OR(ISBLANK($B18),ISBLANK($C18),$AD18=""),"",ROUND($AD18*INDEX('Diesel TRU Emission Factors'!$H$6:$H$76,MATCH($B18&amp;$C18,'Diesel TRU Emission Factors'!$R$6:$R$77,0))*GramsToMT,4))</f>
        <v/>
      </c>
      <c r="AK18" s="205" t="str">
        <f>IF(OR(ISBLANK($B18),ISBLANK($C18),$AD18=""),"",ROUND($AD18*INDEX('Diesel TRU Emission Factors'!$F$6:$F$76,MATCH($B18&amp;$C18,'Diesel TRU Emission Factors'!$R$6:$R$77,0))*GramsToMT,1))</f>
        <v/>
      </c>
      <c r="AL18" s="196" t="str">
        <f>IF(OR(ISBLANK($B18),ISBLANK($C18),$AD18=""),"",$AD18*INDEX('Diesel TRU Emission Factors'!$G$6:$G$76,MATCH($B18&amp;$C18,'Diesel TRU Emission Factors'!$R$6:$R$77,0))*GramsToMT)</f>
        <v/>
      </c>
      <c r="AM18" s="197" t="str">
        <f>IF(ISBLANK(F18),"",AD18*GalTokWh*'Diesel TRU Emission Factors'!$P$4/1000000)</f>
        <v/>
      </c>
      <c r="AN18" s="207" t="str">
        <f>IF(ISBLANK($F18),"",ROUND(AK18*References!$B$28+AL18*References!$B$29+AM18*References!$B$30,1))</f>
        <v/>
      </c>
      <c r="AO18" s="113"/>
      <c r="AP18" s="203" t="str">
        <f>IF(OR(ISBLANK($F18),$AE18="",$AF18=""),"",ROUND($AE18*(1+$AF18)*INDEX('eGRID2018 Subregion'!$C$7:$C$35,MATCH($F18,RegionUSER,0))*GramsToMT,4))</f>
        <v/>
      </c>
      <c r="AQ18" s="203" t="str">
        <f>IF(OR(ISBLANK($F18),$AE18="",$AF18=""),"",ROUND($AE18*(1+$AF18)*INDEX('eGRID2018 Subregion'!$D$7:$D$35,MATCH($F18,RegionUSER,0))*GramsToMT,4))</f>
        <v/>
      </c>
      <c r="AR18" s="203" t="str">
        <f>IF(OR(ISBLANK($F18),$AE18="",$AF18=""),"",ROUND($AE18*(1+$AF18)*INDEX('eGRID2018 Subregion'!$I$7:$I$35,MATCH($F18,RegionUSER,0))*GramsToMT,4))</f>
        <v/>
      </c>
      <c r="AS18" s="205" t="str">
        <f>IF(OR(ISBLANK($F18),$AE18="",$AF18=""),"",ROUND($AE18*(1+$AF18)*INDEX('eGRID2018 Subregion'!$E$7:$E$35,MATCH($F18,RegionUSER,0))*GramsToMT,1))</f>
        <v/>
      </c>
      <c r="AT18" s="196" t="str">
        <f>IF(OR(ISBLANK($F18),$AE18="",$AF18=""),"",$AE18*(1+$AF18)*INDEX('eGRID2018 Subregion'!$F$7:$F$35,MATCH($F18,RegionUSER,0))*GramsToMT)</f>
        <v/>
      </c>
      <c r="AU18" s="196" t="str">
        <f>IF(OR(ISBLANK($F18),$AE18="",$AF18=""),"",$AE18*(1+$AF18)*INDEX('eGRID2018 Subregion'!$G$7:$G$35,MATCH($F18,RegionUSER,0))*GramsToMT)</f>
        <v/>
      </c>
      <c r="AV18" s="207" t="str">
        <f>IF(ISBLANK($F18),"",ROUND(AS18*References!$B$28+AT18*References!$B$29+AU18*References!$B$30,1))</f>
        <v/>
      </c>
      <c r="AW18" s="5"/>
      <c r="AX18" s="203" t="str">
        <f t="shared" si="3"/>
        <v/>
      </c>
      <c r="AY18" s="203" t="str">
        <f t="shared" si="4"/>
        <v/>
      </c>
      <c r="AZ18" s="203" t="str">
        <f t="shared" si="5"/>
        <v/>
      </c>
      <c r="BA18" s="205" t="str">
        <f t="shared" si="6"/>
        <v/>
      </c>
      <c r="BB18" s="205" t="str">
        <f t="shared" si="7"/>
        <v/>
      </c>
      <c r="BC18" s="1"/>
      <c r="BD18" s="165" t="str">
        <f t="shared" si="8"/>
        <v/>
      </c>
      <c r="BE18" s="165" t="str">
        <f t="shared" si="20"/>
        <v/>
      </c>
      <c r="BF18" s="165" t="str">
        <f t="shared" si="10"/>
        <v/>
      </c>
      <c r="BG18" s="165" t="str">
        <f t="shared" si="11"/>
        <v/>
      </c>
      <c r="BH18" s="165" t="str">
        <f t="shared" si="12"/>
        <v/>
      </c>
      <c r="BI18" s="13"/>
      <c r="BJ18" s="179" t="str">
        <f t="shared" si="13"/>
        <v/>
      </c>
      <c r="BK18" s="179" t="str">
        <f t="shared" si="14"/>
        <v/>
      </c>
      <c r="BL18" s="179" t="str">
        <f t="shared" si="17"/>
        <v/>
      </c>
      <c r="BM18" s="5"/>
      <c r="BN18" s="179" t="str">
        <f t="shared" si="15"/>
        <v/>
      </c>
      <c r="BO18" s="179" t="str">
        <f t="shared" si="18"/>
        <v/>
      </c>
      <c r="BP18" s="179" t="str">
        <f t="shared" si="19"/>
        <v/>
      </c>
      <c r="BQ18" s="5"/>
    </row>
    <row r="19" spans="1:69">
      <c r="A19" s="103"/>
      <c r="B19" s="103"/>
      <c r="C19" s="103"/>
      <c r="D19" s="104"/>
      <c r="E19" s="410"/>
      <c r="F19" s="103"/>
      <c r="G19" s="371" t="s">
        <v>205</v>
      </c>
      <c r="H19" s="102" t="str">
        <f>IF(OR(ISBLANK($B19),ISBLANK($C19)),"",ROUND(INDEX('TRU Ops &amp; Costs'!$D$4:$D$74,MATCH($B19&amp;$C19,'TRU Ops &amp; Costs'!$P$4:$P$74,0))/IF($G19="hp",0.7457,1),0))</f>
        <v/>
      </c>
      <c r="I19" s="281"/>
      <c r="J19" s="282" t="str">
        <f>IF(OR(ISBLANK($B19),ISBLANK($C19)),"",INDEX('TRU Ops &amp; Costs'!$E$4:$E$74,MATCH($B19&amp;$C19,'TRU Ops &amp; Costs'!$P$4:$P$74,0)))</f>
        <v/>
      </c>
      <c r="K19" s="285"/>
      <c r="L19" s="102" t="str">
        <f>IF(OR(ISBLANK($B19),ISBLANK($C19)),"",INDEX('TRU Ops &amp; Costs'!$F$4:$F$74,MATCH($B19&amp;$C19,'TRU Ops &amp; Costs'!$P$4:$P$74,0)))</f>
        <v/>
      </c>
      <c r="M19" s="281"/>
      <c r="N19" s="110" t="str">
        <f>IF(OR(ISBLANK($B19),ISBLANK($C19)),"",INDEX('TRU Ops &amp; Costs'!$G$4:$G$74,MATCH($B19&amp;$C19,'TRU Ops &amp; Costs'!$P$4:$P$74,0)))</f>
        <v/>
      </c>
      <c r="O19" s="102" t="str">
        <f t="shared" si="0"/>
        <v/>
      </c>
      <c r="P19" s="281"/>
      <c r="Q19" s="282" t="str">
        <f t="shared" si="16"/>
        <v/>
      </c>
      <c r="R19" s="285"/>
      <c r="S19" s="322" t="str">
        <f>IF(ISBLANK($F19),"",IFERROR(INDEX('Diesel Fuel Prices'!$D$5:$D$31,MATCH($F19,'Diesel Fuel Prices'!$B$5:$B$31,0)),INDEX('Diesel Fuel Prices'!$D$5:$D$31,MATCH("U.S. Average",'Diesel Fuel Prices'!$B$5:$B$31,0)))*References!$B$38/References!$B$37)</f>
        <v/>
      </c>
      <c r="T19" s="291"/>
      <c r="U19" s="322" t="str">
        <f>IF(ISBLANK($F19),"",IFERROR(INDEX('Electricity Prices'!$F$4:$F$30,MATCH($F19,'Electricity Prices'!$B$4:$B$30,0)),INDEX('Electricity Prices'!$F$4:$F$30,MATCH("All U.S.",'Electricity Prices'!$B$4:$B$30,0)))*References!$B$38/References!$B$37)</f>
        <v/>
      </c>
      <c r="V19" s="291"/>
      <c r="W19" s="293" t="str">
        <f>IF(OR(ISBLANK($B19),ISBLANK($C19)),"",INDEX('TRU Ops &amp; Costs'!$I$4:$I$74,MATCH($B19&amp;$C19,'TRU Ops &amp; Costs'!$P$4:$P$74,0)))</f>
        <v/>
      </c>
      <c r="X19" s="296"/>
      <c r="Y19" s="293" t="str">
        <f>IFERROR(IF(AND(ISBLANK(Q19),ISBLANK(R19)),"",IF(OR(ISBLANK($B19),ISBLANK($C19)),"",(IF(E19="Yard",INDEX('TRU Ops &amp; Costs'!$J$4:$J$74,MATCH($B19&amp;$C19,'TRU Ops &amp; Costs'!$P$4:$P$74,0)),INDEX('TRU Ops &amp; Costs'!$K$4:$K$74,MATCH($B19&amp;$C19,'TRU Ops &amp; Costs'!$P$4:$P$74,0)))))/(IF(ISBLANK(R19),Q19,R19))),"")</f>
        <v/>
      </c>
      <c r="Z19" s="296"/>
      <c r="AA19" s="293" t="str">
        <f>IF(OR(ISBLANK($B19),ISBLANK($C19),AND($O19="",ISBLANK($P19))),"",IF(ISBLANK($P19),$O19,$P19)*INDEX('TRU Ops &amp; Costs'!$M$4:$M$74,MATCH($B19&amp;$C19,'TRU Ops &amp; Costs'!$P$4:$P$74,0))*-INDEX('TRU Ops &amp; Costs'!$L$4:$L$74,MATCH($B19&amp;$C19,'TRU Ops &amp; Costs'!$P$4:$P$74,0)))</f>
        <v/>
      </c>
      <c r="AB19" s="186"/>
      <c r="AC19" s="13"/>
      <c r="AD19" s="127" t="str">
        <f t="shared" si="1"/>
        <v/>
      </c>
      <c r="AE19" s="127" t="str">
        <f t="shared" si="2"/>
        <v/>
      </c>
      <c r="AF19" s="167" t="str">
        <f>IF(ISBLANK($F19),"",INDEX('eGRID2018 Subregion'!$J$7:$J$35,MATCH($F19,RegionUSER,0)))</f>
        <v/>
      </c>
      <c r="AG19" s="13"/>
      <c r="AH19" s="202" t="str">
        <f>IF(OR(ISBLANK($B19),ISBLANK($C19),$AD19=""),"",ROUND($AD19*INDEX('Diesel TRU Emission Factors'!$D$6:$D$76,MATCH($B19&amp;$C19,'Diesel TRU Emission Factors'!$R$6:$R$77,0))*GramsToMT,4))</f>
        <v/>
      </c>
      <c r="AI19" s="202" t="str">
        <f>IF(OR(ISBLANK($B19),ISBLANK($C19),$AD19=""),"",ROUND($AD19*INDEX('Diesel TRU Emission Factors'!$E$6:$E$76,MATCH($B19&amp;$C19,'Diesel TRU Emission Factors'!$R$6:$R$77,0))*GramsToMT,4))</f>
        <v/>
      </c>
      <c r="AJ19" s="202" t="str">
        <f>IF(OR(ISBLANK($B19),ISBLANK($C19),$AD19=""),"",ROUND($AD19*INDEX('Diesel TRU Emission Factors'!$H$6:$H$76,MATCH($B19&amp;$C19,'Diesel TRU Emission Factors'!$R$6:$R$77,0))*GramsToMT,4))</f>
        <v/>
      </c>
      <c r="AK19" s="204" t="str">
        <f>IF(OR(ISBLANK($B19),ISBLANK($C19),$AD19=""),"",ROUND($AD19*INDEX('Diesel TRU Emission Factors'!$F$6:$F$76,MATCH($B19&amp;$C19,'Diesel TRU Emission Factors'!$R$6:$R$77,0))*GramsToMT,1))</f>
        <v/>
      </c>
      <c r="AL19" s="194" t="str">
        <f>IF(OR(ISBLANK($B19),ISBLANK($C19),$AD19=""),"",$AD19*INDEX('Diesel TRU Emission Factors'!$G$6:$G$76,MATCH($B19&amp;$C19,'Diesel TRU Emission Factors'!$R$6:$R$77,0))*GramsToMT)</f>
        <v/>
      </c>
      <c r="AM19" s="195" t="str">
        <f>IF(ISBLANK(F19),"",AD19*GalTokWh*'Diesel TRU Emission Factors'!$P$4/1000000)</f>
        <v/>
      </c>
      <c r="AN19" s="206" t="str">
        <f>IF(ISBLANK($F19),"",ROUND(AK19*References!$B$28+AL19*References!$B$29+AM19*References!$B$30,1))</f>
        <v/>
      </c>
      <c r="AO19" s="113"/>
      <c r="AP19" s="202" t="str">
        <f>IF(OR(ISBLANK($F19),$AE19="",$AF19=""),"",ROUND($AE19*(1+$AF19)*INDEX('eGRID2018 Subregion'!$C$7:$C$35,MATCH($F19,RegionUSER,0))*GramsToMT,4))</f>
        <v/>
      </c>
      <c r="AQ19" s="202" t="str">
        <f>IF(OR(ISBLANK($F19),$AE19="",$AF19=""),"",ROUND($AE19*(1+$AF19)*INDEX('eGRID2018 Subregion'!$D$7:$D$35,MATCH($F19,RegionUSER,0))*GramsToMT,4))</f>
        <v/>
      </c>
      <c r="AR19" s="202" t="str">
        <f>IF(OR(ISBLANK($F19),$AE19="",$AF19=""),"",ROUND($AE19*(1+$AF19)*INDEX('eGRID2018 Subregion'!$I$7:$I$35,MATCH($F19,RegionUSER,0))*GramsToMT,4))</f>
        <v/>
      </c>
      <c r="AS19" s="204" t="str">
        <f>IF(OR(ISBLANK($F19),$AE19="",$AF19=""),"",ROUND($AE19*(1+$AF19)*INDEX('eGRID2018 Subregion'!$E$7:$E$35,MATCH($F19,RegionUSER,0))*GramsToMT,1))</f>
        <v/>
      </c>
      <c r="AT19" s="194" t="str">
        <f>IF(OR(ISBLANK($F19),$AE19="",$AF19=""),"",$AE19*(1+$AF19)*INDEX('eGRID2018 Subregion'!$F$7:$F$35,MATCH($F19,RegionUSER,0))*GramsToMT)</f>
        <v/>
      </c>
      <c r="AU19" s="194" t="str">
        <f>IF(OR(ISBLANK($F19),$AE19="",$AF19=""),"",$AE19*(1+$AF19)*INDEX('eGRID2018 Subregion'!$G$7:$G$35,MATCH($F19,RegionUSER,0))*GramsToMT)</f>
        <v/>
      </c>
      <c r="AV19" s="206" t="str">
        <f>IF(ISBLANK($F19),"",ROUND(AS19*References!$B$28+AT19*References!$B$29+AU19*References!$B$30,1))</f>
        <v/>
      </c>
      <c r="AW19" s="5"/>
      <c r="AX19" s="202" t="str">
        <f t="shared" si="3"/>
        <v/>
      </c>
      <c r="AY19" s="202" t="str">
        <f t="shared" si="4"/>
        <v/>
      </c>
      <c r="AZ19" s="202" t="str">
        <f t="shared" si="5"/>
        <v/>
      </c>
      <c r="BA19" s="204" t="str">
        <f t="shared" si="6"/>
        <v/>
      </c>
      <c r="BB19" s="204" t="str">
        <f t="shared" si="7"/>
        <v/>
      </c>
      <c r="BC19" s="1"/>
      <c r="BD19" s="164" t="str">
        <f t="shared" si="8"/>
        <v/>
      </c>
      <c r="BE19" s="164" t="str">
        <f t="shared" si="20"/>
        <v/>
      </c>
      <c r="BF19" s="164" t="str">
        <f t="shared" si="10"/>
        <v/>
      </c>
      <c r="BG19" s="164" t="str">
        <f t="shared" si="11"/>
        <v/>
      </c>
      <c r="BH19" s="164" t="str">
        <f t="shared" si="12"/>
        <v/>
      </c>
      <c r="BI19" s="13"/>
      <c r="BJ19" s="180" t="str">
        <f t="shared" si="13"/>
        <v/>
      </c>
      <c r="BK19" s="180" t="str">
        <f t="shared" si="14"/>
        <v/>
      </c>
      <c r="BL19" s="180" t="str">
        <f>IF(OR($BJ19="",$BK19=""),"",$BJ19+$BK19)</f>
        <v/>
      </c>
      <c r="BM19" s="5"/>
      <c r="BN19" s="180" t="str">
        <f t="shared" si="15"/>
        <v/>
      </c>
      <c r="BO19" s="180" t="str">
        <f>IF(OR($AD19="",$AF19="",AND($S19="",ISBLANK($T19)),AND($U19="",ISBLANK($V19))),"",($AD19*(IF(ISBLANK($T19),$S19,$T19)*GalTokWh))-($AE19*IF(ISBLANK($V19),$U19,$V19)*(1+$AF19)))</f>
        <v/>
      </c>
      <c r="BP19" s="180" t="str">
        <f>IF(OR($BN19="",$BO19=""),"",$BN19+$BO19)</f>
        <v/>
      </c>
      <c r="BQ19" s="5"/>
    </row>
    <row r="20" spans="1:69">
      <c r="A20" s="105"/>
      <c r="B20" s="105"/>
      <c r="C20" s="105"/>
      <c r="D20" s="106"/>
      <c r="E20" s="411"/>
      <c r="F20" s="105"/>
      <c r="G20" s="370" t="s">
        <v>205</v>
      </c>
      <c r="H20" s="102" t="str">
        <f>IF(OR(ISBLANK($B20),ISBLANK($C20)),"",ROUND(INDEX('TRU Ops &amp; Costs'!$D$4:$D$74,MATCH($B20&amp;$C20,'TRU Ops &amp; Costs'!$P$4:$P$74,0))/IF($G20="hp",0.7457,1),0))</f>
        <v/>
      </c>
      <c r="I20" s="280"/>
      <c r="J20" s="282" t="str">
        <f>IF(OR(ISBLANK($B20),ISBLANK($C20)),"",INDEX('TRU Ops &amp; Costs'!$E$4:$E$74,MATCH($B20&amp;$C20,'TRU Ops &amp; Costs'!$P$4:$P$74,0)))</f>
        <v/>
      </c>
      <c r="K20" s="284"/>
      <c r="L20" s="102" t="str">
        <f>IF(OR(ISBLANK($B20),ISBLANK($C20)),"",INDEX('TRU Ops &amp; Costs'!$F$4:$F$74,MATCH($B20&amp;$C20,'TRU Ops &amp; Costs'!$P$4:$P$74,0)))</f>
        <v/>
      </c>
      <c r="M20" s="280"/>
      <c r="N20" s="110" t="str">
        <f>IF(OR(ISBLANK($B20),ISBLANK($C20)),"",INDEX('TRU Ops &amp; Costs'!$G$4:$G$74,MATCH($B20&amp;$C20,'TRU Ops &amp; Costs'!$P$4:$P$74,0)))</f>
        <v/>
      </c>
      <c r="O20" s="102" t="str">
        <f t="shared" si="0"/>
        <v/>
      </c>
      <c r="P20" s="280"/>
      <c r="Q20" s="282" t="str">
        <f t="shared" si="16"/>
        <v/>
      </c>
      <c r="R20" s="284"/>
      <c r="S20" s="322" t="str">
        <f>IF(ISBLANK($F20),"",IFERROR(INDEX('Diesel Fuel Prices'!$D$5:$D$31,MATCH($F20,'Diesel Fuel Prices'!$B$5:$B$31,0)),INDEX('Diesel Fuel Prices'!$D$5:$D$31,MATCH("U.S. Average",'Diesel Fuel Prices'!$B$5:$B$31,0)))*References!$B$38/References!$B$37)</f>
        <v/>
      </c>
      <c r="T20" s="290"/>
      <c r="U20" s="322" t="str">
        <f>IF(ISBLANK($F20),"",IFERROR(INDEX('Electricity Prices'!$F$4:$F$30,MATCH($F20,'Electricity Prices'!$B$4:$B$30,0)),INDEX('Electricity Prices'!$F$4:$F$30,MATCH("All U.S.",'Electricity Prices'!$B$4:$B$30,0)))*References!$B$38/References!$B$37)</f>
        <v/>
      </c>
      <c r="V20" s="290"/>
      <c r="W20" s="293" t="str">
        <f>IF(OR(ISBLANK($B20),ISBLANK($C20)),"",INDEX('TRU Ops &amp; Costs'!$I$4:$I$74,MATCH($B20&amp;$C20,'TRU Ops &amp; Costs'!$P$4:$P$74,0)))</f>
        <v/>
      </c>
      <c r="X20" s="295"/>
      <c r="Y20" s="293" t="str">
        <f>IFERROR(IF(AND(ISBLANK(Q20),ISBLANK(R20)),"",IF(OR(ISBLANK($B20),ISBLANK($C20)),"",(IF(E20="Yard",INDEX('TRU Ops &amp; Costs'!$J$4:$J$74,MATCH($B20&amp;$C20,'TRU Ops &amp; Costs'!$P$4:$P$74,0)),INDEX('TRU Ops &amp; Costs'!$K$4:$K$74,MATCH($B20&amp;$C20,'TRU Ops &amp; Costs'!$P$4:$P$74,0)))))/(IF(ISBLANK(R20),Q20,R20))),"")</f>
        <v/>
      </c>
      <c r="Z20" s="295"/>
      <c r="AA20" s="293" t="str">
        <f>IF(OR(ISBLANK($B20),ISBLANK($C20),AND($O20="",ISBLANK($P20))),"",IF(ISBLANK($P20),$O20,$P20)*INDEX('TRU Ops &amp; Costs'!$M$4:$M$74,MATCH($B20&amp;$C20,'TRU Ops &amp; Costs'!$P$4:$P$74,0))*-INDEX('TRU Ops &amp; Costs'!$L$4:$L$74,MATCH($B20&amp;$C20,'TRU Ops &amp; Costs'!$P$4:$P$74,0)))</f>
        <v/>
      </c>
      <c r="AB20" s="185"/>
      <c r="AC20" s="13"/>
      <c r="AD20" s="128" t="str">
        <f t="shared" si="1"/>
        <v/>
      </c>
      <c r="AE20" s="128" t="str">
        <f t="shared" si="2"/>
        <v/>
      </c>
      <c r="AF20" s="168" t="str">
        <f>IF(ISBLANK($F20),"",INDEX('eGRID2018 Subregion'!$J$7:$J$35,MATCH($F20,RegionUSER,0)))</f>
        <v/>
      </c>
      <c r="AG20" s="13"/>
      <c r="AH20" s="203" t="str">
        <f>IF(OR(ISBLANK($B20),ISBLANK($C20),$AD20=""),"",ROUND($AD20*INDEX('Diesel TRU Emission Factors'!$D$6:$D$76,MATCH($B20&amp;$C20,'Diesel TRU Emission Factors'!$R$6:$R$77,0))*GramsToMT,4))</f>
        <v/>
      </c>
      <c r="AI20" s="203" t="str">
        <f>IF(OR(ISBLANK($B20),ISBLANK($C20),$AD20=""),"",ROUND($AD20*INDEX('Diesel TRU Emission Factors'!$E$6:$E$76,MATCH($B20&amp;$C20,'Diesel TRU Emission Factors'!$R$6:$R$77,0))*GramsToMT,4))</f>
        <v/>
      </c>
      <c r="AJ20" s="203" t="str">
        <f>IF(OR(ISBLANK($B20),ISBLANK($C20),$AD20=""),"",ROUND($AD20*INDEX('Diesel TRU Emission Factors'!$H$6:$H$76,MATCH($B20&amp;$C20,'Diesel TRU Emission Factors'!$R$6:$R$77,0))*GramsToMT,4))</f>
        <v/>
      </c>
      <c r="AK20" s="205" t="str">
        <f>IF(OR(ISBLANK($B20),ISBLANK($C20),$AD20=""),"",ROUND($AD20*INDEX('Diesel TRU Emission Factors'!$F$6:$F$76,MATCH($B20&amp;$C20,'Diesel TRU Emission Factors'!$R$6:$R$77,0))*GramsToMT,1))</f>
        <v/>
      </c>
      <c r="AL20" s="196" t="str">
        <f>IF(OR(ISBLANK($B20),ISBLANK($C20),$AD20=""),"",$AD20*INDEX('Diesel TRU Emission Factors'!$G$6:$G$76,MATCH($B20&amp;$C20,'Diesel TRU Emission Factors'!$R$6:$R$77,0))*GramsToMT)</f>
        <v/>
      </c>
      <c r="AM20" s="197" t="str">
        <f>IF(ISBLANK(F20),"",AD20*GalTokWh*'Diesel TRU Emission Factors'!$P$4/1000000)</f>
        <v/>
      </c>
      <c r="AN20" s="207" t="str">
        <f>IF(ISBLANK($F20),"",ROUND(AK20*References!$B$28+AL20*References!$B$29+AM20*References!$B$30,1))</f>
        <v/>
      </c>
      <c r="AO20" s="113"/>
      <c r="AP20" s="203" t="str">
        <f>IF(OR(ISBLANK($F20),$AE20="",$AF20=""),"",ROUND($AE20*(1+$AF20)*INDEX('eGRID2018 Subregion'!$C$7:$C$35,MATCH($F20,RegionUSER,0))*GramsToMT,4))</f>
        <v/>
      </c>
      <c r="AQ20" s="203" t="str">
        <f>IF(OR(ISBLANK($F20),$AE20="",$AF20=""),"",ROUND($AE20*(1+$AF20)*INDEX('eGRID2018 Subregion'!$D$7:$D$35,MATCH($F20,RegionUSER,0))*GramsToMT,4))</f>
        <v/>
      </c>
      <c r="AR20" s="203" t="str">
        <f>IF(OR(ISBLANK($F20),$AE20="",$AF20=""),"",ROUND($AE20*(1+$AF20)*INDEX('eGRID2018 Subregion'!$I$7:$I$35,MATCH($F20,RegionUSER,0))*GramsToMT,4))</f>
        <v/>
      </c>
      <c r="AS20" s="205" t="str">
        <f>IF(OR(ISBLANK($F20),$AE20="",$AF20=""),"",ROUND($AE20*(1+$AF20)*INDEX('eGRID2018 Subregion'!$E$7:$E$35,MATCH($F20,RegionUSER,0))*GramsToMT,1))</f>
        <v/>
      </c>
      <c r="AT20" s="196" t="str">
        <f>IF(OR(ISBLANK($F20),$AE20="",$AF20=""),"",$AE20*(1+$AF20)*INDEX('eGRID2018 Subregion'!$F$7:$F$35,MATCH($F20,RegionUSER,0))*GramsToMT)</f>
        <v/>
      </c>
      <c r="AU20" s="196" t="str">
        <f>IF(OR(ISBLANK($F20),$AE20="",$AF20=""),"",$AE20*(1+$AF20)*INDEX('eGRID2018 Subregion'!$G$7:$G$35,MATCH($F20,RegionUSER,0))*GramsToMT)</f>
        <v/>
      </c>
      <c r="AV20" s="207" t="str">
        <f>IF(ISBLANK($F20),"",ROUND(AS20*References!$B$28+AT20*References!$B$29+AU20*References!$B$30,1))</f>
        <v/>
      </c>
      <c r="AW20" s="5"/>
      <c r="AX20" s="203" t="str">
        <f t="shared" si="3"/>
        <v/>
      </c>
      <c r="AY20" s="203" t="str">
        <f t="shared" si="4"/>
        <v/>
      </c>
      <c r="AZ20" s="203" t="str">
        <f t="shared" si="5"/>
        <v/>
      </c>
      <c r="BA20" s="205" t="str">
        <f t="shared" si="6"/>
        <v/>
      </c>
      <c r="BB20" s="205" t="str">
        <f t="shared" si="7"/>
        <v/>
      </c>
      <c r="BC20" s="1"/>
      <c r="BD20" s="165" t="str">
        <f t="shared" si="8"/>
        <v/>
      </c>
      <c r="BE20" s="165" t="str">
        <f t="shared" si="20"/>
        <v/>
      </c>
      <c r="BF20" s="165" t="str">
        <f t="shared" si="10"/>
        <v/>
      </c>
      <c r="BG20" s="165" t="str">
        <f t="shared" si="11"/>
        <v/>
      </c>
      <c r="BH20" s="165" t="str">
        <f t="shared" si="12"/>
        <v/>
      </c>
      <c r="BI20" s="13"/>
      <c r="BJ20" s="179" t="str">
        <f t="shared" si="13"/>
        <v/>
      </c>
      <c r="BK20" s="179" t="str">
        <f t="shared" si="14"/>
        <v/>
      </c>
      <c r="BL20" s="179" t="str">
        <f t="shared" si="17"/>
        <v/>
      </c>
      <c r="BM20" s="5"/>
      <c r="BN20" s="179" t="str">
        <f t="shared" si="15"/>
        <v/>
      </c>
      <c r="BO20" s="179" t="str">
        <f t="shared" si="18"/>
        <v/>
      </c>
      <c r="BP20" s="179" t="str">
        <f t="shared" si="19"/>
        <v/>
      </c>
      <c r="BQ20" s="5"/>
    </row>
    <row r="21" spans="1:69">
      <c r="A21" s="103"/>
      <c r="B21" s="103"/>
      <c r="C21" s="103"/>
      <c r="D21" s="104"/>
      <c r="E21" s="410"/>
      <c r="F21" s="103"/>
      <c r="G21" s="371" t="s">
        <v>205</v>
      </c>
      <c r="H21" s="102" t="str">
        <f>IF(OR(ISBLANK($B21),ISBLANK($C21)),"",ROUND(INDEX('TRU Ops &amp; Costs'!$D$4:$D$74,MATCH($B21&amp;$C21,'TRU Ops &amp; Costs'!$P$4:$P$74,0))/IF($G21="hp",0.7457,1),0))</f>
        <v/>
      </c>
      <c r="I21" s="281"/>
      <c r="J21" s="282" t="str">
        <f>IF(OR(ISBLANK($B21),ISBLANK($C21)),"",INDEX('TRU Ops &amp; Costs'!$E$4:$E$74,MATCH($B21&amp;$C21,'TRU Ops &amp; Costs'!$P$4:$P$74,0)))</f>
        <v/>
      </c>
      <c r="K21" s="285"/>
      <c r="L21" s="102" t="str">
        <f>IF(OR(ISBLANK($B21),ISBLANK($C21)),"",INDEX('TRU Ops &amp; Costs'!$F$4:$F$74,MATCH($B21&amp;$C21,'TRU Ops &amp; Costs'!$P$4:$P$74,0)))</f>
        <v/>
      </c>
      <c r="M21" s="281"/>
      <c r="N21" s="110" t="str">
        <f>IF(OR(ISBLANK($B21),ISBLANK($C21)),"",INDEX('TRU Ops &amp; Costs'!$G$4:$G$74,MATCH($B21&amp;$C21,'TRU Ops &amp; Costs'!$P$4:$P$74,0)))</f>
        <v/>
      </c>
      <c r="O21" s="102" t="str">
        <f t="shared" si="0"/>
        <v/>
      </c>
      <c r="P21" s="281"/>
      <c r="Q21" s="282" t="str">
        <f t="shared" si="16"/>
        <v/>
      </c>
      <c r="R21" s="285"/>
      <c r="S21" s="322" t="str">
        <f>IF(ISBLANK($F21),"",IFERROR(INDEX('Diesel Fuel Prices'!$D$5:$D$31,MATCH($F21,'Diesel Fuel Prices'!$B$5:$B$31,0)),INDEX('Diesel Fuel Prices'!$D$5:$D$31,MATCH("U.S. Average",'Diesel Fuel Prices'!$B$5:$B$31,0)))*References!$B$38/References!$B$37)</f>
        <v/>
      </c>
      <c r="T21" s="291"/>
      <c r="U21" s="322" t="str">
        <f>IF(ISBLANK($F21),"",IFERROR(INDEX('Electricity Prices'!$F$4:$F$30,MATCH($F21,'Electricity Prices'!$B$4:$B$30,0)),INDEX('Electricity Prices'!$F$4:$F$30,MATCH("All U.S.",'Electricity Prices'!$B$4:$B$30,0)))*References!$B$38/References!$B$37)</f>
        <v/>
      </c>
      <c r="V21" s="291"/>
      <c r="W21" s="293" t="str">
        <f>IF(OR(ISBLANK($B21),ISBLANK($C21)),"",INDEX('TRU Ops &amp; Costs'!$I$4:$I$74,MATCH($B21&amp;$C21,'TRU Ops &amp; Costs'!$P$4:$P$74,0)))</f>
        <v/>
      </c>
      <c r="X21" s="296"/>
      <c r="Y21" s="293" t="str">
        <f>IFERROR(IF(AND(ISBLANK(Q21),ISBLANK(R21)),"",IF(OR(ISBLANK($B21),ISBLANK($C21)),"",(IF(E21="Yard",INDEX('TRU Ops &amp; Costs'!$J$4:$J$74,MATCH($B21&amp;$C21,'TRU Ops &amp; Costs'!$P$4:$P$74,0)),INDEX('TRU Ops &amp; Costs'!$K$4:$K$74,MATCH($B21&amp;$C21,'TRU Ops &amp; Costs'!$P$4:$P$74,0)))))/(IF(ISBLANK(R21),Q21,R21))),"")</f>
        <v/>
      </c>
      <c r="Z21" s="296"/>
      <c r="AA21" s="293" t="str">
        <f>IF(OR(ISBLANK($B21),ISBLANK($C21),AND($O21="",ISBLANK($P21))),"",IF(ISBLANK($P21),$O21,$P21)*INDEX('TRU Ops &amp; Costs'!$M$4:$M$74,MATCH($B21&amp;$C21,'TRU Ops &amp; Costs'!$P$4:$P$74,0))*-INDEX('TRU Ops &amp; Costs'!$L$4:$L$74,MATCH($B21&amp;$C21,'TRU Ops &amp; Costs'!$P$4:$P$74,0)))</f>
        <v/>
      </c>
      <c r="AB21" s="186"/>
      <c r="AC21" s="13"/>
      <c r="AD21" s="127" t="str">
        <f t="shared" si="1"/>
        <v/>
      </c>
      <c r="AE21" s="127" t="str">
        <f t="shared" si="2"/>
        <v/>
      </c>
      <c r="AF21" s="167" t="str">
        <f>IF(ISBLANK($F21),"",INDEX('eGRID2018 Subregion'!$J$7:$J$35,MATCH($F21,RegionUSER,0)))</f>
        <v/>
      </c>
      <c r="AG21" s="13"/>
      <c r="AH21" s="202" t="str">
        <f>IF(OR(ISBLANK($B21),ISBLANK($C21),$AD21=""),"",ROUND($AD21*INDEX('Diesel TRU Emission Factors'!$D$6:$D$76,MATCH($B21&amp;$C21,'Diesel TRU Emission Factors'!$R$6:$R$77,0))*GramsToMT,4))</f>
        <v/>
      </c>
      <c r="AI21" s="202" t="str">
        <f>IF(OR(ISBLANK($B21),ISBLANK($C21),$AD21=""),"",ROUND($AD21*INDEX('Diesel TRU Emission Factors'!$E$6:$E$76,MATCH($B21&amp;$C21,'Diesel TRU Emission Factors'!$R$6:$R$77,0))*GramsToMT,4))</f>
        <v/>
      </c>
      <c r="AJ21" s="202" t="str">
        <f>IF(OR(ISBLANK($B21),ISBLANK($C21),$AD21=""),"",ROUND($AD21*INDEX('Diesel TRU Emission Factors'!$H$6:$H$76,MATCH($B21&amp;$C21,'Diesel TRU Emission Factors'!$R$6:$R$77,0))*GramsToMT,4))</f>
        <v/>
      </c>
      <c r="AK21" s="204" t="str">
        <f>IF(OR(ISBLANK($B21),ISBLANK($C21),$AD21=""),"",ROUND($AD21*INDEX('Diesel TRU Emission Factors'!$F$6:$F$76,MATCH($B21&amp;$C21,'Diesel TRU Emission Factors'!$R$6:$R$77,0))*GramsToMT,1))</f>
        <v/>
      </c>
      <c r="AL21" s="194" t="str">
        <f>IF(OR(ISBLANK($B21),ISBLANK($C21),$AD21=""),"",$AD21*INDEX('Diesel TRU Emission Factors'!$G$6:$G$76,MATCH($B21&amp;$C21,'Diesel TRU Emission Factors'!$R$6:$R$77,0))*GramsToMT)</f>
        <v/>
      </c>
      <c r="AM21" s="195" t="str">
        <f>IF(ISBLANK(F21),"",AD21*GalTokWh*'Diesel TRU Emission Factors'!$P$4/1000000)</f>
        <v/>
      </c>
      <c r="AN21" s="206" t="str">
        <f>IF(ISBLANK($F21),"",ROUND(AK21*References!$B$28+AL21*References!$B$29+AM21*References!$B$30,1))</f>
        <v/>
      </c>
      <c r="AO21" s="113"/>
      <c r="AP21" s="202" t="str">
        <f>IF(OR(ISBLANK($F21),$AE21="",$AF21=""),"",ROUND($AE21*(1+$AF21)*INDEX('eGRID2018 Subregion'!$C$7:$C$35,MATCH($F21,RegionUSER,0))*GramsToMT,4))</f>
        <v/>
      </c>
      <c r="AQ21" s="202" t="str">
        <f>IF(OR(ISBLANK($F21),$AE21="",$AF21=""),"",ROUND($AE21*(1+$AF21)*INDEX('eGRID2018 Subregion'!$D$7:$D$35,MATCH($F21,RegionUSER,0))*GramsToMT,4))</f>
        <v/>
      </c>
      <c r="AR21" s="202" t="str">
        <f>IF(OR(ISBLANK($F21),$AE21="",$AF21=""),"",ROUND($AE21*(1+$AF21)*INDEX('eGRID2018 Subregion'!$I$7:$I$35,MATCH($F21,RegionUSER,0))*GramsToMT,4))</f>
        <v/>
      </c>
      <c r="AS21" s="204" t="str">
        <f>IF(OR(ISBLANK($F21),$AE21="",$AF21=""),"",ROUND($AE21*(1+$AF21)*INDEX('eGRID2018 Subregion'!$E$7:$E$35,MATCH($F21,RegionUSER,0))*GramsToMT,1))</f>
        <v/>
      </c>
      <c r="AT21" s="194" t="str">
        <f>IF(OR(ISBLANK($F21),$AE21="",$AF21=""),"",$AE21*(1+$AF21)*INDEX('eGRID2018 Subregion'!$F$7:$F$35,MATCH($F21,RegionUSER,0))*GramsToMT)</f>
        <v/>
      </c>
      <c r="AU21" s="194" t="str">
        <f>IF(OR(ISBLANK($F21),$AE21="",$AF21=""),"",$AE21*(1+$AF21)*INDEX('eGRID2018 Subregion'!$G$7:$G$35,MATCH($F21,RegionUSER,0))*GramsToMT)</f>
        <v/>
      </c>
      <c r="AV21" s="206" t="str">
        <f>IF(ISBLANK($F21),"",ROUND(AS21*References!$B$28+AT21*References!$B$29+AU21*References!$B$30,1))</f>
        <v/>
      </c>
      <c r="AW21" s="5"/>
      <c r="AX21" s="202" t="str">
        <f t="shared" si="3"/>
        <v/>
      </c>
      <c r="AY21" s="202" t="str">
        <f t="shared" si="4"/>
        <v/>
      </c>
      <c r="AZ21" s="202" t="str">
        <f t="shared" si="5"/>
        <v/>
      </c>
      <c r="BA21" s="204" t="str">
        <f t="shared" si="6"/>
        <v/>
      </c>
      <c r="BB21" s="204" t="str">
        <f t="shared" si="7"/>
        <v/>
      </c>
      <c r="BC21" s="1"/>
      <c r="BD21" s="164" t="str">
        <f t="shared" si="8"/>
        <v/>
      </c>
      <c r="BE21" s="164" t="str">
        <f t="shared" si="20"/>
        <v/>
      </c>
      <c r="BF21" s="164" t="str">
        <f t="shared" si="10"/>
        <v/>
      </c>
      <c r="BG21" s="164" t="str">
        <f t="shared" si="11"/>
        <v/>
      </c>
      <c r="BH21" s="164" t="str">
        <f t="shared" si="12"/>
        <v/>
      </c>
      <c r="BI21" s="13"/>
      <c r="BJ21" s="180" t="str">
        <f t="shared" si="13"/>
        <v/>
      </c>
      <c r="BK21" s="180" t="str">
        <f t="shared" si="14"/>
        <v/>
      </c>
      <c r="BL21" s="180" t="str">
        <f>IF(OR($BJ21="",$BK21=""),"",$BJ21+$BK21)</f>
        <v/>
      </c>
      <c r="BM21" s="5"/>
      <c r="BN21" s="180" t="str">
        <f t="shared" si="15"/>
        <v/>
      </c>
      <c r="BO21" s="180" t="str">
        <f>IF(OR($AD21="",$AF21="",AND($S21="",ISBLANK($T21)),AND($U21="",ISBLANK($V21))),"",($AD21*(IF(ISBLANK($T21),$S21,$T21)*GalTokWh))-($AE21*IF(ISBLANK($V21),$U21,$V21)*(1+$AF21)))</f>
        <v/>
      </c>
      <c r="BP21" s="180" t="str">
        <f>IF(OR($BN21="",$BO21=""),"",$BN21+$BO21)</f>
        <v/>
      </c>
      <c r="BQ21" s="5"/>
    </row>
    <row r="22" spans="1:69">
      <c r="A22" s="105"/>
      <c r="B22" s="105"/>
      <c r="C22" s="105"/>
      <c r="D22" s="106"/>
      <c r="E22" s="411"/>
      <c r="F22" s="105"/>
      <c r="G22" s="370" t="s">
        <v>205</v>
      </c>
      <c r="H22" s="102" t="str">
        <f>IF(OR(ISBLANK($B22),ISBLANK($C22)),"",ROUND(INDEX('TRU Ops &amp; Costs'!$D$4:$D$74,MATCH($B22&amp;$C22,'TRU Ops &amp; Costs'!$P$4:$P$74,0))/IF($G22="hp",0.7457,1),0))</f>
        <v/>
      </c>
      <c r="I22" s="280"/>
      <c r="J22" s="282" t="str">
        <f>IF(OR(ISBLANK($B22),ISBLANK($C22)),"",INDEX('TRU Ops &amp; Costs'!$E$4:$E$74,MATCH($B22&amp;$C22,'TRU Ops &amp; Costs'!$P$4:$P$74,0)))</f>
        <v/>
      </c>
      <c r="K22" s="284"/>
      <c r="L22" s="102" t="str">
        <f>IF(OR(ISBLANK($B22),ISBLANK($C22)),"",INDEX('TRU Ops &amp; Costs'!$F$4:$F$74,MATCH($B22&amp;$C22,'TRU Ops &amp; Costs'!$P$4:$P$74,0)))</f>
        <v/>
      </c>
      <c r="M22" s="280"/>
      <c r="N22" s="110" t="str">
        <f>IF(OR(ISBLANK($B22),ISBLANK($C22)),"",INDEX('TRU Ops &amp; Costs'!$G$4:$G$74,MATCH($B22&amp;$C22,'TRU Ops &amp; Costs'!$P$4:$P$74,0)))</f>
        <v/>
      </c>
      <c r="O22" s="102" t="str">
        <f t="shared" si="0"/>
        <v/>
      </c>
      <c r="P22" s="280"/>
      <c r="Q22" s="282" t="str">
        <f t="shared" si="16"/>
        <v/>
      </c>
      <c r="R22" s="284"/>
      <c r="S22" s="322" t="str">
        <f>IF(ISBLANK($F22),"",IFERROR(INDEX('Diesel Fuel Prices'!$D$5:$D$31,MATCH($F22,'Diesel Fuel Prices'!$B$5:$B$31,0)),INDEX('Diesel Fuel Prices'!$D$5:$D$31,MATCH("U.S. Average",'Diesel Fuel Prices'!$B$5:$B$31,0)))*References!$B$38/References!$B$37)</f>
        <v/>
      </c>
      <c r="T22" s="290"/>
      <c r="U22" s="322" t="str">
        <f>IF(ISBLANK($F22),"",IFERROR(INDEX('Electricity Prices'!$F$4:$F$30,MATCH($F22,'Electricity Prices'!$B$4:$B$30,0)),INDEX('Electricity Prices'!$F$4:$F$30,MATCH("All U.S.",'Electricity Prices'!$B$4:$B$30,0)))*References!$B$38/References!$B$37)</f>
        <v/>
      </c>
      <c r="V22" s="290"/>
      <c r="W22" s="293" t="str">
        <f>IF(OR(ISBLANK($B22),ISBLANK($C22)),"",INDEX('TRU Ops &amp; Costs'!$I$4:$I$74,MATCH($B22&amp;$C22,'TRU Ops &amp; Costs'!$P$4:$P$74,0)))</f>
        <v/>
      </c>
      <c r="X22" s="295"/>
      <c r="Y22" s="293" t="str">
        <f>IFERROR(IF(AND(ISBLANK(Q22),ISBLANK(R22)),"",IF(OR(ISBLANK($B22),ISBLANK($C22)),"",(IF(E22="Yard",INDEX('TRU Ops &amp; Costs'!$J$4:$J$74,MATCH($B22&amp;$C22,'TRU Ops &amp; Costs'!$P$4:$P$74,0)),INDEX('TRU Ops &amp; Costs'!$K$4:$K$74,MATCH($B22&amp;$C22,'TRU Ops &amp; Costs'!$P$4:$P$74,0)))))/(IF(ISBLANK(R22),Q22,R22))),"")</f>
        <v/>
      </c>
      <c r="Z22" s="295"/>
      <c r="AA22" s="293" t="str">
        <f>IF(OR(ISBLANK($B22),ISBLANK($C22),AND($O22="",ISBLANK($P22))),"",IF(ISBLANK($P22),$O22,$P22)*INDEX('TRU Ops &amp; Costs'!$M$4:$M$74,MATCH($B22&amp;$C22,'TRU Ops &amp; Costs'!$P$4:$P$74,0))*-INDEX('TRU Ops &amp; Costs'!$L$4:$L$74,MATCH($B22&amp;$C22,'TRU Ops &amp; Costs'!$P$4:$P$74,0)))</f>
        <v/>
      </c>
      <c r="AB22" s="185"/>
      <c r="AC22" s="13"/>
      <c r="AD22" s="128" t="str">
        <f t="shared" si="1"/>
        <v/>
      </c>
      <c r="AE22" s="128" t="str">
        <f t="shared" si="2"/>
        <v/>
      </c>
      <c r="AF22" s="168" t="str">
        <f>IF(ISBLANK($F22),"",INDEX('eGRID2018 Subregion'!$J$7:$J$35,MATCH($F22,RegionUSER,0)))</f>
        <v/>
      </c>
      <c r="AG22" s="13"/>
      <c r="AH22" s="203" t="str">
        <f>IF(OR(ISBLANK($B22),ISBLANK($C22),$AD22=""),"",ROUND($AD22*INDEX('Diesel TRU Emission Factors'!$D$6:$D$76,MATCH($B22&amp;$C22,'Diesel TRU Emission Factors'!$R$6:$R$77,0))*GramsToMT,4))</f>
        <v/>
      </c>
      <c r="AI22" s="203" t="str">
        <f>IF(OR(ISBLANK($B22),ISBLANK($C22),$AD22=""),"",ROUND($AD22*INDEX('Diesel TRU Emission Factors'!$E$6:$E$76,MATCH($B22&amp;$C22,'Diesel TRU Emission Factors'!$R$6:$R$77,0))*GramsToMT,4))</f>
        <v/>
      </c>
      <c r="AJ22" s="203" t="str">
        <f>IF(OR(ISBLANK($B22),ISBLANK($C22),$AD22=""),"",ROUND($AD22*INDEX('Diesel TRU Emission Factors'!$H$6:$H$76,MATCH($B22&amp;$C22,'Diesel TRU Emission Factors'!$R$6:$R$77,0))*GramsToMT,4))</f>
        <v/>
      </c>
      <c r="AK22" s="205" t="str">
        <f>IF(OR(ISBLANK($B22),ISBLANK($C22),$AD22=""),"",ROUND($AD22*INDEX('Diesel TRU Emission Factors'!$F$6:$F$76,MATCH($B22&amp;$C22,'Diesel TRU Emission Factors'!$R$6:$R$77,0))*GramsToMT,1))</f>
        <v/>
      </c>
      <c r="AL22" s="196" t="str">
        <f>IF(OR(ISBLANK($B22),ISBLANK($C22),$AD22=""),"",$AD22*INDEX('Diesel TRU Emission Factors'!$G$6:$G$76,MATCH($B22&amp;$C22,'Diesel TRU Emission Factors'!$R$6:$R$77,0))*GramsToMT)</f>
        <v/>
      </c>
      <c r="AM22" s="197" t="str">
        <f>IF(ISBLANK(F22),"",AD22*GalTokWh*'Diesel TRU Emission Factors'!$P$4/1000000)</f>
        <v/>
      </c>
      <c r="AN22" s="207" t="str">
        <f>IF(ISBLANK($F22),"",ROUND(AK22*References!$B$28+AL22*References!$B$29+AM22*References!$B$30,1))</f>
        <v/>
      </c>
      <c r="AO22" s="113"/>
      <c r="AP22" s="203" t="str">
        <f>IF(OR(ISBLANK($F22),$AE22="",$AF22=""),"",ROUND($AE22*(1+$AF22)*INDEX('eGRID2018 Subregion'!$C$7:$C$35,MATCH($F22,RegionUSER,0))*GramsToMT,4))</f>
        <v/>
      </c>
      <c r="AQ22" s="203" t="str">
        <f>IF(OR(ISBLANK($F22),$AE22="",$AF22=""),"",ROUND($AE22*(1+$AF22)*INDEX('eGRID2018 Subregion'!$D$7:$D$35,MATCH($F22,RegionUSER,0))*GramsToMT,4))</f>
        <v/>
      </c>
      <c r="AR22" s="203" t="str">
        <f>IF(OR(ISBLANK($F22),$AE22="",$AF22=""),"",ROUND($AE22*(1+$AF22)*INDEX('eGRID2018 Subregion'!$I$7:$I$35,MATCH($F22,RegionUSER,0))*GramsToMT,4))</f>
        <v/>
      </c>
      <c r="AS22" s="205" t="str">
        <f>IF(OR(ISBLANK($F22),$AE22="",$AF22=""),"",ROUND($AE22*(1+$AF22)*INDEX('eGRID2018 Subregion'!$E$7:$E$35,MATCH($F22,RegionUSER,0))*GramsToMT,1))</f>
        <v/>
      </c>
      <c r="AT22" s="196" t="str">
        <f>IF(OR(ISBLANK($F22),$AE22="",$AF22=""),"",$AE22*(1+$AF22)*INDEX('eGRID2018 Subregion'!$F$7:$F$35,MATCH($F22,RegionUSER,0))*GramsToMT)</f>
        <v/>
      </c>
      <c r="AU22" s="196" t="str">
        <f>IF(OR(ISBLANK($F22),$AE22="",$AF22=""),"",$AE22*(1+$AF22)*INDEX('eGRID2018 Subregion'!$G$7:$G$35,MATCH($F22,RegionUSER,0))*GramsToMT)</f>
        <v/>
      </c>
      <c r="AV22" s="207" t="str">
        <f>IF(ISBLANK($F22),"",ROUND(AS22*References!$B$28+AT22*References!$B$29+AU22*References!$B$30,1))</f>
        <v/>
      </c>
      <c r="AW22" s="5"/>
      <c r="AX22" s="203" t="str">
        <f t="shared" si="3"/>
        <v/>
      </c>
      <c r="AY22" s="203" t="str">
        <f t="shared" si="4"/>
        <v/>
      </c>
      <c r="AZ22" s="203" t="str">
        <f t="shared" si="5"/>
        <v/>
      </c>
      <c r="BA22" s="205" t="str">
        <f t="shared" si="6"/>
        <v/>
      </c>
      <c r="BB22" s="205" t="str">
        <f t="shared" si="7"/>
        <v/>
      </c>
      <c r="BC22" s="1"/>
      <c r="BD22" s="165" t="str">
        <f t="shared" si="8"/>
        <v/>
      </c>
      <c r="BE22" s="165" t="str">
        <f t="shared" si="20"/>
        <v/>
      </c>
      <c r="BF22" s="165" t="str">
        <f t="shared" si="10"/>
        <v/>
      </c>
      <c r="BG22" s="165" t="str">
        <f t="shared" si="11"/>
        <v/>
      </c>
      <c r="BH22" s="165" t="str">
        <f t="shared" si="12"/>
        <v/>
      </c>
      <c r="BI22" s="13"/>
      <c r="BJ22" s="179" t="str">
        <f t="shared" si="13"/>
        <v/>
      </c>
      <c r="BK22" s="179" t="str">
        <f t="shared" si="14"/>
        <v/>
      </c>
      <c r="BL22" s="179" t="str">
        <f t="shared" si="17"/>
        <v/>
      </c>
      <c r="BM22" s="5"/>
      <c r="BN22" s="179" t="str">
        <f t="shared" si="15"/>
        <v/>
      </c>
      <c r="BO22" s="179" t="str">
        <f t="shared" si="18"/>
        <v/>
      </c>
      <c r="BP22" s="179" t="str">
        <f t="shared" si="19"/>
        <v/>
      </c>
      <c r="BQ22" s="5"/>
    </row>
    <row r="23" spans="1:69">
      <c r="A23" s="103"/>
      <c r="B23" s="103"/>
      <c r="C23" s="103"/>
      <c r="D23" s="104"/>
      <c r="E23" s="410"/>
      <c r="F23" s="103"/>
      <c r="G23" s="371" t="s">
        <v>205</v>
      </c>
      <c r="H23" s="102" t="str">
        <f>IF(OR(ISBLANK($B23),ISBLANK($C23)),"",ROUND(INDEX('TRU Ops &amp; Costs'!$D$4:$D$74,MATCH($B23&amp;$C23,'TRU Ops &amp; Costs'!$P$4:$P$74,0))/IF($G23="hp",0.7457,1),0))</f>
        <v/>
      </c>
      <c r="I23" s="281"/>
      <c r="J23" s="282" t="str">
        <f>IF(OR(ISBLANK($B23),ISBLANK($C23)),"",INDEX('TRU Ops &amp; Costs'!$E$4:$E$74,MATCH($B23&amp;$C23,'TRU Ops &amp; Costs'!$P$4:$P$74,0)))</f>
        <v/>
      </c>
      <c r="K23" s="285"/>
      <c r="L23" s="102" t="str">
        <f>IF(OR(ISBLANK($B23),ISBLANK($C23)),"",INDEX('TRU Ops &amp; Costs'!$F$4:$F$74,MATCH($B23&amp;$C23,'TRU Ops &amp; Costs'!$P$4:$P$74,0)))</f>
        <v/>
      </c>
      <c r="M23" s="281"/>
      <c r="N23" s="110" t="str">
        <f>IF(OR(ISBLANK($B23),ISBLANK($C23)),"",INDEX('TRU Ops &amp; Costs'!$G$4:$G$74,MATCH($B23&amp;$C23,'TRU Ops &amp; Costs'!$P$4:$P$74,0)))</f>
        <v/>
      </c>
      <c r="O23" s="102" t="str">
        <f t="shared" si="0"/>
        <v/>
      </c>
      <c r="P23" s="281"/>
      <c r="Q23" s="282" t="str">
        <f>IF(OR(ISBLANK($B23),ISBLANK($C23)),"",1)</f>
        <v/>
      </c>
      <c r="R23" s="285"/>
      <c r="S23" s="322" t="str">
        <f>IF(ISBLANK($F23),"",IFERROR(INDEX('Diesel Fuel Prices'!$D$5:$D$31,MATCH($F23,'Diesel Fuel Prices'!$B$5:$B$31,0)),INDEX('Diesel Fuel Prices'!$D$5:$D$31,MATCH("U.S. Average",'Diesel Fuel Prices'!$B$5:$B$31,0)))*References!$B$38/References!$B$37)</f>
        <v/>
      </c>
      <c r="T23" s="291"/>
      <c r="U23" s="322" t="str">
        <f>IF(ISBLANK($F23),"",IFERROR(INDEX('Electricity Prices'!$F$4:$F$30,MATCH($F23,'Electricity Prices'!$B$4:$B$30,0)),INDEX('Electricity Prices'!$F$4:$F$30,MATCH("All U.S.",'Electricity Prices'!$B$4:$B$30,0)))*References!$B$38/References!$B$37)</f>
        <v/>
      </c>
      <c r="V23" s="291"/>
      <c r="W23" s="293" t="str">
        <f>IF(OR(ISBLANK($B23),ISBLANK($C23)),"",INDEX('TRU Ops &amp; Costs'!$I$4:$I$74,MATCH($B23&amp;$C23,'TRU Ops &amp; Costs'!$P$4:$P$74,0)))</f>
        <v/>
      </c>
      <c r="X23" s="296"/>
      <c r="Y23" s="293" t="str">
        <f>IFERROR(IF(AND(ISBLANK(Q23),ISBLANK(R23)),"",IF(OR(ISBLANK($B23),ISBLANK($C23)),"",(IF(E23="Yard",INDEX('TRU Ops &amp; Costs'!$J$4:$J$74,MATCH($B23&amp;$C23,'TRU Ops &amp; Costs'!$P$4:$P$74,0)),INDEX('TRU Ops &amp; Costs'!$K$4:$K$74,MATCH($B23&amp;$C23,'TRU Ops &amp; Costs'!$P$4:$P$74,0)))))/(IF(ISBLANK(R23),Q23,R23))),"")</f>
        <v/>
      </c>
      <c r="Z23" s="296"/>
      <c r="AA23" s="293" t="str">
        <f>IF(OR(ISBLANK($B23),ISBLANK($C23),AND($O23="",ISBLANK($P23))),"",IF(ISBLANK($P23),$O23,$P23)*INDEX('TRU Ops &amp; Costs'!$M$4:$M$74,MATCH($B23&amp;$C23,'TRU Ops &amp; Costs'!$P$4:$P$74,0))*-INDEX('TRU Ops &amp; Costs'!$L$4:$L$74,MATCH($B23&amp;$C23,'TRU Ops &amp; Costs'!$P$4:$P$74,0)))</f>
        <v/>
      </c>
      <c r="AB23" s="186"/>
      <c r="AC23" s="13"/>
      <c r="AD23" s="127" t="str">
        <f t="shared" si="1"/>
        <v/>
      </c>
      <c r="AE23" s="127" t="str">
        <f t="shared" si="2"/>
        <v/>
      </c>
      <c r="AF23" s="167" t="str">
        <f>IF(ISBLANK($F23),"",INDEX('eGRID2018 Subregion'!$J$7:$J$35,MATCH($F23,RegionUSER,0)))</f>
        <v/>
      </c>
      <c r="AG23" s="13"/>
      <c r="AH23" s="202" t="str">
        <f>IF(OR(ISBLANK($B23),ISBLANK($C23),$AD23=""),"",ROUND($AD23*INDEX('Diesel TRU Emission Factors'!$D$6:$D$76,MATCH($B23&amp;$C23,'Diesel TRU Emission Factors'!$R$6:$R$77,0))*GramsToMT,4))</f>
        <v/>
      </c>
      <c r="AI23" s="202" t="str">
        <f>IF(OR(ISBLANK($B23),ISBLANK($C23),$AD23=""),"",ROUND($AD23*INDEX('Diesel TRU Emission Factors'!$E$6:$E$76,MATCH($B23&amp;$C23,'Diesel TRU Emission Factors'!$R$6:$R$77,0))*GramsToMT,4))</f>
        <v/>
      </c>
      <c r="AJ23" s="202" t="str">
        <f>IF(OR(ISBLANK($B23),ISBLANK($C23),$AD23=""),"",ROUND($AD23*INDEX('Diesel TRU Emission Factors'!$H$6:$H$76,MATCH($B23&amp;$C23,'Diesel TRU Emission Factors'!$R$6:$R$77,0))*GramsToMT,4))</f>
        <v/>
      </c>
      <c r="AK23" s="204" t="str">
        <f>IF(OR(ISBLANK($B23),ISBLANK($C23),$AD23=""),"",ROUND($AD23*INDEX('Diesel TRU Emission Factors'!$F$6:$F$76,MATCH($B23&amp;$C23,'Diesel TRU Emission Factors'!$R$6:$R$77,0))*GramsToMT,1))</f>
        <v/>
      </c>
      <c r="AL23" s="194" t="str">
        <f>IF(OR(ISBLANK($B23),ISBLANK($C23),$AD23=""),"",$AD23*INDEX('Diesel TRU Emission Factors'!$G$6:$G$76,MATCH($B23&amp;$C23,'Diesel TRU Emission Factors'!$R$6:$R$77,0))*GramsToMT)</f>
        <v/>
      </c>
      <c r="AM23" s="195" t="str">
        <f>IF(ISBLANK(F23),"",AD23*GalTokWh*'Diesel TRU Emission Factors'!$P$4/1000000)</f>
        <v/>
      </c>
      <c r="AN23" s="206" t="str">
        <f>IF(ISBLANK($F23),"",ROUND(AK23*References!$B$28+AL23*References!$B$29+AM23*References!$B$30,1))</f>
        <v/>
      </c>
      <c r="AO23" s="113"/>
      <c r="AP23" s="202" t="str">
        <f>IF(OR(ISBLANK($F23),$AE23="",$AF23=""),"",ROUND($AE23*(1+$AF23)*INDEX('eGRID2018 Subregion'!$C$7:$C$35,MATCH($F23,RegionUSER,0))*GramsToMT,4))</f>
        <v/>
      </c>
      <c r="AQ23" s="202" t="str">
        <f>IF(OR(ISBLANK($F23),$AE23="",$AF23=""),"",ROUND($AE23*(1+$AF23)*INDEX('eGRID2018 Subregion'!$D$7:$D$35,MATCH($F23,RegionUSER,0))*GramsToMT,4))</f>
        <v/>
      </c>
      <c r="AR23" s="202" t="str">
        <f>IF(OR(ISBLANK($F23),$AE23="",$AF23=""),"",ROUND($AE23*(1+$AF23)*INDEX('eGRID2018 Subregion'!$I$7:$I$35,MATCH($F23,RegionUSER,0))*GramsToMT,4))</f>
        <v/>
      </c>
      <c r="AS23" s="204" t="str">
        <f>IF(OR(ISBLANK($F23),$AE23="",$AF23=""),"",ROUND($AE23*(1+$AF23)*INDEX('eGRID2018 Subregion'!$E$7:$E$35,MATCH($F23,RegionUSER,0))*GramsToMT,1))</f>
        <v/>
      </c>
      <c r="AT23" s="194" t="str">
        <f>IF(OR(ISBLANK($F23),$AE23="",$AF23=""),"",$AE23*(1+$AF23)*INDEX('eGRID2018 Subregion'!$F$7:$F$35,MATCH($F23,RegionUSER,0))*GramsToMT)</f>
        <v/>
      </c>
      <c r="AU23" s="194" t="str">
        <f>IF(OR(ISBLANK($F23),$AE23="",$AF23=""),"",$AE23*(1+$AF23)*INDEX('eGRID2018 Subregion'!$G$7:$G$35,MATCH($F23,RegionUSER,0))*GramsToMT)</f>
        <v/>
      </c>
      <c r="AV23" s="206" t="str">
        <f>IF(ISBLANK($F23),"",ROUND(AS23*References!$B$28+AT23*References!$B$29+AU23*References!$B$30,1))</f>
        <v/>
      </c>
      <c r="AW23" s="5"/>
      <c r="AX23" s="202" t="str">
        <f t="shared" si="3"/>
        <v/>
      </c>
      <c r="AY23" s="202" t="str">
        <f t="shared" si="4"/>
        <v/>
      </c>
      <c r="AZ23" s="202" t="str">
        <f t="shared" si="5"/>
        <v/>
      </c>
      <c r="BA23" s="204" t="str">
        <f t="shared" si="6"/>
        <v/>
      </c>
      <c r="BB23" s="204" t="str">
        <f t="shared" si="7"/>
        <v/>
      </c>
      <c r="BC23" s="1"/>
      <c r="BD23" s="164" t="str">
        <f t="shared" si="8"/>
        <v/>
      </c>
      <c r="BE23" s="164" t="str">
        <f t="shared" si="20"/>
        <v/>
      </c>
      <c r="BF23" s="164" t="str">
        <f t="shared" si="10"/>
        <v/>
      </c>
      <c r="BG23" s="164" t="str">
        <f t="shared" si="11"/>
        <v/>
      </c>
      <c r="BH23" s="164" t="str">
        <f t="shared" si="12"/>
        <v/>
      </c>
      <c r="BI23" s="13"/>
      <c r="BJ23" s="180" t="str">
        <f t="shared" si="13"/>
        <v/>
      </c>
      <c r="BK23" s="180" t="str">
        <f t="shared" si="14"/>
        <v/>
      </c>
      <c r="BL23" s="180" t="str">
        <f>IF(OR($BJ23="",$BK23=""),"",$BJ23+$BK23)</f>
        <v/>
      </c>
      <c r="BM23" s="5"/>
      <c r="BN23" s="180" t="str">
        <f t="shared" si="15"/>
        <v/>
      </c>
      <c r="BO23" s="180" t="str">
        <f>IF(OR($AD23="",$AF23="",AND($S23="",ISBLANK($T23)),AND($U23="",ISBLANK($V23))),"",($AD23*(IF(ISBLANK($T23),$S23,$T23)*GalTokWh))-($AE23*IF(ISBLANK($V23),$U23,$V23)*(1+$AF23)))</f>
        <v/>
      </c>
      <c r="BP23" s="180" t="str">
        <f>IF(OR($BN23="",$BO23=""),"",$BN23+$BO23)</f>
        <v/>
      </c>
      <c r="BQ23" s="5"/>
    </row>
    <row r="24" spans="1:69">
      <c r="A24" s="105"/>
      <c r="B24" s="105"/>
      <c r="C24" s="105"/>
      <c r="D24" s="106"/>
      <c r="E24" s="411"/>
      <c r="F24" s="105"/>
      <c r="G24" s="370" t="s">
        <v>205</v>
      </c>
      <c r="H24" s="102" t="str">
        <f>IF(OR(ISBLANK($B24),ISBLANK($C24)),"",ROUND(INDEX('TRU Ops &amp; Costs'!$D$4:$D$74,MATCH($B24&amp;$C24,'TRU Ops &amp; Costs'!$P$4:$P$74,0))/IF($G24="hp",0.7457,1),0))</f>
        <v/>
      </c>
      <c r="I24" s="280"/>
      <c r="J24" s="282" t="str">
        <f>IF(OR(ISBLANK($B24),ISBLANK($C24)),"",INDEX('TRU Ops &amp; Costs'!$E$4:$E$74,MATCH($B24&amp;$C24,'TRU Ops &amp; Costs'!$P$4:$P$74,0)))</f>
        <v/>
      </c>
      <c r="K24" s="284"/>
      <c r="L24" s="102" t="str">
        <f>IF(OR(ISBLANK($B24),ISBLANK($C24)),"",INDEX('TRU Ops &amp; Costs'!$F$4:$F$74,MATCH($B24&amp;$C24,'TRU Ops &amp; Costs'!$P$4:$P$74,0)))</f>
        <v/>
      </c>
      <c r="M24" s="280"/>
      <c r="N24" s="110" t="str">
        <f>IF(OR(ISBLANK($B24),ISBLANK($C24)),"",INDEX('TRU Ops &amp; Costs'!$G$4:$G$74,MATCH($B24&amp;$C24,'TRU Ops &amp; Costs'!$P$4:$P$74,0)))</f>
        <v/>
      </c>
      <c r="O24" s="102" t="str">
        <f t="shared" si="0"/>
        <v/>
      </c>
      <c r="P24" s="280"/>
      <c r="Q24" s="282" t="str">
        <f t="shared" si="16"/>
        <v/>
      </c>
      <c r="R24" s="284"/>
      <c r="S24" s="322" t="str">
        <f>IF(ISBLANK($F24),"",IFERROR(INDEX('Diesel Fuel Prices'!$D$5:$D$31,MATCH($F24,'Diesel Fuel Prices'!$B$5:$B$31,0)),INDEX('Diesel Fuel Prices'!$D$5:$D$31,MATCH("U.S. Average",'Diesel Fuel Prices'!$B$5:$B$31,0)))*References!$B$38/References!$B$37)</f>
        <v/>
      </c>
      <c r="T24" s="290"/>
      <c r="U24" s="322" t="str">
        <f>IF(ISBLANK($F24),"",IFERROR(INDEX('Electricity Prices'!$F$4:$F$30,MATCH($F24,'Electricity Prices'!$B$4:$B$30,0)),INDEX('Electricity Prices'!$F$4:$F$30,MATCH("All U.S.",'Electricity Prices'!$B$4:$B$30,0)))*References!$B$38/References!$B$37)</f>
        <v/>
      </c>
      <c r="V24" s="290"/>
      <c r="W24" s="293" t="str">
        <f>IF(OR(ISBLANK($B24),ISBLANK($C24)),"",INDEX('TRU Ops &amp; Costs'!$I$4:$I$74,MATCH($B24&amp;$C24,'TRU Ops &amp; Costs'!$P$4:$P$74,0)))</f>
        <v/>
      </c>
      <c r="X24" s="295"/>
      <c r="Y24" s="293" t="str">
        <f>IFERROR(IF(AND(ISBLANK(Q24),ISBLANK(R24)),"",IF(OR(ISBLANK($B24),ISBLANK($C24)),"",(IF(E24="Yard",INDEX('TRU Ops &amp; Costs'!$J$4:$J$74,MATCH($B24&amp;$C24,'TRU Ops &amp; Costs'!$P$4:$P$74,0)),INDEX('TRU Ops &amp; Costs'!$K$4:$K$74,MATCH($B24&amp;$C24,'TRU Ops &amp; Costs'!$P$4:$P$74,0)))))/(IF(ISBLANK(R24),Q24,R24))),"")</f>
        <v/>
      </c>
      <c r="Z24" s="295"/>
      <c r="AA24" s="293" t="str">
        <f>IF(OR(ISBLANK($B24),ISBLANK($C24),AND($O24="",ISBLANK($P24))),"",IF(ISBLANK($P24),$O24,$P24)*INDEX('TRU Ops &amp; Costs'!$M$4:$M$74,MATCH($B24&amp;$C24,'TRU Ops &amp; Costs'!$P$4:$P$74,0))*-INDEX('TRU Ops &amp; Costs'!$L$4:$L$74,MATCH($B24&amp;$C24,'TRU Ops &amp; Costs'!$P$4:$P$74,0)))</f>
        <v/>
      </c>
      <c r="AB24" s="185"/>
      <c r="AC24" s="13"/>
      <c r="AD24" s="128" t="str">
        <f t="shared" si="1"/>
        <v/>
      </c>
      <c r="AE24" s="128" t="str">
        <f t="shared" si="2"/>
        <v/>
      </c>
      <c r="AF24" s="168" t="str">
        <f>IF(ISBLANK($F24),"",INDEX('eGRID2018 Subregion'!$J$7:$J$35,MATCH($F24,RegionUSER,0)))</f>
        <v/>
      </c>
      <c r="AG24" s="13"/>
      <c r="AH24" s="203" t="str">
        <f>IF(OR(ISBLANK($B24),ISBLANK($C24),$AD24=""),"",ROUND($AD24*INDEX('Diesel TRU Emission Factors'!$D$6:$D$76,MATCH($B24&amp;$C24,'Diesel TRU Emission Factors'!$R$6:$R$77,0))*GramsToMT,4))</f>
        <v/>
      </c>
      <c r="AI24" s="203" t="str">
        <f>IF(OR(ISBLANK($B24),ISBLANK($C24),$AD24=""),"",ROUND($AD24*INDEX('Diesel TRU Emission Factors'!$E$6:$E$76,MATCH($B24&amp;$C24,'Diesel TRU Emission Factors'!$R$6:$R$77,0))*GramsToMT,4))</f>
        <v/>
      </c>
      <c r="AJ24" s="203" t="str">
        <f>IF(OR(ISBLANK($B24),ISBLANK($C24),$AD24=""),"",ROUND($AD24*INDEX('Diesel TRU Emission Factors'!$H$6:$H$76,MATCH($B24&amp;$C24,'Diesel TRU Emission Factors'!$R$6:$R$77,0))*GramsToMT,4))</f>
        <v/>
      </c>
      <c r="AK24" s="205" t="str">
        <f>IF(OR(ISBLANK($B24),ISBLANK($C24),$AD24=""),"",ROUND($AD24*INDEX('Diesel TRU Emission Factors'!$F$6:$F$76,MATCH($B24&amp;$C24,'Diesel TRU Emission Factors'!$R$6:$R$77,0))*GramsToMT,1))</f>
        <v/>
      </c>
      <c r="AL24" s="196" t="str">
        <f>IF(OR(ISBLANK($B24),ISBLANK($C24),$AD24=""),"",$AD24*INDEX('Diesel TRU Emission Factors'!$G$6:$G$76,MATCH($B24&amp;$C24,'Diesel TRU Emission Factors'!$R$6:$R$77,0))*GramsToMT)</f>
        <v/>
      </c>
      <c r="AM24" s="197" t="str">
        <f>IF(ISBLANK(F24),"",AD24*GalTokWh*'Diesel TRU Emission Factors'!$P$4/1000000)</f>
        <v/>
      </c>
      <c r="AN24" s="207" t="str">
        <f>IF(ISBLANK($F24),"",ROUND(AK24*References!$B$28+AL24*References!$B$29+AM24*References!$B$30,1))</f>
        <v/>
      </c>
      <c r="AO24" s="113"/>
      <c r="AP24" s="203" t="str">
        <f>IF(OR(ISBLANK($F24),$AE24="",$AF24=""),"",ROUND($AE24*(1+$AF24)*INDEX('eGRID2018 Subregion'!$C$7:$C$35,MATCH($F24,RegionUSER,0))*GramsToMT,4))</f>
        <v/>
      </c>
      <c r="AQ24" s="203" t="str">
        <f>IF(OR(ISBLANK($F24),$AE24="",$AF24=""),"",ROUND($AE24*(1+$AF24)*INDEX('eGRID2018 Subregion'!$D$7:$D$35,MATCH($F24,RegionUSER,0))*GramsToMT,4))</f>
        <v/>
      </c>
      <c r="AR24" s="203" t="str">
        <f>IF(OR(ISBLANK($F24),$AE24="",$AF24=""),"",ROUND($AE24*(1+$AF24)*INDEX('eGRID2018 Subregion'!$I$7:$I$35,MATCH($F24,RegionUSER,0))*GramsToMT,4))</f>
        <v/>
      </c>
      <c r="AS24" s="205" t="str">
        <f>IF(OR(ISBLANK($F24),$AE24="",$AF24=""),"",ROUND($AE24*(1+$AF24)*INDEX('eGRID2018 Subregion'!$E$7:$E$35,MATCH($F24,RegionUSER,0))*GramsToMT,1))</f>
        <v/>
      </c>
      <c r="AT24" s="196" t="str">
        <f>IF(OR(ISBLANK($F24),$AE24="",$AF24=""),"",$AE24*(1+$AF24)*INDEX('eGRID2018 Subregion'!$F$7:$F$35,MATCH($F24,RegionUSER,0))*GramsToMT)</f>
        <v/>
      </c>
      <c r="AU24" s="196" t="str">
        <f>IF(OR(ISBLANK($F24),$AE24="",$AF24=""),"",$AE24*(1+$AF24)*INDEX('eGRID2018 Subregion'!$G$7:$G$35,MATCH($F24,RegionUSER,0))*GramsToMT)</f>
        <v/>
      </c>
      <c r="AV24" s="207" t="str">
        <f>IF(ISBLANK($F24),"",ROUND(AS24*References!$B$28+AT24*References!$B$29+AU24*References!$B$30,1))</f>
        <v/>
      </c>
      <c r="AW24" s="5"/>
      <c r="AX24" s="203" t="str">
        <f t="shared" si="3"/>
        <v/>
      </c>
      <c r="AY24" s="203" t="str">
        <f t="shared" si="4"/>
        <v/>
      </c>
      <c r="AZ24" s="203" t="str">
        <f t="shared" si="5"/>
        <v/>
      </c>
      <c r="BA24" s="205" t="str">
        <f t="shared" si="6"/>
        <v/>
      </c>
      <c r="BB24" s="205" t="str">
        <f t="shared" si="7"/>
        <v/>
      </c>
      <c r="BC24" s="1"/>
      <c r="BD24" s="165" t="str">
        <f t="shared" si="8"/>
        <v/>
      </c>
      <c r="BE24" s="165" t="str">
        <f t="shared" si="20"/>
        <v/>
      </c>
      <c r="BF24" s="165" t="str">
        <f t="shared" si="10"/>
        <v/>
      </c>
      <c r="BG24" s="165" t="str">
        <f t="shared" si="11"/>
        <v/>
      </c>
      <c r="BH24" s="165" t="str">
        <f t="shared" si="12"/>
        <v/>
      </c>
      <c r="BI24" s="13"/>
      <c r="BJ24" s="179" t="str">
        <f t="shared" si="13"/>
        <v/>
      </c>
      <c r="BK24" s="179" t="str">
        <f t="shared" si="14"/>
        <v/>
      </c>
      <c r="BL24" s="179" t="str">
        <f t="shared" si="17"/>
        <v/>
      </c>
      <c r="BM24" s="5"/>
      <c r="BN24" s="179" t="str">
        <f t="shared" si="15"/>
        <v/>
      </c>
      <c r="BO24" s="179" t="str">
        <f t="shared" si="18"/>
        <v/>
      </c>
      <c r="BP24" s="179" t="str">
        <f t="shared" si="19"/>
        <v/>
      </c>
      <c r="BQ24" s="5"/>
    </row>
    <row r="25" spans="1:69">
      <c r="A25" s="103"/>
      <c r="B25" s="103"/>
      <c r="C25" s="103"/>
      <c r="D25" s="104"/>
      <c r="E25" s="410"/>
      <c r="F25" s="103"/>
      <c r="G25" s="371" t="s">
        <v>205</v>
      </c>
      <c r="H25" s="102" t="str">
        <f>IF(OR(ISBLANK($B25),ISBLANK($C25)),"",ROUND(INDEX('TRU Ops &amp; Costs'!$D$4:$D$74,MATCH($B25&amp;$C25,'TRU Ops &amp; Costs'!$P$4:$P$74,0))/IF($G25="hp",0.7457,1),0))</f>
        <v/>
      </c>
      <c r="I25" s="281"/>
      <c r="J25" s="282" t="str">
        <f>IF(OR(ISBLANK($B25),ISBLANK($C25)),"",INDEX('TRU Ops &amp; Costs'!$E$4:$E$74,MATCH($B25&amp;$C25,'TRU Ops &amp; Costs'!$P$4:$P$74,0)))</f>
        <v/>
      </c>
      <c r="K25" s="285"/>
      <c r="L25" s="102" t="str">
        <f>IF(OR(ISBLANK($B25),ISBLANK($C25)),"",INDEX('TRU Ops &amp; Costs'!$F$4:$F$74,MATCH($B25&amp;$C25,'TRU Ops &amp; Costs'!$P$4:$P$74,0)))</f>
        <v/>
      </c>
      <c r="M25" s="281"/>
      <c r="N25" s="110" t="str">
        <f>IF(OR(ISBLANK($B25),ISBLANK($C25)),"",INDEX('TRU Ops &amp; Costs'!$G$4:$G$74,MATCH($B25&amp;$C25,'TRU Ops &amp; Costs'!$P$4:$P$74,0)))</f>
        <v/>
      </c>
      <c r="O25" s="102" t="str">
        <f t="shared" si="0"/>
        <v/>
      </c>
      <c r="P25" s="281"/>
      <c r="Q25" s="282" t="str">
        <f t="shared" si="16"/>
        <v/>
      </c>
      <c r="R25" s="285"/>
      <c r="S25" s="322" t="str">
        <f>IF(ISBLANK($F25),"",IFERROR(INDEX('Diesel Fuel Prices'!$D$5:$D$31,MATCH($F25,'Diesel Fuel Prices'!$B$5:$B$31,0)),INDEX('Diesel Fuel Prices'!$D$5:$D$31,MATCH("U.S. Average",'Diesel Fuel Prices'!$B$5:$B$31,0)))*References!$B$38/References!$B$37)</f>
        <v/>
      </c>
      <c r="T25" s="291"/>
      <c r="U25" s="322" t="str">
        <f>IF(ISBLANK($F25),"",IFERROR(INDEX('Electricity Prices'!$F$4:$F$30,MATCH($F25,'Electricity Prices'!$B$4:$B$30,0)),INDEX('Electricity Prices'!$F$4:$F$30,MATCH("All U.S.",'Electricity Prices'!$B$4:$B$30,0)))*References!$B$38/References!$B$37)</f>
        <v/>
      </c>
      <c r="V25" s="291"/>
      <c r="W25" s="293" t="str">
        <f>IF(OR(ISBLANK($B25),ISBLANK($C25)),"",INDEX('TRU Ops &amp; Costs'!$I$4:$I$74,MATCH($B25&amp;$C25,'TRU Ops &amp; Costs'!$P$4:$P$74,0)))</f>
        <v/>
      </c>
      <c r="X25" s="296"/>
      <c r="Y25" s="293" t="str">
        <f>IFERROR(IF(AND(ISBLANK(Q25),ISBLANK(R25)),"",IF(OR(ISBLANK($B25),ISBLANK($C25)),"",(IF(E25="Yard",INDEX('TRU Ops &amp; Costs'!$J$4:$J$74,MATCH($B25&amp;$C25,'TRU Ops &amp; Costs'!$P$4:$P$74,0)),INDEX('TRU Ops &amp; Costs'!$K$4:$K$74,MATCH($B25&amp;$C25,'TRU Ops &amp; Costs'!$P$4:$P$74,0)))))/(IF(ISBLANK(R25),Q25,R25))),"")</f>
        <v/>
      </c>
      <c r="Z25" s="296"/>
      <c r="AA25" s="293" t="str">
        <f>IF(OR(ISBLANK($B25),ISBLANK($C25),AND($O25="",ISBLANK($P25))),"",IF(ISBLANK($P25),$O25,$P25)*INDEX('TRU Ops &amp; Costs'!$M$4:$M$74,MATCH($B25&amp;$C25,'TRU Ops &amp; Costs'!$P$4:$P$74,0))*-INDEX('TRU Ops &amp; Costs'!$L$4:$L$74,MATCH($B25&amp;$C25,'TRU Ops &amp; Costs'!$P$4:$P$74,0)))</f>
        <v/>
      </c>
      <c r="AB25" s="186"/>
      <c r="AC25" s="13"/>
      <c r="AD25" s="127" t="str">
        <f t="shared" si="1"/>
        <v/>
      </c>
      <c r="AE25" s="127" t="str">
        <f t="shared" si="2"/>
        <v/>
      </c>
      <c r="AF25" s="167" t="str">
        <f>IF(ISBLANK($F25),"",INDEX('eGRID2018 Subregion'!$J$7:$J$35,MATCH($F25,RegionUSER,0)))</f>
        <v/>
      </c>
      <c r="AG25" s="13"/>
      <c r="AH25" s="202" t="str">
        <f>IF(OR(ISBLANK($B25),ISBLANK($C25),$AD25=""),"",ROUND($AD25*INDEX('Diesel TRU Emission Factors'!$D$6:$D$76,MATCH($B25&amp;$C25,'Diesel TRU Emission Factors'!$R$6:$R$77,0))*GramsToMT,4))</f>
        <v/>
      </c>
      <c r="AI25" s="202" t="str">
        <f>IF(OR(ISBLANK($B25),ISBLANK($C25),$AD25=""),"",ROUND($AD25*INDEX('Diesel TRU Emission Factors'!$E$6:$E$76,MATCH($B25&amp;$C25,'Diesel TRU Emission Factors'!$R$6:$R$77,0))*GramsToMT,4))</f>
        <v/>
      </c>
      <c r="AJ25" s="202" t="str">
        <f>IF(OR(ISBLANK($B25),ISBLANK($C25),$AD25=""),"",ROUND($AD25*INDEX('Diesel TRU Emission Factors'!$H$6:$H$76,MATCH($B25&amp;$C25,'Diesel TRU Emission Factors'!$R$6:$R$77,0))*GramsToMT,4))</f>
        <v/>
      </c>
      <c r="AK25" s="204" t="str">
        <f>IF(OR(ISBLANK($B25),ISBLANK($C25),$AD25=""),"",ROUND($AD25*INDEX('Diesel TRU Emission Factors'!$F$6:$F$76,MATCH($B25&amp;$C25,'Diesel TRU Emission Factors'!$R$6:$R$77,0))*GramsToMT,1))</f>
        <v/>
      </c>
      <c r="AL25" s="194" t="str">
        <f>IF(OR(ISBLANK($B25),ISBLANK($C25),$AD25=""),"",$AD25*INDEX('Diesel TRU Emission Factors'!$G$6:$G$76,MATCH($B25&amp;$C25,'Diesel TRU Emission Factors'!$R$6:$R$77,0))*GramsToMT)</f>
        <v/>
      </c>
      <c r="AM25" s="195" t="str">
        <f>IF(ISBLANK(F25),"",AD25*GalTokWh*'Diesel TRU Emission Factors'!$P$4/1000000)</f>
        <v/>
      </c>
      <c r="AN25" s="206" t="str">
        <f>IF(ISBLANK($F25),"",ROUND(AK25*References!$B$28+AL25*References!$B$29+AM25*References!$B$30,1))</f>
        <v/>
      </c>
      <c r="AO25" s="113"/>
      <c r="AP25" s="202" t="str">
        <f>IF(OR(ISBLANK($F25),$AE25="",$AF25=""),"",ROUND($AE25*(1+$AF25)*INDEX('eGRID2018 Subregion'!$C$7:$C$35,MATCH($F25,RegionUSER,0))*GramsToMT,4))</f>
        <v/>
      </c>
      <c r="AQ25" s="202" t="str">
        <f>IF(OR(ISBLANK($F25),$AE25="",$AF25=""),"",ROUND($AE25*(1+$AF25)*INDEX('eGRID2018 Subregion'!$D$7:$D$35,MATCH($F25,RegionUSER,0))*GramsToMT,4))</f>
        <v/>
      </c>
      <c r="AR25" s="202" t="str">
        <f>IF(OR(ISBLANK($F25),$AE25="",$AF25=""),"",ROUND($AE25*(1+$AF25)*INDEX('eGRID2018 Subregion'!$I$7:$I$35,MATCH($F25,RegionUSER,0))*GramsToMT,4))</f>
        <v/>
      </c>
      <c r="AS25" s="204" t="str">
        <f>IF(OR(ISBLANK($F25),$AE25="",$AF25=""),"",ROUND($AE25*(1+$AF25)*INDEX('eGRID2018 Subregion'!$E$7:$E$35,MATCH($F25,RegionUSER,0))*GramsToMT,1))</f>
        <v/>
      </c>
      <c r="AT25" s="194" t="str">
        <f>IF(OR(ISBLANK($F25),$AE25="",$AF25=""),"",$AE25*(1+$AF25)*INDEX('eGRID2018 Subregion'!$F$7:$F$35,MATCH($F25,RegionUSER,0))*GramsToMT)</f>
        <v/>
      </c>
      <c r="AU25" s="194" t="str">
        <f>IF(OR(ISBLANK($F25),$AE25="",$AF25=""),"",$AE25*(1+$AF25)*INDEX('eGRID2018 Subregion'!$G$7:$G$35,MATCH($F25,RegionUSER,0))*GramsToMT)</f>
        <v/>
      </c>
      <c r="AV25" s="206" t="str">
        <f>IF(ISBLANK($F25),"",ROUND(AS25*References!$B$28+AT25*References!$B$29+AU25*References!$B$30,1))</f>
        <v/>
      </c>
      <c r="AW25" s="5"/>
      <c r="AX25" s="202" t="str">
        <f t="shared" si="3"/>
        <v/>
      </c>
      <c r="AY25" s="202" t="str">
        <f t="shared" si="4"/>
        <v/>
      </c>
      <c r="AZ25" s="202" t="str">
        <f t="shared" si="5"/>
        <v/>
      </c>
      <c r="BA25" s="204" t="str">
        <f t="shared" si="6"/>
        <v/>
      </c>
      <c r="BB25" s="204" t="str">
        <f t="shared" si="7"/>
        <v/>
      </c>
      <c r="BC25" s="1"/>
      <c r="BD25" s="164" t="str">
        <f t="shared" si="8"/>
        <v/>
      </c>
      <c r="BE25" s="164" t="str">
        <f t="shared" si="20"/>
        <v/>
      </c>
      <c r="BF25" s="164" t="str">
        <f t="shared" si="10"/>
        <v/>
      </c>
      <c r="BG25" s="164" t="str">
        <f t="shared" si="11"/>
        <v/>
      </c>
      <c r="BH25" s="164" t="str">
        <f t="shared" si="12"/>
        <v/>
      </c>
      <c r="BI25" s="13"/>
      <c r="BJ25" s="180" t="str">
        <f t="shared" si="13"/>
        <v/>
      </c>
      <c r="BK25" s="180" t="str">
        <f t="shared" si="14"/>
        <v/>
      </c>
      <c r="BL25" s="180" t="str">
        <f>IF(OR($BJ25="",$BK25=""),"",$BJ25+$BK25)</f>
        <v/>
      </c>
      <c r="BM25" s="5"/>
      <c r="BN25" s="180" t="str">
        <f t="shared" si="15"/>
        <v/>
      </c>
      <c r="BO25" s="180" t="str">
        <f>IF(OR($AD25="",$AF25="",AND($S25="",ISBLANK($T25)),AND($U25="",ISBLANK($V25))),"",($AD25*(IF(ISBLANK($T25),$S25,$T25)*GalTokWh))-($AE25*IF(ISBLANK($V25),$U25,$V25)*(1+$AF25)))</f>
        <v/>
      </c>
      <c r="BP25" s="180" t="str">
        <f>IF(OR($BN25="",$BO25=""),"",$BN25+$BO25)</f>
        <v/>
      </c>
      <c r="BQ25" s="5"/>
    </row>
    <row r="26" spans="1:69">
      <c r="A26" s="105"/>
      <c r="B26" s="105"/>
      <c r="C26" s="105"/>
      <c r="D26" s="106"/>
      <c r="E26" s="411"/>
      <c r="F26" s="105"/>
      <c r="G26" s="370" t="s">
        <v>205</v>
      </c>
      <c r="H26" s="102" t="str">
        <f>IF(OR(ISBLANK($B26),ISBLANK($C26)),"",ROUND(INDEX('TRU Ops &amp; Costs'!$D$4:$D$74,MATCH($B26&amp;$C26,'TRU Ops &amp; Costs'!$P$4:$P$74,0))/IF($G26="hp",0.7457,1),0))</f>
        <v/>
      </c>
      <c r="I26" s="280"/>
      <c r="J26" s="282" t="str">
        <f>IF(OR(ISBLANK($B26),ISBLANK($C26)),"",INDEX('TRU Ops &amp; Costs'!$E$4:$E$74,MATCH($B26&amp;$C26,'TRU Ops &amp; Costs'!$P$4:$P$74,0)))</f>
        <v/>
      </c>
      <c r="K26" s="284"/>
      <c r="L26" s="102" t="str">
        <f>IF(OR(ISBLANK($B26),ISBLANK($C26)),"",INDEX('TRU Ops &amp; Costs'!$F$4:$F$74,MATCH($B26&amp;$C26,'TRU Ops &amp; Costs'!$P$4:$P$74,0)))</f>
        <v/>
      </c>
      <c r="M26" s="280"/>
      <c r="N26" s="110" t="str">
        <f>IF(OR(ISBLANK($B26),ISBLANK($C26)),"",INDEX('TRU Ops &amp; Costs'!$G$4:$G$74,MATCH($B26&amp;$C26,'TRU Ops &amp; Costs'!$P$4:$P$74,0)))</f>
        <v/>
      </c>
      <c r="O26" s="102" t="str">
        <f t="shared" si="0"/>
        <v/>
      </c>
      <c r="P26" s="280"/>
      <c r="Q26" s="282" t="str">
        <f t="shared" si="16"/>
        <v/>
      </c>
      <c r="R26" s="284"/>
      <c r="S26" s="322" t="str">
        <f>IF(ISBLANK($F26),"",IFERROR(INDEX('Diesel Fuel Prices'!$D$5:$D$31,MATCH($F26,'Diesel Fuel Prices'!$B$5:$B$31,0)),INDEX('Diesel Fuel Prices'!$D$5:$D$31,MATCH("U.S. Average",'Diesel Fuel Prices'!$B$5:$B$31,0)))*References!$B$38/References!$B$37)</f>
        <v/>
      </c>
      <c r="T26" s="290"/>
      <c r="U26" s="322" t="str">
        <f>IF(ISBLANK($F26),"",IFERROR(INDEX('Electricity Prices'!$F$4:$F$30,MATCH($F26,'Electricity Prices'!$B$4:$B$30,0)),INDEX('Electricity Prices'!$F$4:$F$30,MATCH("All U.S.",'Electricity Prices'!$B$4:$B$30,0)))*References!$B$38/References!$B$37)</f>
        <v/>
      </c>
      <c r="V26" s="290"/>
      <c r="W26" s="293" t="str">
        <f>IF(OR(ISBLANK($B26),ISBLANK($C26)),"",INDEX('TRU Ops &amp; Costs'!$I$4:$I$74,MATCH($B26&amp;$C26,'TRU Ops &amp; Costs'!$P$4:$P$74,0)))</f>
        <v/>
      </c>
      <c r="X26" s="295"/>
      <c r="Y26" s="293" t="str">
        <f>IFERROR(IF(AND(ISBLANK(Q26),ISBLANK(R26)),"",IF(OR(ISBLANK($B26),ISBLANK($C26)),"",(IF(E26="Yard",INDEX('TRU Ops &amp; Costs'!$J$4:$J$74,MATCH($B26&amp;$C26,'TRU Ops &amp; Costs'!$P$4:$P$74,0)),INDEX('TRU Ops &amp; Costs'!$K$4:$K$74,MATCH($B26&amp;$C26,'TRU Ops &amp; Costs'!$P$4:$P$74,0)))))/(IF(ISBLANK(R26),Q26,R26))),"")</f>
        <v/>
      </c>
      <c r="Z26" s="295"/>
      <c r="AA26" s="293" t="str">
        <f>IF(OR(ISBLANK($B26),ISBLANK($C26),AND($O26="",ISBLANK($P26))),"",IF(ISBLANK($P26),$O26,$P26)*INDEX('TRU Ops &amp; Costs'!$M$4:$M$74,MATCH($B26&amp;$C26,'TRU Ops &amp; Costs'!$P$4:$P$74,0))*-INDEX('TRU Ops &amp; Costs'!$L$4:$L$74,MATCH($B26&amp;$C26,'TRU Ops &amp; Costs'!$P$4:$P$74,0)))</f>
        <v/>
      </c>
      <c r="AB26" s="185"/>
      <c r="AC26" s="13"/>
      <c r="AD26" s="128" t="str">
        <f t="shared" si="1"/>
        <v/>
      </c>
      <c r="AE26" s="128" t="str">
        <f t="shared" si="2"/>
        <v/>
      </c>
      <c r="AF26" s="168" t="str">
        <f>IF(ISBLANK($F26),"",INDEX('eGRID2018 Subregion'!$J$7:$J$35,MATCH($F26,RegionUSER,0)))</f>
        <v/>
      </c>
      <c r="AG26" s="13"/>
      <c r="AH26" s="203" t="str">
        <f>IF(OR(ISBLANK($B26),ISBLANK($C26),$AD26=""),"",ROUND($AD26*INDEX('Diesel TRU Emission Factors'!$D$6:$D$76,MATCH($B26&amp;$C26,'Diesel TRU Emission Factors'!$R$6:$R$77,0))*GramsToMT,4))</f>
        <v/>
      </c>
      <c r="AI26" s="203" t="str">
        <f>IF(OR(ISBLANK($B26),ISBLANK($C26),$AD26=""),"",ROUND($AD26*INDEX('Diesel TRU Emission Factors'!$E$6:$E$76,MATCH($B26&amp;$C26,'Diesel TRU Emission Factors'!$R$6:$R$77,0))*GramsToMT,4))</f>
        <v/>
      </c>
      <c r="AJ26" s="203" t="str">
        <f>IF(OR(ISBLANK($B26),ISBLANK($C26),$AD26=""),"",ROUND($AD26*INDEX('Diesel TRU Emission Factors'!$H$6:$H$76,MATCH($B26&amp;$C26,'Diesel TRU Emission Factors'!$R$6:$R$77,0))*GramsToMT,4))</f>
        <v/>
      </c>
      <c r="AK26" s="205" t="str">
        <f>IF(OR(ISBLANK($B26),ISBLANK($C26),$AD26=""),"",ROUND($AD26*INDEX('Diesel TRU Emission Factors'!$F$6:$F$76,MATCH($B26&amp;$C26,'Diesel TRU Emission Factors'!$R$6:$R$77,0))*GramsToMT,1))</f>
        <v/>
      </c>
      <c r="AL26" s="196" t="str">
        <f>IF(OR(ISBLANK($B26),ISBLANK($C26),$AD26=""),"",$AD26*INDEX('Diesel TRU Emission Factors'!$G$6:$G$76,MATCH($B26&amp;$C26,'Diesel TRU Emission Factors'!$R$6:$R$77,0))*GramsToMT)</f>
        <v/>
      </c>
      <c r="AM26" s="197" t="str">
        <f>IF(ISBLANK(F26),"",AD26*GalTokWh*'Diesel TRU Emission Factors'!$P$4/1000000)</f>
        <v/>
      </c>
      <c r="AN26" s="207" t="str">
        <f>IF(ISBLANK($F26),"",ROUND(AK26*References!$B$28+AL26*References!$B$29+AM26*References!$B$30,1))</f>
        <v/>
      </c>
      <c r="AO26" s="113"/>
      <c r="AP26" s="203" t="str">
        <f>IF(OR(ISBLANK($F26),$AE26="",$AF26=""),"",ROUND($AE26*(1+$AF26)*INDEX('eGRID2018 Subregion'!$C$7:$C$35,MATCH($F26,RegionUSER,0))*GramsToMT,4))</f>
        <v/>
      </c>
      <c r="AQ26" s="203" t="str">
        <f>IF(OR(ISBLANK($F26),$AE26="",$AF26=""),"",ROUND($AE26*(1+$AF26)*INDEX('eGRID2018 Subregion'!$D$7:$D$35,MATCH($F26,RegionUSER,0))*GramsToMT,4))</f>
        <v/>
      </c>
      <c r="AR26" s="203" t="str">
        <f>IF(OR(ISBLANK($F26),$AE26="",$AF26=""),"",ROUND($AE26*(1+$AF26)*INDEX('eGRID2018 Subregion'!$I$7:$I$35,MATCH($F26,RegionUSER,0))*GramsToMT,4))</f>
        <v/>
      </c>
      <c r="AS26" s="205" t="str">
        <f>IF(OR(ISBLANK($F26),$AE26="",$AF26=""),"",ROUND($AE26*(1+$AF26)*INDEX('eGRID2018 Subregion'!$E$7:$E$35,MATCH($F26,RegionUSER,0))*GramsToMT,1))</f>
        <v/>
      </c>
      <c r="AT26" s="196" t="str">
        <f>IF(OR(ISBLANK($F26),$AE26="",$AF26=""),"",$AE26*(1+$AF26)*INDEX('eGRID2018 Subregion'!$F$7:$F$35,MATCH($F26,RegionUSER,0))*GramsToMT)</f>
        <v/>
      </c>
      <c r="AU26" s="196" t="str">
        <f>IF(OR(ISBLANK($F26),$AE26="",$AF26=""),"",$AE26*(1+$AF26)*INDEX('eGRID2018 Subregion'!$G$7:$G$35,MATCH($F26,RegionUSER,0))*GramsToMT)</f>
        <v/>
      </c>
      <c r="AV26" s="207" t="str">
        <f>IF(ISBLANK($F26),"",ROUND(AS26*References!$B$28+AT26*References!$B$29+AU26*References!$B$30,1))</f>
        <v/>
      </c>
      <c r="AW26" s="5"/>
      <c r="AX26" s="203" t="str">
        <f t="shared" si="3"/>
        <v/>
      </c>
      <c r="AY26" s="203" t="str">
        <f t="shared" si="4"/>
        <v/>
      </c>
      <c r="AZ26" s="203" t="str">
        <f t="shared" si="5"/>
        <v/>
      </c>
      <c r="BA26" s="205" t="str">
        <f t="shared" si="6"/>
        <v/>
      </c>
      <c r="BB26" s="205" t="str">
        <f t="shared" si="7"/>
        <v/>
      </c>
      <c r="BC26" s="1"/>
      <c r="BD26" s="165" t="str">
        <f t="shared" si="8"/>
        <v/>
      </c>
      <c r="BE26" s="165" t="str">
        <f t="shared" si="20"/>
        <v/>
      </c>
      <c r="BF26" s="165" t="str">
        <f t="shared" si="10"/>
        <v/>
      </c>
      <c r="BG26" s="165" t="str">
        <f t="shared" si="11"/>
        <v/>
      </c>
      <c r="BH26" s="165" t="str">
        <f t="shared" si="12"/>
        <v/>
      </c>
      <c r="BI26" s="13"/>
      <c r="BJ26" s="179" t="str">
        <f t="shared" si="13"/>
        <v/>
      </c>
      <c r="BK26" s="179" t="str">
        <f t="shared" si="14"/>
        <v/>
      </c>
      <c r="BL26" s="179" t="str">
        <f t="shared" si="17"/>
        <v/>
      </c>
      <c r="BM26" s="5"/>
      <c r="BN26" s="179" t="str">
        <f t="shared" si="15"/>
        <v/>
      </c>
      <c r="BO26" s="179" t="str">
        <f t="shared" si="18"/>
        <v/>
      </c>
      <c r="BP26" s="179" t="str">
        <f t="shared" si="19"/>
        <v/>
      </c>
      <c r="BQ26" s="5"/>
    </row>
    <row r="27" spans="1:69">
      <c r="A27" s="103"/>
      <c r="B27" s="103"/>
      <c r="C27" s="103"/>
      <c r="D27" s="104"/>
      <c r="E27" s="410"/>
      <c r="F27" s="103"/>
      <c r="G27" s="371" t="s">
        <v>205</v>
      </c>
      <c r="H27" s="102" t="str">
        <f>IF(OR(ISBLANK($B27),ISBLANK($C27)),"",ROUND(INDEX('TRU Ops &amp; Costs'!$D$4:$D$74,MATCH($B27&amp;$C27,'TRU Ops &amp; Costs'!$P$4:$P$74,0))/IF($G27="hp",0.7457,1),0))</f>
        <v/>
      </c>
      <c r="I27" s="281"/>
      <c r="J27" s="282" t="str">
        <f>IF(OR(ISBLANK($B27),ISBLANK($C27)),"",INDEX('TRU Ops &amp; Costs'!$E$4:$E$74,MATCH($B27&amp;$C27,'TRU Ops &amp; Costs'!$P$4:$P$74,0)))</f>
        <v/>
      </c>
      <c r="K27" s="285"/>
      <c r="L27" s="102" t="str">
        <f>IF(OR(ISBLANK($B27),ISBLANK($C27)),"",INDEX('TRU Ops &amp; Costs'!$F$4:$F$74,MATCH($B27&amp;$C27,'TRU Ops &amp; Costs'!$P$4:$P$74,0)))</f>
        <v/>
      </c>
      <c r="M27" s="281"/>
      <c r="N27" s="110" t="str">
        <f>IF(OR(ISBLANK($B27),ISBLANK($C27)),"",INDEX('TRU Ops &amp; Costs'!$G$4:$G$74,MATCH($B27&amp;$C27,'TRU Ops &amp; Costs'!$P$4:$P$74,0)))</f>
        <v/>
      </c>
      <c r="O27" s="102" t="str">
        <f t="shared" si="0"/>
        <v/>
      </c>
      <c r="P27" s="281"/>
      <c r="Q27" s="282" t="str">
        <f t="shared" si="16"/>
        <v/>
      </c>
      <c r="R27" s="285"/>
      <c r="S27" s="322" t="str">
        <f>IF(ISBLANK($F27),"",IFERROR(INDEX('Diesel Fuel Prices'!$D$5:$D$31,MATCH($F27,'Diesel Fuel Prices'!$B$5:$B$31,0)),INDEX('Diesel Fuel Prices'!$D$5:$D$31,MATCH("U.S. Average",'Diesel Fuel Prices'!$B$5:$B$31,0)))*References!$B$38/References!$B$37)</f>
        <v/>
      </c>
      <c r="T27" s="291"/>
      <c r="U27" s="322" t="str">
        <f>IF(ISBLANK($F27),"",IFERROR(INDEX('Electricity Prices'!$F$4:$F$30,MATCH($F27,'Electricity Prices'!$B$4:$B$30,0)),INDEX('Electricity Prices'!$F$4:$F$30,MATCH("All U.S.",'Electricity Prices'!$B$4:$B$30,0)))*References!$B$38/References!$B$37)</f>
        <v/>
      </c>
      <c r="V27" s="291"/>
      <c r="W27" s="293" t="str">
        <f>IF(OR(ISBLANK($B27),ISBLANK($C27)),"",INDEX('TRU Ops &amp; Costs'!$I$4:$I$74,MATCH($B27&amp;$C27,'TRU Ops &amp; Costs'!$P$4:$P$74,0)))</f>
        <v/>
      </c>
      <c r="X27" s="296"/>
      <c r="Y27" s="293" t="str">
        <f>IFERROR(IF(AND(ISBLANK(Q27),ISBLANK(R27)),"",IF(OR(ISBLANK($B27),ISBLANK($C27)),"",(IF(E27="Yard",INDEX('TRU Ops &amp; Costs'!$J$4:$J$74,MATCH($B27&amp;$C27,'TRU Ops &amp; Costs'!$P$4:$P$74,0)),INDEX('TRU Ops &amp; Costs'!$K$4:$K$74,MATCH($B27&amp;$C27,'TRU Ops &amp; Costs'!$P$4:$P$74,0)))))/(IF(ISBLANK(R27),Q27,R27))),"")</f>
        <v/>
      </c>
      <c r="Z27" s="296"/>
      <c r="AA27" s="293" t="str">
        <f>IF(OR(ISBLANK($B27),ISBLANK($C27),AND($O27="",ISBLANK($P27))),"",IF(ISBLANK($P27),$O27,$P27)*INDEX('TRU Ops &amp; Costs'!$M$4:$M$74,MATCH($B27&amp;$C27,'TRU Ops &amp; Costs'!$P$4:$P$74,0))*-INDEX('TRU Ops &amp; Costs'!$L$4:$L$74,MATCH($B27&amp;$C27,'TRU Ops &amp; Costs'!$P$4:$P$74,0)))</f>
        <v/>
      </c>
      <c r="AB27" s="186"/>
      <c r="AC27" s="13"/>
      <c r="AD27" s="127" t="str">
        <f t="shared" si="1"/>
        <v/>
      </c>
      <c r="AE27" s="127" t="str">
        <f t="shared" si="2"/>
        <v/>
      </c>
      <c r="AF27" s="167" t="str">
        <f>IF(ISBLANK($F27),"",INDEX('eGRID2018 Subregion'!$J$7:$J$35,MATCH($F27,RegionUSER,0)))</f>
        <v/>
      </c>
      <c r="AG27" s="13"/>
      <c r="AH27" s="202" t="str">
        <f>IF(OR(ISBLANK($B27),ISBLANK($C27),$AD27=""),"",ROUND($AD27*INDEX('Diesel TRU Emission Factors'!$D$6:$D$76,MATCH($B27&amp;$C27,'Diesel TRU Emission Factors'!$R$6:$R$77,0))*GramsToMT,4))</f>
        <v/>
      </c>
      <c r="AI27" s="202" t="str">
        <f>IF(OR(ISBLANK($B27),ISBLANK($C27),$AD27=""),"",ROUND($AD27*INDEX('Diesel TRU Emission Factors'!$E$6:$E$76,MATCH($B27&amp;$C27,'Diesel TRU Emission Factors'!$R$6:$R$77,0))*GramsToMT,4))</f>
        <v/>
      </c>
      <c r="AJ27" s="202" t="str">
        <f>IF(OR(ISBLANK($B27),ISBLANK($C27),$AD27=""),"",ROUND($AD27*INDEX('Diesel TRU Emission Factors'!$H$6:$H$76,MATCH($B27&amp;$C27,'Diesel TRU Emission Factors'!$R$6:$R$77,0))*GramsToMT,4))</f>
        <v/>
      </c>
      <c r="AK27" s="204" t="str">
        <f>IF(OR(ISBLANK($B27),ISBLANK($C27),$AD27=""),"",ROUND($AD27*INDEX('Diesel TRU Emission Factors'!$F$6:$F$76,MATCH($B27&amp;$C27,'Diesel TRU Emission Factors'!$R$6:$R$77,0))*GramsToMT,1))</f>
        <v/>
      </c>
      <c r="AL27" s="194" t="str">
        <f>IF(OR(ISBLANK($B27),ISBLANK($C27),$AD27=""),"",$AD27*INDEX('Diesel TRU Emission Factors'!$G$6:$G$76,MATCH($B27&amp;$C27,'Diesel TRU Emission Factors'!$R$6:$R$77,0))*GramsToMT)</f>
        <v/>
      </c>
      <c r="AM27" s="195" t="str">
        <f>IF(ISBLANK(F27),"",AD27*GalTokWh*'Diesel TRU Emission Factors'!$P$4/1000000)</f>
        <v/>
      </c>
      <c r="AN27" s="206" t="str">
        <f>IF(ISBLANK($F27),"",ROUND(AK27*References!$B$28+AL27*References!$B$29+AM27*References!$B$30,1))</f>
        <v/>
      </c>
      <c r="AO27" s="113"/>
      <c r="AP27" s="202" t="str">
        <f>IF(OR(ISBLANK($F27),$AE27="",$AF27=""),"",ROUND($AE27*(1+$AF27)*INDEX('eGRID2018 Subregion'!$C$7:$C$35,MATCH($F27,RegionUSER,0))*GramsToMT,4))</f>
        <v/>
      </c>
      <c r="AQ27" s="202" t="str">
        <f>IF(OR(ISBLANK($F27),$AE27="",$AF27=""),"",ROUND($AE27*(1+$AF27)*INDEX('eGRID2018 Subregion'!$D$7:$D$35,MATCH($F27,RegionUSER,0))*GramsToMT,4))</f>
        <v/>
      </c>
      <c r="AR27" s="202" t="str">
        <f>IF(OR(ISBLANK($F27),$AE27="",$AF27=""),"",ROUND($AE27*(1+$AF27)*INDEX('eGRID2018 Subregion'!$I$7:$I$35,MATCH($F27,RegionUSER,0))*GramsToMT,4))</f>
        <v/>
      </c>
      <c r="AS27" s="204" t="str">
        <f>IF(OR(ISBLANK($F27),$AE27="",$AF27=""),"",ROUND($AE27*(1+$AF27)*INDEX('eGRID2018 Subregion'!$E$7:$E$35,MATCH($F27,RegionUSER,0))*GramsToMT,1))</f>
        <v/>
      </c>
      <c r="AT27" s="194" t="str">
        <f>IF(OR(ISBLANK($F27),$AE27="",$AF27=""),"",$AE27*(1+$AF27)*INDEX('eGRID2018 Subregion'!$F$7:$F$35,MATCH($F27,RegionUSER,0))*GramsToMT)</f>
        <v/>
      </c>
      <c r="AU27" s="194" t="str">
        <f>IF(OR(ISBLANK($F27),$AE27="",$AF27=""),"",$AE27*(1+$AF27)*INDEX('eGRID2018 Subregion'!$G$7:$G$35,MATCH($F27,RegionUSER,0))*GramsToMT)</f>
        <v/>
      </c>
      <c r="AV27" s="206" t="str">
        <f>IF(ISBLANK($F27),"",ROUND(AS27*References!$B$28+AT27*References!$B$29+AU27*References!$B$30,1))</f>
        <v/>
      </c>
      <c r="AW27" s="5"/>
      <c r="AX27" s="202" t="str">
        <f t="shared" si="3"/>
        <v/>
      </c>
      <c r="AY27" s="202" t="str">
        <f t="shared" si="4"/>
        <v/>
      </c>
      <c r="AZ27" s="202" t="str">
        <f t="shared" si="5"/>
        <v/>
      </c>
      <c r="BA27" s="204" t="str">
        <f t="shared" si="6"/>
        <v/>
      </c>
      <c r="BB27" s="204" t="str">
        <f t="shared" si="7"/>
        <v/>
      </c>
      <c r="BC27" s="1"/>
      <c r="BD27" s="164" t="str">
        <f t="shared" si="8"/>
        <v/>
      </c>
      <c r="BE27" s="164" t="str">
        <f t="shared" si="20"/>
        <v/>
      </c>
      <c r="BF27" s="164" t="str">
        <f t="shared" si="10"/>
        <v/>
      </c>
      <c r="BG27" s="164" t="str">
        <f t="shared" si="11"/>
        <v/>
      </c>
      <c r="BH27" s="164" t="str">
        <f t="shared" si="12"/>
        <v/>
      </c>
      <c r="BI27" s="13"/>
      <c r="BJ27" s="180" t="str">
        <f t="shared" si="13"/>
        <v/>
      </c>
      <c r="BK27" s="180" t="str">
        <f t="shared" si="14"/>
        <v/>
      </c>
      <c r="BL27" s="180" t="str">
        <f>IF(OR($BJ27="",$BK27=""),"",$BJ27+$BK27)</f>
        <v/>
      </c>
      <c r="BM27" s="5"/>
      <c r="BN27" s="180" t="str">
        <f t="shared" si="15"/>
        <v/>
      </c>
      <c r="BO27" s="180" t="str">
        <f>IF(OR($AD27="",$AF27="",AND($S27="",ISBLANK($T27)),AND($U27="",ISBLANK($V27))),"",($AD27*(IF(ISBLANK($T27),$S27,$T27)*GalTokWh))-($AE27*IF(ISBLANK($V27),$U27,$V27)*(1+$AF27)))</f>
        <v/>
      </c>
      <c r="BP27" s="180" t="str">
        <f>IF(OR($BN27="",$BO27=""),"",$BN27+$BO27)</f>
        <v/>
      </c>
      <c r="BQ27" s="5"/>
    </row>
    <row r="28" spans="1:69">
      <c r="A28" s="105"/>
      <c r="B28" s="105"/>
      <c r="C28" s="105"/>
      <c r="D28" s="106"/>
      <c r="E28" s="411"/>
      <c r="F28" s="105"/>
      <c r="G28" s="370" t="s">
        <v>205</v>
      </c>
      <c r="H28" s="102" t="str">
        <f>IF(OR(ISBLANK($B28),ISBLANK($C28)),"",ROUND(INDEX('TRU Ops &amp; Costs'!$D$4:$D$74,MATCH($B28&amp;$C28,'TRU Ops &amp; Costs'!$P$4:$P$74,0))/IF($G28="hp",0.7457,1),0))</f>
        <v/>
      </c>
      <c r="I28" s="280"/>
      <c r="J28" s="282" t="str">
        <f>IF(OR(ISBLANK($B28),ISBLANK($C28)),"",INDEX('TRU Ops &amp; Costs'!$E$4:$E$74,MATCH($B28&amp;$C28,'TRU Ops &amp; Costs'!$P$4:$P$74,0)))</f>
        <v/>
      </c>
      <c r="K28" s="284"/>
      <c r="L28" s="102" t="str">
        <f>IF(OR(ISBLANK($B28),ISBLANK($C28)),"",INDEX('TRU Ops &amp; Costs'!$F$4:$F$74,MATCH($B28&amp;$C28,'TRU Ops &amp; Costs'!$P$4:$P$74,0)))</f>
        <v/>
      </c>
      <c r="M28" s="280"/>
      <c r="N28" s="110" t="str">
        <f>IF(OR(ISBLANK($B28),ISBLANK($C28)),"",INDEX('TRU Ops &amp; Costs'!$G$4:$G$74,MATCH($B28&amp;$C28,'TRU Ops &amp; Costs'!$P$4:$P$74,0)))</f>
        <v/>
      </c>
      <c r="O28" s="102" t="str">
        <f t="shared" si="0"/>
        <v/>
      </c>
      <c r="P28" s="280"/>
      <c r="Q28" s="282" t="str">
        <f t="shared" si="16"/>
        <v/>
      </c>
      <c r="R28" s="284"/>
      <c r="S28" s="322" t="str">
        <f>IF(ISBLANK($F28),"",IFERROR(INDEX('Diesel Fuel Prices'!$D$5:$D$31,MATCH($F28,'Diesel Fuel Prices'!$B$5:$B$31,0)),INDEX('Diesel Fuel Prices'!$D$5:$D$31,MATCH("U.S. Average",'Diesel Fuel Prices'!$B$5:$B$31,0)))*References!$B$38/References!$B$37)</f>
        <v/>
      </c>
      <c r="T28" s="290"/>
      <c r="U28" s="322" t="str">
        <f>IF(ISBLANK($F28),"",IFERROR(INDEX('Electricity Prices'!$F$4:$F$30,MATCH($F28,'Electricity Prices'!$B$4:$B$30,0)),INDEX('Electricity Prices'!$F$4:$F$30,MATCH("All U.S.",'Electricity Prices'!$B$4:$B$30,0)))*References!$B$38/References!$B$37)</f>
        <v/>
      </c>
      <c r="V28" s="290"/>
      <c r="W28" s="293" t="str">
        <f>IF(OR(ISBLANK($B28),ISBLANK($C28)),"",INDEX('TRU Ops &amp; Costs'!$I$4:$I$74,MATCH($B28&amp;$C28,'TRU Ops &amp; Costs'!$P$4:$P$74,0)))</f>
        <v/>
      </c>
      <c r="X28" s="295"/>
      <c r="Y28" s="293" t="str">
        <f>IFERROR(IF(AND(ISBLANK(Q28),ISBLANK(R28)),"",IF(OR(ISBLANK($B28),ISBLANK($C28)),"",(IF(E28="Yard",INDEX('TRU Ops &amp; Costs'!$J$4:$J$74,MATCH($B28&amp;$C28,'TRU Ops &amp; Costs'!$P$4:$P$74,0)),INDEX('TRU Ops &amp; Costs'!$K$4:$K$74,MATCH($B28&amp;$C28,'TRU Ops &amp; Costs'!$P$4:$P$74,0)))))/(IF(ISBLANK(R28),Q28,R28))),"")</f>
        <v/>
      </c>
      <c r="Z28" s="295"/>
      <c r="AA28" s="293" t="str">
        <f>IF(OR(ISBLANK($B28),ISBLANK($C28),AND($O28="",ISBLANK($P28))),"",IF(ISBLANK($P28),$O28,$P28)*INDEX('TRU Ops &amp; Costs'!$M$4:$M$74,MATCH($B28&amp;$C28,'TRU Ops &amp; Costs'!$P$4:$P$74,0))*-INDEX('TRU Ops &amp; Costs'!$L$4:$L$74,MATCH($B28&amp;$C28,'TRU Ops &amp; Costs'!$P$4:$P$74,0)))</f>
        <v/>
      </c>
      <c r="AB28" s="185"/>
      <c r="AC28" s="13"/>
      <c r="AD28" s="128" t="str">
        <f t="shared" si="1"/>
        <v/>
      </c>
      <c r="AE28" s="128" t="str">
        <f t="shared" si="2"/>
        <v/>
      </c>
      <c r="AF28" s="168" t="str">
        <f>IF(ISBLANK($F28),"",INDEX('eGRID2018 Subregion'!$J$7:$J$35,MATCH($F28,RegionUSER,0)))</f>
        <v/>
      </c>
      <c r="AG28" s="13"/>
      <c r="AH28" s="203" t="str">
        <f>IF(OR(ISBLANK($B28),ISBLANK($C28),$AD28=""),"",ROUND($AD28*INDEX('Diesel TRU Emission Factors'!$D$6:$D$76,MATCH($B28&amp;$C28,'Diesel TRU Emission Factors'!$R$6:$R$77,0))*GramsToMT,4))</f>
        <v/>
      </c>
      <c r="AI28" s="203" t="str">
        <f>IF(OR(ISBLANK($B28),ISBLANK($C28),$AD28=""),"",ROUND($AD28*INDEX('Diesel TRU Emission Factors'!$E$6:$E$76,MATCH($B28&amp;$C28,'Diesel TRU Emission Factors'!$R$6:$R$77,0))*GramsToMT,4))</f>
        <v/>
      </c>
      <c r="AJ28" s="203" t="str">
        <f>IF(OR(ISBLANK($B28),ISBLANK($C28),$AD28=""),"",ROUND($AD28*INDEX('Diesel TRU Emission Factors'!$H$6:$H$76,MATCH($B28&amp;$C28,'Diesel TRU Emission Factors'!$R$6:$R$77,0))*GramsToMT,4))</f>
        <v/>
      </c>
      <c r="AK28" s="205" t="str">
        <f>IF(OR(ISBLANK($B28),ISBLANK($C28),$AD28=""),"",ROUND($AD28*INDEX('Diesel TRU Emission Factors'!$F$6:$F$76,MATCH($B28&amp;$C28,'Diesel TRU Emission Factors'!$R$6:$R$77,0))*GramsToMT,1))</f>
        <v/>
      </c>
      <c r="AL28" s="196" t="str">
        <f>IF(OR(ISBLANK($B28),ISBLANK($C28),$AD28=""),"",$AD28*INDEX('Diesel TRU Emission Factors'!$G$6:$G$76,MATCH($B28&amp;$C28,'Diesel TRU Emission Factors'!$R$6:$R$77,0))*GramsToMT)</f>
        <v/>
      </c>
      <c r="AM28" s="197" t="str">
        <f>IF(ISBLANK(F28),"",AD28*GalTokWh*'Diesel TRU Emission Factors'!$P$4/1000000)</f>
        <v/>
      </c>
      <c r="AN28" s="207" t="str">
        <f>IF(ISBLANK($F28),"",ROUND(AK28*References!$B$28+AL28*References!$B$29+AM28*References!$B$30,1))</f>
        <v/>
      </c>
      <c r="AO28" s="113"/>
      <c r="AP28" s="203" t="str">
        <f>IF(OR(ISBLANK($F28),$AE28="",$AF28=""),"",ROUND($AE28*(1+$AF28)*INDEX('eGRID2018 Subregion'!$C$7:$C$35,MATCH($F28,RegionUSER,0))*GramsToMT,4))</f>
        <v/>
      </c>
      <c r="AQ28" s="203" t="str">
        <f>IF(OR(ISBLANK($F28),$AE28="",$AF28=""),"",ROUND($AE28*(1+$AF28)*INDEX('eGRID2018 Subregion'!$D$7:$D$35,MATCH($F28,RegionUSER,0))*GramsToMT,4))</f>
        <v/>
      </c>
      <c r="AR28" s="203" t="str">
        <f>IF(OR(ISBLANK($F28),$AE28="",$AF28=""),"",ROUND($AE28*(1+$AF28)*INDEX('eGRID2018 Subregion'!$I$7:$I$35,MATCH($F28,RegionUSER,0))*GramsToMT,4))</f>
        <v/>
      </c>
      <c r="AS28" s="205" t="str">
        <f>IF(OR(ISBLANK($F28),$AE28="",$AF28=""),"",ROUND($AE28*(1+$AF28)*INDEX('eGRID2018 Subregion'!$E$7:$E$35,MATCH($F28,RegionUSER,0))*GramsToMT,1))</f>
        <v/>
      </c>
      <c r="AT28" s="196" t="str">
        <f>IF(OR(ISBLANK($F28),$AE28="",$AF28=""),"",$AE28*(1+$AF28)*INDEX('eGRID2018 Subregion'!$F$7:$F$35,MATCH($F28,RegionUSER,0))*GramsToMT)</f>
        <v/>
      </c>
      <c r="AU28" s="196" t="str">
        <f>IF(OR(ISBLANK($F28),$AE28="",$AF28=""),"",$AE28*(1+$AF28)*INDEX('eGRID2018 Subregion'!$G$7:$G$35,MATCH($F28,RegionUSER,0))*GramsToMT)</f>
        <v/>
      </c>
      <c r="AV28" s="207" t="str">
        <f>IF(ISBLANK($F28),"",ROUND(AS28*References!$B$28+AT28*References!$B$29+AU28*References!$B$30,1))</f>
        <v/>
      </c>
      <c r="AW28" s="5"/>
      <c r="AX28" s="203" t="str">
        <f t="shared" si="3"/>
        <v/>
      </c>
      <c r="AY28" s="203" t="str">
        <f t="shared" si="4"/>
        <v/>
      </c>
      <c r="AZ28" s="203" t="str">
        <f t="shared" si="5"/>
        <v/>
      </c>
      <c r="BA28" s="205" t="str">
        <f t="shared" si="6"/>
        <v/>
      </c>
      <c r="BB28" s="205" t="str">
        <f t="shared" si="7"/>
        <v/>
      </c>
      <c r="BC28" s="1"/>
      <c r="BD28" s="165" t="str">
        <f t="shared" si="8"/>
        <v/>
      </c>
      <c r="BE28" s="165" t="str">
        <f t="shared" si="20"/>
        <v/>
      </c>
      <c r="BF28" s="165" t="str">
        <f t="shared" si="10"/>
        <v/>
      </c>
      <c r="BG28" s="165" t="str">
        <f t="shared" si="11"/>
        <v/>
      </c>
      <c r="BH28" s="165" t="str">
        <f t="shared" si="12"/>
        <v/>
      </c>
      <c r="BI28" s="13"/>
      <c r="BJ28" s="179" t="str">
        <f t="shared" si="13"/>
        <v/>
      </c>
      <c r="BK28" s="179" t="str">
        <f t="shared" si="14"/>
        <v/>
      </c>
      <c r="BL28" s="179" t="str">
        <f t="shared" si="17"/>
        <v/>
      </c>
      <c r="BM28" s="5"/>
      <c r="BN28" s="179" t="str">
        <f t="shared" si="15"/>
        <v/>
      </c>
      <c r="BO28" s="179" t="str">
        <f t="shared" si="18"/>
        <v/>
      </c>
      <c r="BP28" s="179" t="str">
        <f t="shared" si="19"/>
        <v/>
      </c>
      <c r="BQ28" s="5"/>
    </row>
    <row r="29" spans="1:69">
      <c r="A29" s="103"/>
      <c r="B29" s="103"/>
      <c r="C29" s="103"/>
      <c r="D29" s="104"/>
      <c r="E29" s="410"/>
      <c r="F29" s="103"/>
      <c r="G29" s="371" t="s">
        <v>205</v>
      </c>
      <c r="H29" s="102" t="str">
        <f>IF(OR(ISBLANK($B29),ISBLANK($C29)),"",ROUND(INDEX('TRU Ops &amp; Costs'!$D$4:$D$74,MATCH($B29&amp;$C29,'TRU Ops &amp; Costs'!$P$4:$P$74,0))/IF($G29="hp",0.7457,1),0))</f>
        <v/>
      </c>
      <c r="I29" s="281"/>
      <c r="J29" s="282" t="str">
        <f>IF(OR(ISBLANK($B29),ISBLANK($C29)),"",INDEX('TRU Ops &amp; Costs'!$E$4:$E$74,MATCH($B29&amp;$C29,'TRU Ops &amp; Costs'!$P$4:$P$74,0)))</f>
        <v/>
      </c>
      <c r="K29" s="285"/>
      <c r="L29" s="102" t="str">
        <f>IF(OR(ISBLANK($B29),ISBLANK($C29)),"",INDEX('TRU Ops &amp; Costs'!$F$4:$F$74,MATCH($B29&amp;$C29,'TRU Ops &amp; Costs'!$P$4:$P$74,0)))</f>
        <v/>
      </c>
      <c r="M29" s="281"/>
      <c r="N29" s="110" t="str">
        <f>IF(OR(ISBLANK($B29),ISBLANK($C29)),"",INDEX('TRU Ops &amp; Costs'!$G$4:$G$74,MATCH($B29&amp;$C29,'TRU Ops &amp; Costs'!$P$4:$P$74,0)))</f>
        <v/>
      </c>
      <c r="O29" s="102" t="str">
        <f t="shared" si="0"/>
        <v/>
      </c>
      <c r="P29" s="281"/>
      <c r="Q29" s="282" t="str">
        <f t="shared" si="16"/>
        <v/>
      </c>
      <c r="R29" s="285"/>
      <c r="S29" s="322" t="str">
        <f>IF(ISBLANK($F29),"",IFERROR(INDEX('Diesel Fuel Prices'!$D$5:$D$31,MATCH($F29,'Diesel Fuel Prices'!$B$5:$B$31,0)),INDEX('Diesel Fuel Prices'!$D$5:$D$31,MATCH("U.S. Average",'Diesel Fuel Prices'!$B$5:$B$31,0)))*References!$B$38/References!$B$37)</f>
        <v/>
      </c>
      <c r="T29" s="291"/>
      <c r="U29" s="322" t="str">
        <f>IF(ISBLANK($F29),"",IFERROR(INDEX('Electricity Prices'!$F$4:$F$30,MATCH($F29,'Electricity Prices'!$B$4:$B$30,0)),INDEX('Electricity Prices'!$F$4:$F$30,MATCH("All U.S.",'Electricity Prices'!$B$4:$B$30,0)))*References!$B$38/References!$B$37)</f>
        <v/>
      </c>
      <c r="V29" s="291"/>
      <c r="W29" s="293" t="str">
        <f>IF(OR(ISBLANK($B29),ISBLANK($C29)),"",INDEX('TRU Ops &amp; Costs'!$I$4:$I$74,MATCH($B29&amp;$C29,'TRU Ops &amp; Costs'!$P$4:$P$74,0)))</f>
        <v/>
      </c>
      <c r="X29" s="296"/>
      <c r="Y29" s="293" t="str">
        <f>IFERROR(IF(AND(ISBLANK(Q29),ISBLANK(R29)),"",IF(OR(ISBLANK($B29),ISBLANK($C29)),"",(IF(E29="Yard",INDEX('TRU Ops &amp; Costs'!$J$4:$J$74,MATCH($B29&amp;$C29,'TRU Ops &amp; Costs'!$P$4:$P$74,0)),INDEX('TRU Ops &amp; Costs'!$K$4:$K$74,MATCH($B29&amp;$C29,'TRU Ops &amp; Costs'!$P$4:$P$74,0)))))/(IF(ISBLANK(R29),Q29,R29))),"")</f>
        <v/>
      </c>
      <c r="Z29" s="296"/>
      <c r="AA29" s="293" t="str">
        <f>IF(OR(ISBLANK($B29),ISBLANK($C29),AND($O29="",ISBLANK($P29))),"",IF(ISBLANK($P29),$O29,$P29)*INDEX('TRU Ops &amp; Costs'!$M$4:$M$74,MATCH($B29&amp;$C29,'TRU Ops &amp; Costs'!$P$4:$P$74,0))*-INDEX('TRU Ops &amp; Costs'!$L$4:$L$74,MATCH($B29&amp;$C29,'TRU Ops &amp; Costs'!$P$4:$P$74,0)))</f>
        <v/>
      </c>
      <c r="AB29" s="186"/>
      <c r="AC29" s="13"/>
      <c r="AD29" s="127" t="str">
        <f t="shared" si="1"/>
        <v/>
      </c>
      <c r="AE29" s="127" t="str">
        <f t="shared" si="2"/>
        <v/>
      </c>
      <c r="AF29" s="167" t="str">
        <f>IF(ISBLANK($F29),"",INDEX('eGRID2018 Subregion'!$J$7:$J$35,MATCH($F29,RegionUSER,0)))</f>
        <v/>
      </c>
      <c r="AG29" s="13"/>
      <c r="AH29" s="202" t="str">
        <f>IF(OR(ISBLANK($B29),ISBLANK($C29),$AD29=""),"",ROUND($AD29*INDEX('Diesel TRU Emission Factors'!$D$6:$D$76,MATCH($B29&amp;$C29,'Diesel TRU Emission Factors'!$R$6:$R$77,0))*GramsToMT,4))</f>
        <v/>
      </c>
      <c r="AI29" s="202" t="str">
        <f>IF(OR(ISBLANK($B29),ISBLANK($C29),$AD29=""),"",ROUND($AD29*INDEX('Diesel TRU Emission Factors'!$E$6:$E$76,MATCH($B29&amp;$C29,'Diesel TRU Emission Factors'!$R$6:$R$77,0))*GramsToMT,4))</f>
        <v/>
      </c>
      <c r="AJ29" s="202" t="str">
        <f>IF(OR(ISBLANK($B29),ISBLANK($C29),$AD29=""),"",ROUND($AD29*INDEX('Diesel TRU Emission Factors'!$H$6:$H$76,MATCH($B29&amp;$C29,'Diesel TRU Emission Factors'!$R$6:$R$77,0))*GramsToMT,4))</f>
        <v/>
      </c>
      <c r="AK29" s="204" t="str">
        <f>IF(OR(ISBLANK($B29),ISBLANK($C29),$AD29=""),"",ROUND($AD29*INDEX('Diesel TRU Emission Factors'!$F$6:$F$76,MATCH($B29&amp;$C29,'Diesel TRU Emission Factors'!$R$6:$R$77,0))*GramsToMT,1))</f>
        <v/>
      </c>
      <c r="AL29" s="194" t="str">
        <f>IF(OR(ISBLANK($B29),ISBLANK($C29),$AD29=""),"",$AD29*INDEX('Diesel TRU Emission Factors'!$G$6:$G$76,MATCH($B29&amp;$C29,'Diesel TRU Emission Factors'!$R$6:$R$77,0))*GramsToMT)</f>
        <v/>
      </c>
      <c r="AM29" s="195" t="str">
        <f>IF(ISBLANK(F29),"",AD29*GalTokWh*'Diesel TRU Emission Factors'!$P$4/1000000)</f>
        <v/>
      </c>
      <c r="AN29" s="206" t="str">
        <f>IF(ISBLANK($F29),"",ROUND(AK29*References!$B$28+AL29*References!$B$29+AM29*References!$B$30,1))</f>
        <v/>
      </c>
      <c r="AO29" s="113"/>
      <c r="AP29" s="202" t="str">
        <f>IF(OR(ISBLANK($F29),$AE29="",$AF29=""),"",ROUND($AE29*(1+$AF29)*INDEX('eGRID2018 Subregion'!$C$7:$C$35,MATCH($F29,RegionUSER,0))*GramsToMT,4))</f>
        <v/>
      </c>
      <c r="AQ29" s="202" t="str">
        <f>IF(OR(ISBLANK($F29),$AE29="",$AF29=""),"",ROUND($AE29*(1+$AF29)*INDEX('eGRID2018 Subregion'!$D$7:$D$35,MATCH($F29,RegionUSER,0))*GramsToMT,4))</f>
        <v/>
      </c>
      <c r="AR29" s="202" t="str">
        <f>IF(OR(ISBLANK($F29),$AE29="",$AF29=""),"",ROUND($AE29*(1+$AF29)*INDEX('eGRID2018 Subregion'!$I$7:$I$35,MATCH($F29,RegionUSER,0))*GramsToMT,4))</f>
        <v/>
      </c>
      <c r="AS29" s="204" t="str">
        <f>IF(OR(ISBLANK($F29),$AE29="",$AF29=""),"",ROUND($AE29*(1+$AF29)*INDEX('eGRID2018 Subregion'!$E$7:$E$35,MATCH($F29,RegionUSER,0))*GramsToMT,1))</f>
        <v/>
      </c>
      <c r="AT29" s="194" t="str">
        <f>IF(OR(ISBLANK($F29),$AE29="",$AF29=""),"",$AE29*(1+$AF29)*INDEX('eGRID2018 Subregion'!$F$7:$F$35,MATCH($F29,RegionUSER,0))*GramsToMT)</f>
        <v/>
      </c>
      <c r="AU29" s="194" t="str">
        <f>IF(OR(ISBLANK($F29),$AE29="",$AF29=""),"",$AE29*(1+$AF29)*INDEX('eGRID2018 Subregion'!$G$7:$G$35,MATCH($F29,RegionUSER,0))*GramsToMT)</f>
        <v/>
      </c>
      <c r="AV29" s="206" t="str">
        <f>IF(ISBLANK($F29),"",ROUND(AS29*References!$B$28+AT29*References!$B$29+AU29*References!$B$30,1))</f>
        <v/>
      </c>
      <c r="AW29" s="5"/>
      <c r="AX29" s="202" t="str">
        <f t="shared" si="3"/>
        <v/>
      </c>
      <c r="AY29" s="202" t="str">
        <f t="shared" si="4"/>
        <v/>
      </c>
      <c r="AZ29" s="202" t="str">
        <f t="shared" si="5"/>
        <v/>
      </c>
      <c r="BA29" s="204" t="str">
        <f t="shared" si="6"/>
        <v/>
      </c>
      <c r="BB29" s="204" t="str">
        <f t="shared" si="7"/>
        <v/>
      </c>
      <c r="BC29" s="1"/>
      <c r="BD29" s="164" t="str">
        <f t="shared" si="8"/>
        <v/>
      </c>
      <c r="BE29" s="164" t="str">
        <f t="shared" si="20"/>
        <v/>
      </c>
      <c r="BF29" s="164" t="str">
        <f t="shared" si="10"/>
        <v/>
      </c>
      <c r="BG29" s="164" t="str">
        <f t="shared" si="11"/>
        <v/>
      </c>
      <c r="BH29" s="164" t="str">
        <f t="shared" si="12"/>
        <v/>
      </c>
      <c r="BI29" s="13"/>
      <c r="BJ29" s="180" t="str">
        <f t="shared" si="13"/>
        <v/>
      </c>
      <c r="BK29" s="180" t="str">
        <f t="shared" si="14"/>
        <v/>
      </c>
      <c r="BL29" s="180" t="str">
        <f>IF(OR($BJ29="",$BK29=""),"",$BJ29+$BK29)</f>
        <v/>
      </c>
      <c r="BM29" s="5"/>
      <c r="BN29" s="180" t="str">
        <f t="shared" si="15"/>
        <v/>
      </c>
      <c r="BO29" s="180" t="str">
        <f>IF(OR($AD29="",$AF29="",AND($S29="",ISBLANK($T29)),AND($U29="",ISBLANK($V29))),"",($AD29*(IF(ISBLANK($T29),$S29,$T29)*GalTokWh))-($AE29*IF(ISBLANK($V29),$U29,$V29)*(1+$AF29)))</f>
        <v/>
      </c>
      <c r="BP29" s="180" t="str">
        <f>IF(OR($BN29="",$BO29=""),"",$BN29+$BO29)</f>
        <v/>
      </c>
      <c r="BQ29" s="5"/>
    </row>
    <row r="30" spans="1:69">
      <c r="A30" s="105"/>
      <c r="B30" s="105"/>
      <c r="C30" s="105"/>
      <c r="D30" s="106"/>
      <c r="E30" s="411"/>
      <c r="F30" s="105"/>
      <c r="G30" s="370" t="s">
        <v>205</v>
      </c>
      <c r="H30" s="102" t="str">
        <f>IF(OR(ISBLANK($B30),ISBLANK($C30)),"",ROUND(INDEX('TRU Ops &amp; Costs'!$D$4:$D$74,MATCH($B30&amp;$C30,'TRU Ops &amp; Costs'!$P$4:$P$74,0))/IF($G30="hp",0.7457,1),0))</f>
        <v/>
      </c>
      <c r="I30" s="280"/>
      <c r="J30" s="282" t="str">
        <f>IF(OR(ISBLANK($B30),ISBLANK($C30)),"",INDEX('TRU Ops &amp; Costs'!$E$4:$E$74,MATCH($B30&amp;$C30,'TRU Ops &amp; Costs'!$P$4:$P$74,0)))</f>
        <v/>
      </c>
      <c r="K30" s="284"/>
      <c r="L30" s="102" t="str">
        <f>IF(OR(ISBLANK($B30),ISBLANK($C30)),"",INDEX('TRU Ops &amp; Costs'!$F$4:$F$74,MATCH($B30&amp;$C30,'TRU Ops &amp; Costs'!$P$4:$P$74,0)))</f>
        <v/>
      </c>
      <c r="M30" s="280"/>
      <c r="N30" s="110" t="str">
        <f>IF(OR(ISBLANK($B30),ISBLANK($C30)),"",INDEX('TRU Ops &amp; Costs'!$G$4:$G$74,MATCH($B30&amp;$C30,'TRU Ops &amp; Costs'!$P$4:$P$74,0)))</f>
        <v/>
      </c>
      <c r="O30" s="102" t="str">
        <f t="shared" si="0"/>
        <v/>
      </c>
      <c r="P30" s="280"/>
      <c r="Q30" s="282" t="str">
        <f t="shared" si="16"/>
        <v/>
      </c>
      <c r="R30" s="284"/>
      <c r="S30" s="322" t="str">
        <f>IF(ISBLANK($F30),"",IFERROR(INDEX('Diesel Fuel Prices'!$D$5:$D$31,MATCH($F30,'Diesel Fuel Prices'!$B$5:$B$31,0)),INDEX('Diesel Fuel Prices'!$D$5:$D$31,MATCH("U.S. Average",'Diesel Fuel Prices'!$B$5:$B$31,0)))*References!$B$38/References!$B$37)</f>
        <v/>
      </c>
      <c r="T30" s="290"/>
      <c r="U30" s="322" t="str">
        <f>IF(ISBLANK($F30),"",IFERROR(INDEX('Electricity Prices'!$F$4:$F$30,MATCH($F30,'Electricity Prices'!$B$4:$B$30,0)),INDEX('Electricity Prices'!$F$4:$F$30,MATCH("All U.S.",'Electricity Prices'!$B$4:$B$30,0)))*References!$B$38/References!$B$37)</f>
        <v/>
      </c>
      <c r="V30" s="290"/>
      <c r="W30" s="293" t="str">
        <f>IF(OR(ISBLANK($B30),ISBLANK($C30)),"",INDEX('TRU Ops &amp; Costs'!$I$4:$I$74,MATCH($B30&amp;$C30,'TRU Ops &amp; Costs'!$P$4:$P$74,0)))</f>
        <v/>
      </c>
      <c r="X30" s="295"/>
      <c r="Y30" s="293" t="str">
        <f>IFERROR(IF(AND(ISBLANK(Q30),ISBLANK(R30)),"",IF(OR(ISBLANK($B30),ISBLANK($C30)),"",(IF(E30="Yard",INDEX('TRU Ops &amp; Costs'!$J$4:$J$74,MATCH($B30&amp;$C30,'TRU Ops &amp; Costs'!$P$4:$P$74,0)),INDEX('TRU Ops &amp; Costs'!$K$4:$K$74,MATCH($B30&amp;$C30,'TRU Ops &amp; Costs'!$P$4:$P$74,0)))))/(IF(ISBLANK(R30),Q30,R30))),"")</f>
        <v/>
      </c>
      <c r="Z30" s="295"/>
      <c r="AA30" s="293" t="str">
        <f>IF(OR(ISBLANK($B30),ISBLANK($C30),AND($O30="",ISBLANK($P30))),"",IF(ISBLANK($P30),$O30,$P30)*INDEX('TRU Ops &amp; Costs'!$M$4:$M$74,MATCH($B30&amp;$C30,'TRU Ops &amp; Costs'!$P$4:$P$74,0))*-INDEX('TRU Ops &amp; Costs'!$L$4:$L$74,MATCH($B30&amp;$C30,'TRU Ops &amp; Costs'!$P$4:$P$74,0)))</f>
        <v/>
      </c>
      <c r="AB30" s="185"/>
      <c r="AC30" s="13"/>
      <c r="AD30" s="128" t="str">
        <f t="shared" si="1"/>
        <v/>
      </c>
      <c r="AE30" s="128" t="str">
        <f t="shared" si="2"/>
        <v/>
      </c>
      <c r="AF30" s="168" t="str">
        <f>IF(ISBLANK($F30),"",INDEX('eGRID2018 Subregion'!$J$7:$J$35,MATCH($F30,RegionUSER,0)))</f>
        <v/>
      </c>
      <c r="AG30" s="13"/>
      <c r="AH30" s="203" t="str">
        <f>IF(OR(ISBLANK($B30),ISBLANK($C30),$AD30=""),"",ROUND($AD30*INDEX('Diesel TRU Emission Factors'!$D$6:$D$76,MATCH($B30&amp;$C30,'Diesel TRU Emission Factors'!$R$6:$R$77,0))*GramsToMT,4))</f>
        <v/>
      </c>
      <c r="AI30" s="203" t="str">
        <f>IF(OR(ISBLANK($B30),ISBLANK($C30),$AD30=""),"",ROUND($AD30*INDEX('Diesel TRU Emission Factors'!$E$6:$E$76,MATCH($B30&amp;$C30,'Diesel TRU Emission Factors'!$R$6:$R$77,0))*GramsToMT,4))</f>
        <v/>
      </c>
      <c r="AJ30" s="203" t="str">
        <f>IF(OR(ISBLANK($B30),ISBLANK($C30),$AD30=""),"",ROUND($AD30*INDEX('Diesel TRU Emission Factors'!$H$6:$H$76,MATCH($B30&amp;$C30,'Diesel TRU Emission Factors'!$R$6:$R$77,0))*GramsToMT,4))</f>
        <v/>
      </c>
      <c r="AK30" s="205" t="str">
        <f>IF(OR(ISBLANK($B30),ISBLANK($C30),$AD30=""),"",ROUND($AD30*INDEX('Diesel TRU Emission Factors'!$F$6:$F$76,MATCH($B30&amp;$C30,'Diesel TRU Emission Factors'!$R$6:$R$77,0))*GramsToMT,1))</f>
        <v/>
      </c>
      <c r="AL30" s="196" t="str">
        <f>IF(OR(ISBLANK($B30),ISBLANK($C30),$AD30=""),"",$AD30*INDEX('Diesel TRU Emission Factors'!$G$6:$G$76,MATCH($B30&amp;$C30,'Diesel TRU Emission Factors'!$R$6:$R$77,0))*GramsToMT)</f>
        <v/>
      </c>
      <c r="AM30" s="197" t="str">
        <f>IF(ISBLANK(F30),"",AD30*GalTokWh*'Diesel TRU Emission Factors'!$P$4/1000000)</f>
        <v/>
      </c>
      <c r="AN30" s="207" t="str">
        <f>IF(ISBLANK($F30),"",ROUND(AK30*References!$B$28+AL30*References!$B$29+AM30*References!$B$30,1))</f>
        <v/>
      </c>
      <c r="AO30" s="113"/>
      <c r="AP30" s="203" t="str">
        <f>IF(OR(ISBLANK($F30),$AE30="",$AF30=""),"",ROUND($AE30*(1+$AF30)*INDEX('eGRID2018 Subregion'!$C$7:$C$35,MATCH($F30,RegionUSER,0))*GramsToMT,4))</f>
        <v/>
      </c>
      <c r="AQ30" s="203" t="str">
        <f>IF(OR(ISBLANK($F30),$AE30="",$AF30=""),"",ROUND($AE30*(1+$AF30)*INDEX('eGRID2018 Subregion'!$D$7:$D$35,MATCH($F30,RegionUSER,0))*GramsToMT,4))</f>
        <v/>
      </c>
      <c r="AR30" s="203" t="str">
        <f>IF(OR(ISBLANK($F30),$AE30="",$AF30=""),"",ROUND($AE30*(1+$AF30)*INDEX('eGRID2018 Subregion'!$I$7:$I$35,MATCH($F30,RegionUSER,0))*GramsToMT,4))</f>
        <v/>
      </c>
      <c r="AS30" s="205" t="str">
        <f>IF(OR(ISBLANK($F30),$AE30="",$AF30=""),"",ROUND($AE30*(1+$AF30)*INDEX('eGRID2018 Subregion'!$E$7:$E$35,MATCH($F30,RegionUSER,0))*GramsToMT,1))</f>
        <v/>
      </c>
      <c r="AT30" s="196" t="str">
        <f>IF(OR(ISBLANK($F30),$AE30="",$AF30=""),"",$AE30*(1+$AF30)*INDEX('eGRID2018 Subregion'!$F$7:$F$35,MATCH($F30,RegionUSER,0))*GramsToMT)</f>
        <v/>
      </c>
      <c r="AU30" s="196" t="str">
        <f>IF(OR(ISBLANK($F30),$AE30="",$AF30=""),"",$AE30*(1+$AF30)*INDEX('eGRID2018 Subregion'!$G$7:$G$35,MATCH($F30,RegionUSER,0))*GramsToMT)</f>
        <v/>
      </c>
      <c r="AV30" s="207" t="str">
        <f>IF(ISBLANK($F30),"",ROUND(AS30*References!$B$28+AT30*References!$B$29+AU30*References!$B$30,1))</f>
        <v/>
      </c>
      <c r="AW30" s="5"/>
      <c r="AX30" s="203" t="str">
        <f t="shared" si="3"/>
        <v/>
      </c>
      <c r="AY30" s="203" t="str">
        <f t="shared" si="4"/>
        <v/>
      </c>
      <c r="AZ30" s="203" t="str">
        <f t="shared" si="5"/>
        <v/>
      </c>
      <c r="BA30" s="205" t="str">
        <f t="shared" si="6"/>
        <v/>
      </c>
      <c r="BB30" s="205" t="str">
        <f t="shared" si="7"/>
        <v/>
      </c>
      <c r="BC30" s="1"/>
      <c r="BD30" s="165" t="str">
        <f t="shared" si="8"/>
        <v/>
      </c>
      <c r="BE30" s="165" t="str">
        <f t="shared" si="20"/>
        <v/>
      </c>
      <c r="BF30" s="165" t="str">
        <f t="shared" si="10"/>
        <v/>
      </c>
      <c r="BG30" s="165" t="str">
        <f t="shared" si="11"/>
        <v/>
      </c>
      <c r="BH30" s="165" t="str">
        <f t="shared" si="12"/>
        <v/>
      </c>
      <c r="BI30" s="13"/>
      <c r="BJ30" s="179" t="str">
        <f t="shared" si="13"/>
        <v/>
      </c>
      <c r="BK30" s="179" t="str">
        <f t="shared" si="14"/>
        <v/>
      </c>
      <c r="BL30" s="179" t="str">
        <f t="shared" si="17"/>
        <v/>
      </c>
      <c r="BM30" s="5"/>
      <c r="BN30" s="179" t="str">
        <f t="shared" si="15"/>
        <v/>
      </c>
      <c r="BO30" s="179" t="str">
        <f t="shared" si="18"/>
        <v/>
      </c>
      <c r="BP30" s="179" t="str">
        <f t="shared" si="19"/>
        <v/>
      </c>
      <c r="BQ30" s="5"/>
    </row>
    <row r="31" spans="1:69">
      <c r="A31" s="103"/>
      <c r="B31" s="103"/>
      <c r="C31" s="103"/>
      <c r="D31" s="104"/>
      <c r="E31" s="410"/>
      <c r="F31" s="103"/>
      <c r="G31" s="371" t="s">
        <v>205</v>
      </c>
      <c r="H31" s="102" t="str">
        <f>IF(OR(ISBLANK($B31),ISBLANK($C31)),"",ROUND(INDEX('TRU Ops &amp; Costs'!$D$4:$D$74,MATCH($B31&amp;$C31,'TRU Ops &amp; Costs'!$P$4:$P$74,0))/IF($G31="hp",0.7457,1),0))</f>
        <v/>
      </c>
      <c r="I31" s="281"/>
      <c r="J31" s="282" t="str">
        <f>IF(OR(ISBLANK($B31),ISBLANK($C31)),"",INDEX('TRU Ops &amp; Costs'!$E$4:$E$74,MATCH($B31&amp;$C31,'TRU Ops &amp; Costs'!$P$4:$P$74,0)))</f>
        <v/>
      </c>
      <c r="K31" s="285"/>
      <c r="L31" s="102" t="str">
        <f>IF(OR(ISBLANK($B31),ISBLANK($C31)),"",INDEX('TRU Ops &amp; Costs'!$F$4:$F$74,MATCH($B31&amp;$C31,'TRU Ops &amp; Costs'!$P$4:$P$74,0)))</f>
        <v/>
      </c>
      <c r="M31" s="281"/>
      <c r="N31" s="110" t="str">
        <f>IF(OR(ISBLANK($B31),ISBLANK($C31)),"",INDEX('TRU Ops &amp; Costs'!$G$4:$G$74,MATCH($B31&amp;$C31,'TRU Ops &amp; Costs'!$P$4:$P$74,0)))</f>
        <v/>
      </c>
      <c r="O31" s="102" t="str">
        <f t="shared" si="0"/>
        <v/>
      </c>
      <c r="P31" s="281"/>
      <c r="Q31" s="282" t="str">
        <f t="shared" si="16"/>
        <v/>
      </c>
      <c r="R31" s="285"/>
      <c r="S31" s="322" t="str">
        <f>IF(ISBLANK($F31),"",IFERROR(INDEX('Diesel Fuel Prices'!$D$5:$D$31,MATCH($F31,'Diesel Fuel Prices'!$B$5:$B$31,0)),INDEX('Diesel Fuel Prices'!$D$5:$D$31,MATCH("U.S. Average",'Diesel Fuel Prices'!$B$5:$B$31,0)))*References!$B$38/References!$B$37)</f>
        <v/>
      </c>
      <c r="T31" s="291"/>
      <c r="U31" s="322" t="str">
        <f>IF(ISBLANK($F31),"",IFERROR(INDEX('Electricity Prices'!$F$4:$F$30,MATCH($F31,'Electricity Prices'!$B$4:$B$30,0)),INDEX('Electricity Prices'!$F$4:$F$30,MATCH("All U.S.",'Electricity Prices'!$B$4:$B$30,0)))*References!$B$38/References!$B$37)</f>
        <v/>
      </c>
      <c r="V31" s="291"/>
      <c r="W31" s="293" t="str">
        <f>IF(OR(ISBLANK($B31),ISBLANK($C31)),"",INDEX('TRU Ops &amp; Costs'!$I$4:$I$74,MATCH($B31&amp;$C31,'TRU Ops &amp; Costs'!$P$4:$P$74,0)))</f>
        <v/>
      </c>
      <c r="X31" s="296"/>
      <c r="Y31" s="293" t="str">
        <f>IFERROR(IF(AND(ISBLANK(Q31),ISBLANK(R31)),"",IF(OR(ISBLANK($B31),ISBLANK($C31)),"",(IF(E31="Yard",INDEX('TRU Ops &amp; Costs'!$J$4:$J$74,MATCH($B31&amp;$C31,'TRU Ops &amp; Costs'!$P$4:$P$74,0)),INDEX('TRU Ops &amp; Costs'!$K$4:$K$74,MATCH($B31&amp;$C31,'TRU Ops &amp; Costs'!$P$4:$P$74,0)))))/(IF(ISBLANK(R31),Q31,R31))),"")</f>
        <v/>
      </c>
      <c r="Z31" s="296"/>
      <c r="AA31" s="293" t="str">
        <f>IF(OR(ISBLANK($B31),ISBLANK($C31),AND($O31="",ISBLANK($P31))),"",IF(ISBLANK($P31),$O31,$P31)*INDEX('TRU Ops &amp; Costs'!$M$4:$M$74,MATCH($B31&amp;$C31,'TRU Ops &amp; Costs'!$P$4:$P$74,0))*-INDEX('TRU Ops &amp; Costs'!$L$4:$L$74,MATCH($B31&amp;$C31,'TRU Ops &amp; Costs'!$P$4:$P$74,0)))</f>
        <v/>
      </c>
      <c r="AB31" s="186"/>
      <c r="AC31" s="13"/>
      <c r="AD31" s="127" t="str">
        <f t="shared" si="1"/>
        <v/>
      </c>
      <c r="AE31" s="127" t="str">
        <f t="shared" si="2"/>
        <v/>
      </c>
      <c r="AF31" s="167" t="str">
        <f>IF(ISBLANK($F31),"",INDEX('eGRID2018 Subregion'!$J$7:$J$35,MATCH($F31,RegionUSER,0)))</f>
        <v/>
      </c>
      <c r="AG31" s="13"/>
      <c r="AH31" s="202" t="str">
        <f>IF(OR(ISBLANK($B31),ISBLANK($C31),$AD31=""),"",ROUND($AD31*INDEX('Diesel TRU Emission Factors'!$D$6:$D$76,MATCH($B31&amp;$C31,'Diesel TRU Emission Factors'!$R$6:$R$77,0))*GramsToMT,4))</f>
        <v/>
      </c>
      <c r="AI31" s="202" t="str">
        <f>IF(OR(ISBLANK($B31),ISBLANK($C31),$AD31=""),"",ROUND($AD31*INDEX('Diesel TRU Emission Factors'!$E$6:$E$76,MATCH($B31&amp;$C31,'Diesel TRU Emission Factors'!$R$6:$R$77,0))*GramsToMT,4))</f>
        <v/>
      </c>
      <c r="AJ31" s="202" t="str">
        <f>IF(OR(ISBLANK($B31),ISBLANK($C31),$AD31=""),"",ROUND($AD31*INDEX('Diesel TRU Emission Factors'!$H$6:$H$76,MATCH($B31&amp;$C31,'Diesel TRU Emission Factors'!$R$6:$R$77,0))*GramsToMT,4))</f>
        <v/>
      </c>
      <c r="AK31" s="204" t="str">
        <f>IF(OR(ISBLANK($B31),ISBLANK($C31),$AD31=""),"",ROUND($AD31*INDEX('Diesel TRU Emission Factors'!$F$6:$F$76,MATCH($B31&amp;$C31,'Diesel TRU Emission Factors'!$R$6:$R$77,0))*GramsToMT,1))</f>
        <v/>
      </c>
      <c r="AL31" s="194" t="str">
        <f>IF(OR(ISBLANK($B31),ISBLANK($C31),$AD31=""),"",$AD31*INDEX('Diesel TRU Emission Factors'!$G$6:$G$76,MATCH($B31&amp;$C31,'Diesel TRU Emission Factors'!$R$6:$R$77,0))*GramsToMT)</f>
        <v/>
      </c>
      <c r="AM31" s="195" t="str">
        <f>IF(ISBLANK(F31),"",AD31*GalTokWh*'Diesel TRU Emission Factors'!$P$4/1000000)</f>
        <v/>
      </c>
      <c r="AN31" s="206" t="str">
        <f>IF(ISBLANK($F31),"",ROUND(AK31*References!$B$28+AL31*References!$B$29+AM31*References!$B$30,1))</f>
        <v/>
      </c>
      <c r="AO31" s="113"/>
      <c r="AP31" s="202" t="str">
        <f>IF(OR(ISBLANK($F31),$AE31="",$AF31=""),"",ROUND($AE31*(1+$AF31)*INDEX('eGRID2018 Subregion'!$C$7:$C$35,MATCH($F31,RegionUSER,0))*GramsToMT,4))</f>
        <v/>
      </c>
      <c r="AQ31" s="202" t="str">
        <f>IF(OR(ISBLANK($F31),$AE31="",$AF31=""),"",ROUND($AE31*(1+$AF31)*INDEX('eGRID2018 Subregion'!$D$7:$D$35,MATCH($F31,RegionUSER,0))*GramsToMT,4))</f>
        <v/>
      </c>
      <c r="AR31" s="202" t="str">
        <f>IF(OR(ISBLANK($F31),$AE31="",$AF31=""),"",ROUND($AE31*(1+$AF31)*INDEX('eGRID2018 Subregion'!$I$7:$I$35,MATCH($F31,RegionUSER,0))*GramsToMT,4))</f>
        <v/>
      </c>
      <c r="AS31" s="204" t="str">
        <f>IF(OR(ISBLANK($F31),$AE31="",$AF31=""),"",ROUND($AE31*(1+$AF31)*INDEX('eGRID2018 Subregion'!$E$7:$E$35,MATCH($F31,RegionUSER,0))*GramsToMT,1))</f>
        <v/>
      </c>
      <c r="AT31" s="194" t="str">
        <f>IF(OR(ISBLANK($F31),$AE31="",$AF31=""),"",$AE31*(1+$AF31)*INDEX('eGRID2018 Subregion'!$F$7:$F$35,MATCH($F31,RegionUSER,0))*GramsToMT)</f>
        <v/>
      </c>
      <c r="AU31" s="194" t="str">
        <f>IF(OR(ISBLANK($F31),$AE31="",$AF31=""),"",$AE31*(1+$AF31)*INDEX('eGRID2018 Subregion'!$G$7:$G$35,MATCH($F31,RegionUSER,0))*GramsToMT)</f>
        <v/>
      </c>
      <c r="AV31" s="206" t="str">
        <f>IF(ISBLANK($F31),"",ROUND(AS31*References!$B$28+AT31*References!$B$29+AU31*References!$B$30,1))</f>
        <v/>
      </c>
      <c r="AW31" s="5"/>
      <c r="AX31" s="202" t="str">
        <f t="shared" si="3"/>
        <v/>
      </c>
      <c r="AY31" s="202" t="str">
        <f t="shared" si="4"/>
        <v/>
      </c>
      <c r="AZ31" s="202" t="str">
        <f t="shared" si="5"/>
        <v/>
      </c>
      <c r="BA31" s="204" t="str">
        <f t="shared" si="6"/>
        <v/>
      </c>
      <c r="BB31" s="204" t="str">
        <f t="shared" si="7"/>
        <v/>
      </c>
      <c r="BC31" s="1"/>
      <c r="BD31" s="164" t="str">
        <f t="shared" si="8"/>
        <v/>
      </c>
      <c r="BE31" s="164" t="str">
        <f t="shared" si="20"/>
        <v/>
      </c>
      <c r="BF31" s="164" t="str">
        <f t="shared" si="10"/>
        <v/>
      </c>
      <c r="BG31" s="164" t="str">
        <f t="shared" si="11"/>
        <v/>
      </c>
      <c r="BH31" s="164" t="str">
        <f t="shared" si="12"/>
        <v/>
      </c>
      <c r="BI31" s="13"/>
      <c r="BJ31" s="180" t="str">
        <f t="shared" si="13"/>
        <v/>
      </c>
      <c r="BK31" s="180" t="str">
        <f t="shared" si="14"/>
        <v/>
      </c>
      <c r="BL31" s="180" t="str">
        <f>IF(OR($BJ31="",$BK31=""),"",$BJ31+$BK31)</f>
        <v/>
      </c>
      <c r="BM31" s="5"/>
      <c r="BN31" s="180" t="str">
        <f t="shared" si="15"/>
        <v/>
      </c>
      <c r="BO31" s="180" t="str">
        <f>IF(OR($AD31="",$AF31="",AND($S31="",ISBLANK($T31)),AND($U31="",ISBLANK($V31))),"",($AD31*(IF(ISBLANK($T31),$S31,$T31)*GalTokWh))-($AE31*IF(ISBLANK($V31),$U31,$V31)*(1+$AF31)))</f>
        <v/>
      </c>
      <c r="BP31" s="180" t="str">
        <f>IF(OR($BN31="",$BO31=""),"",$BN31+$BO31)</f>
        <v/>
      </c>
      <c r="BQ31" s="5"/>
    </row>
    <row r="32" spans="1:69">
      <c r="A32" s="105"/>
      <c r="B32" s="105"/>
      <c r="C32" s="105"/>
      <c r="D32" s="106"/>
      <c r="E32" s="411"/>
      <c r="F32" s="105"/>
      <c r="G32" s="370" t="s">
        <v>205</v>
      </c>
      <c r="H32" s="102" t="str">
        <f>IF(OR(ISBLANK($B32),ISBLANK($C32)),"",ROUND(INDEX('TRU Ops &amp; Costs'!$D$4:$D$74,MATCH($B32&amp;$C32,'TRU Ops &amp; Costs'!$P$4:$P$74,0))/IF($G32="hp",0.7457,1),0))</f>
        <v/>
      </c>
      <c r="I32" s="280"/>
      <c r="J32" s="282" t="str">
        <f>IF(OR(ISBLANK($B32),ISBLANK($C32)),"",INDEX('TRU Ops &amp; Costs'!$E$4:$E$74,MATCH($B32&amp;$C32,'TRU Ops &amp; Costs'!$P$4:$P$74,0)))</f>
        <v/>
      </c>
      <c r="K32" s="284"/>
      <c r="L32" s="102" t="str">
        <f>IF(OR(ISBLANK($B32),ISBLANK($C32)),"",INDEX('TRU Ops &amp; Costs'!$F$4:$F$74,MATCH($B32&amp;$C32,'TRU Ops &amp; Costs'!$P$4:$P$74,0)))</f>
        <v/>
      </c>
      <c r="M32" s="280"/>
      <c r="N32" s="110" t="str">
        <f>IF(OR(ISBLANK($B32),ISBLANK($C32)),"",INDEX('TRU Ops &amp; Costs'!$G$4:$G$74,MATCH($B32&amp;$C32,'TRU Ops &amp; Costs'!$P$4:$P$74,0)))</f>
        <v/>
      </c>
      <c r="O32" s="102" t="str">
        <f t="shared" si="0"/>
        <v/>
      </c>
      <c r="P32" s="280"/>
      <c r="Q32" s="282" t="str">
        <f t="shared" si="16"/>
        <v/>
      </c>
      <c r="R32" s="284"/>
      <c r="S32" s="322" t="str">
        <f>IF(ISBLANK($F32),"",IFERROR(INDEX('Diesel Fuel Prices'!$D$5:$D$31,MATCH($F32,'Diesel Fuel Prices'!$B$5:$B$31,0)),INDEX('Diesel Fuel Prices'!$D$5:$D$31,MATCH("U.S. Average",'Diesel Fuel Prices'!$B$5:$B$31,0)))*References!$B$38/References!$B$37)</f>
        <v/>
      </c>
      <c r="T32" s="290"/>
      <c r="U32" s="322" t="str">
        <f>IF(ISBLANK($F32),"",IFERROR(INDEX('Electricity Prices'!$F$4:$F$30,MATCH($F32,'Electricity Prices'!$B$4:$B$30,0)),INDEX('Electricity Prices'!$F$4:$F$30,MATCH("All U.S.",'Electricity Prices'!$B$4:$B$30,0)))*References!$B$38/References!$B$37)</f>
        <v/>
      </c>
      <c r="V32" s="290"/>
      <c r="W32" s="293" t="str">
        <f>IF(OR(ISBLANK($B32),ISBLANK($C32)),"",INDEX('TRU Ops &amp; Costs'!$I$4:$I$74,MATCH($B32&amp;$C32,'TRU Ops &amp; Costs'!$P$4:$P$74,0)))</f>
        <v/>
      </c>
      <c r="X32" s="295"/>
      <c r="Y32" s="293" t="str">
        <f>IFERROR(IF(AND(ISBLANK(Q32),ISBLANK(R32)),"",IF(OR(ISBLANK($B32),ISBLANK($C32)),"",(IF(E32="Yard",INDEX('TRU Ops &amp; Costs'!$J$4:$J$74,MATCH($B32&amp;$C32,'TRU Ops &amp; Costs'!$P$4:$P$74,0)),INDEX('TRU Ops &amp; Costs'!$K$4:$K$74,MATCH($B32&amp;$C32,'TRU Ops &amp; Costs'!$P$4:$P$74,0)))))/(IF(ISBLANK(R32),Q32,R32))),"")</f>
        <v/>
      </c>
      <c r="Z32" s="295"/>
      <c r="AA32" s="293" t="str">
        <f>IF(OR(ISBLANK($B32),ISBLANK($C32),AND($O32="",ISBLANK($P32))),"",IF(ISBLANK($P32),$O32,$P32)*INDEX('TRU Ops &amp; Costs'!$M$4:$M$74,MATCH($B32&amp;$C32,'TRU Ops &amp; Costs'!$P$4:$P$74,0))*-INDEX('TRU Ops &amp; Costs'!$L$4:$L$74,MATCH($B32&amp;$C32,'TRU Ops &amp; Costs'!$P$4:$P$74,0)))</f>
        <v/>
      </c>
      <c r="AB32" s="185"/>
      <c r="AC32" s="13"/>
      <c r="AD32" s="128" t="str">
        <f t="shared" si="1"/>
        <v/>
      </c>
      <c r="AE32" s="128" t="str">
        <f t="shared" si="2"/>
        <v/>
      </c>
      <c r="AF32" s="168" t="str">
        <f>IF(ISBLANK($F32),"",INDEX('eGRID2018 Subregion'!$J$7:$J$35,MATCH($F32,RegionUSER,0)))</f>
        <v/>
      </c>
      <c r="AG32" s="13"/>
      <c r="AH32" s="203" t="str">
        <f>IF(OR(ISBLANK($B32),ISBLANK($C32),$AD32=""),"",ROUND($AD32*INDEX('Diesel TRU Emission Factors'!$D$6:$D$76,MATCH($B32&amp;$C32,'Diesel TRU Emission Factors'!$R$6:$R$77,0))*GramsToMT,4))</f>
        <v/>
      </c>
      <c r="AI32" s="203" t="str">
        <f>IF(OR(ISBLANK($B32),ISBLANK($C32),$AD32=""),"",ROUND($AD32*INDEX('Diesel TRU Emission Factors'!$E$6:$E$76,MATCH($B32&amp;$C32,'Diesel TRU Emission Factors'!$R$6:$R$77,0))*GramsToMT,4))</f>
        <v/>
      </c>
      <c r="AJ32" s="203" t="str">
        <f>IF(OR(ISBLANK($B32),ISBLANK($C32),$AD32=""),"",ROUND($AD32*INDEX('Diesel TRU Emission Factors'!$H$6:$H$76,MATCH($B32&amp;$C32,'Diesel TRU Emission Factors'!$R$6:$R$77,0))*GramsToMT,4))</f>
        <v/>
      </c>
      <c r="AK32" s="205" t="str">
        <f>IF(OR(ISBLANK($B32),ISBLANK($C32),$AD32=""),"",ROUND($AD32*INDEX('Diesel TRU Emission Factors'!$F$6:$F$76,MATCH($B32&amp;$C32,'Diesel TRU Emission Factors'!$R$6:$R$77,0))*GramsToMT,1))</f>
        <v/>
      </c>
      <c r="AL32" s="196" t="str">
        <f>IF(OR(ISBLANK($B32),ISBLANK($C32),$AD32=""),"",$AD32*INDEX('Diesel TRU Emission Factors'!$G$6:$G$76,MATCH($B32&amp;$C32,'Diesel TRU Emission Factors'!$R$6:$R$77,0))*GramsToMT)</f>
        <v/>
      </c>
      <c r="AM32" s="197" t="str">
        <f>IF(ISBLANK(F32),"",AD32*GalTokWh*'Diesel TRU Emission Factors'!$P$4/1000000)</f>
        <v/>
      </c>
      <c r="AN32" s="207" t="str">
        <f>IF(ISBLANK($F32),"",ROUND(AK32*References!$B$28+AL32*References!$B$29+AM32*References!$B$30,1))</f>
        <v/>
      </c>
      <c r="AO32" s="113"/>
      <c r="AP32" s="203" t="str">
        <f>IF(OR(ISBLANK($F32),$AE32="",$AF32=""),"",ROUND($AE32*(1+$AF32)*INDEX('eGRID2018 Subregion'!$C$7:$C$35,MATCH($F32,RegionUSER,0))*GramsToMT,4))</f>
        <v/>
      </c>
      <c r="AQ32" s="203" t="str">
        <f>IF(OR(ISBLANK($F32),$AE32="",$AF32=""),"",ROUND($AE32*(1+$AF32)*INDEX('eGRID2018 Subregion'!$D$7:$D$35,MATCH($F32,RegionUSER,0))*GramsToMT,4))</f>
        <v/>
      </c>
      <c r="AR32" s="203" t="str">
        <f>IF(OR(ISBLANK($F32),$AE32="",$AF32=""),"",ROUND($AE32*(1+$AF32)*INDEX('eGRID2018 Subregion'!$I$7:$I$35,MATCH($F32,RegionUSER,0))*GramsToMT,4))</f>
        <v/>
      </c>
      <c r="AS32" s="205" t="str">
        <f>IF(OR(ISBLANK($F32),$AE32="",$AF32=""),"",ROUND($AE32*(1+$AF32)*INDEX('eGRID2018 Subregion'!$E$7:$E$35,MATCH($F32,RegionUSER,0))*GramsToMT,1))</f>
        <v/>
      </c>
      <c r="AT32" s="196" t="str">
        <f>IF(OR(ISBLANK($F32),$AE32="",$AF32=""),"",$AE32*(1+$AF32)*INDEX('eGRID2018 Subregion'!$F$7:$F$35,MATCH($F32,RegionUSER,0))*GramsToMT)</f>
        <v/>
      </c>
      <c r="AU32" s="196" t="str">
        <f>IF(OR(ISBLANK($F32),$AE32="",$AF32=""),"",$AE32*(1+$AF32)*INDEX('eGRID2018 Subregion'!$G$7:$G$35,MATCH($F32,RegionUSER,0))*GramsToMT)</f>
        <v/>
      </c>
      <c r="AV32" s="207" t="str">
        <f>IF(ISBLANK($F32),"",ROUND(AS32*References!$B$28+AT32*References!$B$29+AU32*References!$B$30,1))</f>
        <v/>
      </c>
      <c r="AW32" s="5"/>
      <c r="AX32" s="203" t="str">
        <f t="shared" si="3"/>
        <v/>
      </c>
      <c r="AY32" s="203" t="str">
        <f t="shared" si="4"/>
        <v/>
      </c>
      <c r="AZ32" s="203" t="str">
        <f t="shared" si="5"/>
        <v/>
      </c>
      <c r="BA32" s="205" t="str">
        <f t="shared" si="6"/>
        <v/>
      </c>
      <c r="BB32" s="205" t="str">
        <f t="shared" si="7"/>
        <v/>
      </c>
      <c r="BC32" s="1"/>
      <c r="BD32" s="165" t="str">
        <f t="shared" si="8"/>
        <v/>
      </c>
      <c r="BE32" s="165" t="str">
        <f t="shared" si="20"/>
        <v/>
      </c>
      <c r="BF32" s="165" t="str">
        <f t="shared" si="10"/>
        <v/>
      </c>
      <c r="BG32" s="165" t="str">
        <f t="shared" si="11"/>
        <v/>
      </c>
      <c r="BH32" s="165" t="str">
        <f t="shared" si="12"/>
        <v/>
      </c>
      <c r="BI32" s="13"/>
      <c r="BJ32" s="179" t="str">
        <f t="shared" si="13"/>
        <v/>
      </c>
      <c r="BK32" s="179" t="str">
        <f t="shared" si="14"/>
        <v/>
      </c>
      <c r="BL32" s="179" t="str">
        <f t="shared" si="17"/>
        <v/>
      </c>
      <c r="BM32" s="5"/>
      <c r="BN32" s="179" t="str">
        <f t="shared" si="15"/>
        <v/>
      </c>
      <c r="BO32" s="179" t="str">
        <f t="shared" si="18"/>
        <v/>
      </c>
      <c r="BP32" s="179" t="str">
        <f t="shared" si="19"/>
        <v/>
      </c>
      <c r="BQ32" s="5"/>
    </row>
    <row r="33" spans="1:69">
      <c r="A33" s="103"/>
      <c r="B33" s="103"/>
      <c r="C33" s="103"/>
      <c r="D33" s="104"/>
      <c r="E33" s="410"/>
      <c r="F33" s="103"/>
      <c r="G33" s="371" t="s">
        <v>205</v>
      </c>
      <c r="H33" s="102" t="str">
        <f>IF(OR(ISBLANK($B33),ISBLANK($C33)),"",ROUND(INDEX('TRU Ops &amp; Costs'!$D$4:$D$74,MATCH($B33&amp;$C33,'TRU Ops &amp; Costs'!$P$4:$P$74,0))/IF($G33="hp",0.7457,1),0))</f>
        <v/>
      </c>
      <c r="I33" s="281"/>
      <c r="J33" s="282" t="str">
        <f>IF(OR(ISBLANK($B33),ISBLANK($C33)),"",INDEX('TRU Ops &amp; Costs'!$E$4:$E$74,MATCH($B33&amp;$C33,'TRU Ops &amp; Costs'!$P$4:$P$74,0)))</f>
        <v/>
      </c>
      <c r="K33" s="285"/>
      <c r="L33" s="102" t="str">
        <f>IF(OR(ISBLANK($B33),ISBLANK($C33)),"",INDEX('TRU Ops &amp; Costs'!$F$4:$F$74,MATCH($B33&amp;$C33,'TRU Ops &amp; Costs'!$P$4:$P$74,0)))</f>
        <v/>
      </c>
      <c r="M33" s="281"/>
      <c r="N33" s="110" t="str">
        <f>IF(OR(ISBLANK($B33),ISBLANK($C33)),"",INDEX('TRU Ops &amp; Costs'!$G$4:$G$74,MATCH($B33&amp;$C33,'TRU Ops &amp; Costs'!$P$4:$P$74,0)))</f>
        <v/>
      </c>
      <c r="O33" s="102" t="str">
        <f t="shared" si="0"/>
        <v/>
      </c>
      <c r="P33" s="281"/>
      <c r="Q33" s="282" t="str">
        <f t="shared" si="16"/>
        <v/>
      </c>
      <c r="R33" s="285"/>
      <c r="S33" s="322" t="str">
        <f>IF(ISBLANK($F33),"",IFERROR(INDEX('Diesel Fuel Prices'!$D$5:$D$31,MATCH($F33,'Diesel Fuel Prices'!$B$5:$B$31,0)),INDEX('Diesel Fuel Prices'!$D$5:$D$31,MATCH("U.S. Average",'Diesel Fuel Prices'!$B$5:$B$31,0)))*References!$B$38/References!$B$37)</f>
        <v/>
      </c>
      <c r="T33" s="291"/>
      <c r="U33" s="322" t="str">
        <f>IF(ISBLANK($F33),"",IFERROR(INDEX('Electricity Prices'!$F$4:$F$30,MATCH($F33,'Electricity Prices'!$B$4:$B$30,0)),INDEX('Electricity Prices'!$F$4:$F$30,MATCH("All U.S.",'Electricity Prices'!$B$4:$B$30,0)))*References!$B$38/References!$B$37)</f>
        <v/>
      </c>
      <c r="V33" s="291"/>
      <c r="W33" s="293" t="str">
        <f>IF(OR(ISBLANK($B33),ISBLANK($C33)),"",INDEX('TRU Ops &amp; Costs'!$I$4:$I$74,MATCH($B33&amp;$C33,'TRU Ops &amp; Costs'!$P$4:$P$74,0)))</f>
        <v/>
      </c>
      <c r="X33" s="296"/>
      <c r="Y33" s="293" t="str">
        <f>IFERROR(IF(AND(ISBLANK(Q33),ISBLANK(R33)),"",IF(OR(ISBLANK($B33),ISBLANK($C33)),"",(IF(E33="Yard",INDEX('TRU Ops &amp; Costs'!$J$4:$J$74,MATCH($B33&amp;$C33,'TRU Ops &amp; Costs'!$P$4:$P$74,0)),INDEX('TRU Ops &amp; Costs'!$K$4:$K$74,MATCH($B33&amp;$C33,'TRU Ops &amp; Costs'!$P$4:$P$74,0)))))/(IF(ISBLANK(R33),Q33,R33))),"")</f>
        <v/>
      </c>
      <c r="Z33" s="296"/>
      <c r="AA33" s="293" t="str">
        <f>IF(OR(ISBLANK($B33),ISBLANK($C33),AND($O33="",ISBLANK($P33))),"",IF(ISBLANK($P33),$O33,$P33)*INDEX('TRU Ops &amp; Costs'!$M$4:$M$74,MATCH($B33&amp;$C33,'TRU Ops &amp; Costs'!$P$4:$P$74,0))*-INDEX('TRU Ops &amp; Costs'!$L$4:$L$74,MATCH($B33&amp;$C33,'TRU Ops &amp; Costs'!$P$4:$P$74,0)))</f>
        <v/>
      </c>
      <c r="AB33" s="186"/>
      <c r="AC33" s="13"/>
      <c r="AD33" s="127" t="str">
        <f t="shared" si="1"/>
        <v/>
      </c>
      <c r="AE33" s="127" t="str">
        <f t="shared" si="2"/>
        <v/>
      </c>
      <c r="AF33" s="167" t="str">
        <f>IF(ISBLANK($F33),"",INDEX('eGRID2018 Subregion'!$J$7:$J$35,MATCH($F33,RegionUSER,0)))</f>
        <v/>
      </c>
      <c r="AG33" s="13"/>
      <c r="AH33" s="202" t="str">
        <f>IF(OR(ISBLANK($B33),ISBLANK($C33),$AD33=""),"",ROUND($AD33*INDEX('Diesel TRU Emission Factors'!$D$6:$D$76,MATCH($B33&amp;$C33,'Diesel TRU Emission Factors'!$R$6:$R$77,0))*GramsToMT,4))</f>
        <v/>
      </c>
      <c r="AI33" s="202" t="str">
        <f>IF(OR(ISBLANK($B33),ISBLANK($C33),$AD33=""),"",ROUND($AD33*INDEX('Diesel TRU Emission Factors'!$E$6:$E$76,MATCH($B33&amp;$C33,'Diesel TRU Emission Factors'!$R$6:$R$77,0))*GramsToMT,4))</f>
        <v/>
      </c>
      <c r="AJ33" s="202" t="str">
        <f>IF(OR(ISBLANK($B33),ISBLANK($C33),$AD33=""),"",ROUND($AD33*INDEX('Diesel TRU Emission Factors'!$H$6:$H$76,MATCH($B33&amp;$C33,'Diesel TRU Emission Factors'!$R$6:$R$77,0))*GramsToMT,4))</f>
        <v/>
      </c>
      <c r="AK33" s="204" t="str">
        <f>IF(OR(ISBLANK($B33),ISBLANK($C33),$AD33=""),"",ROUND($AD33*INDEX('Diesel TRU Emission Factors'!$F$6:$F$76,MATCH($B33&amp;$C33,'Diesel TRU Emission Factors'!$R$6:$R$77,0))*GramsToMT,1))</f>
        <v/>
      </c>
      <c r="AL33" s="194" t="str">
        <f>IF(OR(ISBLANK($B33),ISBLANK($C33),$AD33=""),"",$AD33*INDEX('Diesel TRU Emission Factors'!$G$6:$G$76,MATCH($B33&amp;$C33,'Diesel TRU Emission Factors'!$R$6:$R$77,0))*GramsToMT)</f>
        <v/>
      </c>
      <c r="AM33" s="195" t="str">
        <f>IF(ISBLANK(F33),"",AD33*GalTokWh*'Diesel TRU Emission Factors'!$P$4/1000000)</f>
        <v/>
      </c>
      <c r="AN33" s="206" t="str">
        <f>IF(ISBLANK($F33),"",ROUND(AK33*References!$B$28+AL33*References!$B$29+AM33*References!$B$30,1))</f>
        <v/>
      </c>
      <c r="AO33" s="113"/>
      <c r="AP33" s="202" t="str">
        <f>IF(OR(ISBLANK($F33),$AE33="",$AF33=""),"",ROUND($AE33*(1+$AF33)*INDEX('eGRID2018 Subregion'!$C$7:$C$35,MATCH($F33,RegionUSER,0))*GramsToMT,4))</f>
        <v/>
      </c>
      <c r="AQ33" s="202" t="str">
        <f>IF(OR(ISBLANK($F33),$AE33="",$AF33=""),"",ROUND($AE33*(1+$AF33)*INDEX('eGRID2018 Subregion'!$D$7:$D$35,MATCH($F33,RegionUSER,0))*GramsToMT,4))</f>
        <v/>
      </c>
      <c r="AR33" s="202" t="str">
        <f>IF(OR(ISBLANK($F33),$AE33="",$AF33=""),"",ROUND($AE33*(1+$AF33)*INDEX('eGRID2018 Subregion'!$I$7:$I$35,MATCH($F33,RegionUSER,0))*GramsToMT,4))</f>
        <v/>
      </c>
      <c r="AS33" s="204" t="str">
        <f>IF(OR(ISBLANK($F33),$AE33="",$AF33=""),"",ROUND($AE33*(1+$AF33)*INDEX('eGRID2018 Subregion'!$E$7:$E$35,MATCH($F33,RegionUSER,0))*GramsToMT,1))</f>
        <v/>
      </c>
      <c r="AT33" s="194" t="str">
        <f>IF(OR(ISBLANK($F33),$AE33="",$AF33=""),"",$AE33*(1+$AF33)*INDEX('eGRID2018 Subregion'!$F$7:$F$35,MATCH($F33,RegionUSER,0))*GramsToMT)</f>
        <v/>
      </c>
      <c r="AU33" s="194" t="str">
        <f>IF(OR(ISBLANK($F33),$AE33="",$AF33=""),"",$AE33*(1+$AF33)*INDEX('eGRID2018 Subregion'!$G$7:$G$35,MATCH($F33,RegionUSER,0))*GramsToMT)</f>
        <v/>
      </c>
      <c r="AV33" s="206" t="str">
        <f>IF(ISBLANK($F33),"",ROUND(AS33*References!$B$28+AT33*References!$B$29+AU33*References!$B$30,1))</f>
        <v/>
      </c>
      <c r="AW33" s="5"/>
      <c r="AX33" s="202" t="str">
        <f t="shared" si="3"/>
        <v/>
      </c>
      <c r="AY33" s="202" t="str">
        <f t="shared" si="4"/>
        <v/>
      </c>
      <c r="AZ33" s="202" t="str">
        <f t="shared" si="5"/>
        <v/>
      </c>
      <c r="BA33" s="204" t="str">
        <f t="shared" si="6"/>
        <v/>
      </c>
      <c r="BB33" s="204" t="str">
        <f t="shared" si="7"/>
        <v/>
      </c>
      <c r="BC33" s="1"/>
      <c r="BD33" s="164" t="str">
        <f t="shared" si="8"/>
        <v/>
      </c>
      <c r="BE33" s="164" t="str">
        <f t="shared" si="20"/>
        <v/>
      </c>
      <c r="BF33" s="164" t="str">
        <f t="shared" si="10"/>
        <v/>
      </c>
      <c r="BG33" s="164" t="str">
        <f t="shared" si="11"/>
        <v/>
      </c>
      <c r="BH33" s="164" t="str">
        <f t="shared" si="12"/>
        <v/>
      </c>
      <c r="BI33" s="13"/>
      <c r="BJ33" s="180" t="str">
        <f t="shared" si="13"/>
        <v/>
      </c>
      <c r="BK33" s="180" t="str">
        <f t="shared" si="14"/>
        <v/>
      </c>
      <c r="BL33" s="180" t="str">
        <f>IF(OR($BJ33="",$BK33=""),"",$BJ33+$BK33)</f>
        <v/>
      </c>
      <c r="BM33" s="5"/>
      <c r="BN33" s="180" t="str">
        <f t="shared" si="15"/>
        <v/>
      </c>
      <c r="BO33" s="180" t="str">
        <f>IF(OR($AD33="",$AF33="",AND($S33="",ISBLANK($T33)),AND($U33="",ISBLANK($V33))),"",($AD33*(IF(ISBLANK($T33),$S33,$T33)*GalTokWh))-($AE33*IF(ISBLANK($V33),$U33,$V33)*(1+$AF33)))</f>
        <v/>
      </c>
      <c r="BP33" s="180" t="str">
        <f>IF(OR($BN33="",$BO33=""),"",$BN33+$BO33)</f>
        <v/>
      </c>
      <c r="BQ33" s="5"/>
    </row>
    <row r="34" spans="1:69">
      <c r="A34" s="105"/>
      <c r="B34" s="105"/>
      <c r="C34" s="105"/>
      <c r="D34" s="106"/>
      <c r="E34" s="411"/>
      <c r="F34" s="105"/>
      <c r="G34" s="370" t="s">
        <v>205</v>
      </c>
      <c r="H34" s="102" t="str">
        <f>IF(OR(ISBLANK($B34),ISBLANK($C34)),"",ROUND(INDEX('TRU Ops &amp; Costs'!$D$4:$D$74,MATCH($B34&amp;$C34,'TRU Ops &amp; Costs'!$P$4:$P$74,0))/IF($G34="hp",0.7457,1),0))</f>
        <v/>
      </c>
      <c r="I34" s="280"/>
      <c r="J34" s="282" t="str">
        <f>IF(OR(ISBLANK($B34),ISBLANK($C34)),"",INDEX('TRU Ops &amp; Costs'!$E$4:$E$74,MATCH($B34&amp;$C34,'TRU Ops &amp; Costs'!$P$4:$P$74,0)))</f>
        <v/>
      </c>
      <c r="K34" s="284"/>
      <c r="L34" s="102" t="str">
        <f>IF(OR(ISBLANK($B34),ISBLANK($C34)),"",INDEX('TRU Ops &amp; Costs'!$F$4:$F$74,MATCH($B34&amp;$C34,'TRU Ops &amp; Costs'!$P$4:$P$74,0)))</f>
        <v/>
      </c>
      <c r="M34" s="280"/>
      <c r="N34" s="110" t="str">
        <f>IF(OR(ISBLANK($B34),ISBLANK($C34)),"",INDEX('TRU Ops &amp; Costs'!$G$4:$G$74,MATCH($B34&amp;$C34,'TRU Ops &amp; Costs'!$P$4:$P$74,0)))</f>
        <v/>
      </c>
      <c r="O34" s="102" t="str">
        <f t="shared" si="0"/>
        <v/>
      </c>
      <c r="P34" s="280"/>
      <c r="Q34" s="282" t="str">
        <f t="shared" si="16"/>
        <v/>
      </c>
      <c r="R34" s="284"/>
      <c r="S34" s="322" t="str">
        <f>IF(ISBLANK($F34),"",IFERROR(INDEX('Diesel Fuel Prices'!$D$5:$D$31,MATCH($F34,'Diesel Fuel Prices'!$B$5:$B$31,0)),INDEX('Diesel Fuel Prices'!$D$5:$D$31,MATCH("U.S. Average",'Diesel Fuel Prices'!$B$5:$B$31,0)))*References!$B$38/References!$B$37)</f>
        <v/>
      </c>
      <c r="T34" s="290"/>
      <c r="U34" s="322" t="str">
        <f>IF(ISBLANK($F34),"",IFERROR(INDEX('Electricity Prices'!$F$4:$F$30,MATCH($F34,'Electricity Prices'!$B$4:$B$30,0)),INDEX('Electricity Prices'!$F$4:$F$30,MATCH("All U.S.",'Electricity Prices'!$B$4:$B$30,0)))*References!$B$38/References!$B$37)</f>
        <v/>
      </c>
      <c r="V34" s="290"/>
      <c r="W34" s="293" t="str">
        <f>IF(OR(ISBLANK($B34),ISBLANK($C34)),"",INDEX('TRU Ops &amp; Costs'!$I$4:$I$74,MATCH($B34&amp;$C34,'TRU Ops &amp; Costs'!$P$4:$P$74,0)))</f>
        <v/>
      </c>
      <c r="X34" s="295"/>
      <c r="Y34" s="293" t="str">
        <f>IFERROR(IF(AND(ISBLANK(Q34),ISBLANK(R34)),"",IF(OR(ISBLANK($B34),ISBLANK($C34)),"",(IF(E34="Yard",INDEX('TRU Ops &amp; Costs'!$J$4:$J$74,MATCH($B34&amp;$C34,'TRU Ops &amp; Costs'!$P$4:$P$74,0)),INDEX('TRU Ops &amp; Costs'!$K$4:$K$74,MATCH($B34&amp;$C34,'TRU Ops &amp; Costs'!$P$4:$P$74,0)))))/(IF(ISBLANK(R34),Q34,R34))),"")</f>
        <v/>
      </c>
      <c r="Z34" s="295"/>
      <c r="AA34" s="293" t="str">
        <f>IF(OR(ISBLANK($B34),ISBLANK($C34),AND($O34="",ISBLANK($P34))),"",IF(ISBLANK($P34),$O34,$P34)*INDEX('TRU Ops &amp; Costs'!$M$4:$M$74,MATCH($B34&amp;$C34,'TRU Ops &amp; Costs'!$P$4:$P$74,0))*-INDEX('TRU Ops &amp; Costs'!$L$4:$L$74,MATCH($B34&amp;$C34,'TRU Ops &amp; Costs'!$P$4:$P$74,0)))</f>
        <v/>
      </c>
      <c r="AB34" s="185"/>
      <c r="AC34" s="13"/>
      <c r="AD34" s="128" t="str">
        <f t="shared" si="1"/>
        <v/>
      </c>
      <c r="AE34" s="128" t="str">
        <f t="shared" si="2"/>
        <v/>
      </c>
      <c r="AF34" s="168" t="str">
        <f>IF(ISBLANK($F34),"",INDEX('eGRID2018 Subregion'!$J$7:$J$35,MATCH($F34,RegionUSER,0)))</f>
        <v/>
      </c>
      <c r="AG34" s="13"/>
      <c r="AH34" s="203" t="str">
        <f>IF(OR(ISBLANK($B34),ISBLANK($C34),$AD34=""),"",ROUND($AD34*INDEX('Diesel TRU Emission Factors'!$D$6:$D$76,MATCH($B34&amp;$C34,'Diesel TRU Emission Factors'!$R$6:$R$77,0))*GramsToMT,4))</f>
        <v/>
      </c>
      <c r="AI34" s="203" t="str">
        <f>IF(OR(ISBLANK($B34),ISBLANK($C34),$AD34=""),"",ROUND($AD34*INDEX('Diesel TRU Emission Factors'!$E$6:$E$76,MATCH($B34&amp;$C34,'Diesel TRU Emission Factors'!$R$6:$R$77,0))*GramsToMT,4))</f>
        <v/>
      </c>
      <c r="AJ34" s="203" t="str">
        <f>IF(OR(ISBLANK($B34),ISBLANK($C34),$AD34=""),"",ROUND($AD34*INDEX('Diesel TRU Emission Factors'!$H$6:$H$76,MATCH($B34&amp;$C34,'Diesel TRU Emission Factors'!$R$6:$R$77,0))*GramsToMT,4))</f>
        <v/>
      </c>
      <c r="AK34" s="205" t="str">
        <f>IF(OR(ISBLANK($B34),ISBLANK($C34),$AD34=""),"",ROUND($AD34*INDEX('Diesel TRU Emission Factors'!$F$6:$F$76,MATCH($B34&amp;$C34,'Diesel TRU Emission Factors'!$R$6:$R$77,0))*GramsToMT,1))</f>
        <v/>
      </c>
      <c r="AL34" s="196" t="str">
        <f>IF(OR(ISBLANK($B34),ISBLANK($C34),$AD34=""),"",$AD34*INDEX('Diesel TRU Emission Factors'!$G$6:$G$76,MATCH($B34&amp;$C34,'Diesel TRU Emission Factors'!$R$6:$R$77,0))*GramsToMT)</f>
        <v/>
      </c>
      <c r="AM34" s="197" t="str">
        <f>IF(ISBLANK(F34),"",AD34*GalTokWh*'Diesel TRU Emission Factors'!$P$4/1000000)</f>
        <v/>
      </c>
      <c r="AN34" s="207" t="str">
        <f>IF(ISBLANK($F34),"",ROUND(AK34*References!$B$28+AL34*References!$B$29+AM34*References!$B$30,1))</f>
        <v/>
      </c>
      <c r="AO34" s="113"/>
      <c r="AP34" s="203" t="str">
        <f>IF(OR(ISBLANK($F34),$AE34="",$AF34=""),"",ROUND($AE34*(1+$AF34)*INDEX('eGRID2018 Subregion'!$C$7:$C$35,MATCH($F34,RegionUSER,0))*GramsToMT,4))</f>
        <v/>
      </c>
      <c r="AQ34" s="203" t="str">
        <f>IF(OR(ISBLANK($F34),$AE34="",$AF34=""),"",ROUND($AE34*(1+$AF34)*INDEX('eGRID2018 Subregion'!$D$7:$D$35,MATCH($F34,RegionUSER,0))*GramsToMT,4))</f>
        <v/>
      </c>
      <c r="AR34" s="203" t="str">
        <f>IF(OR(ISBLANK($F34),$AE34="",$AF34=""),"",ROUND($AE34*(1+$AF34)*INDEX('eGRID2018 Subregion'!$I$7:$I$35,MATCH($F34,RegionUSER,0))*GramsToMT,4))</f>
        <v/>
      </c>
      <c r="AS34" s="205" t="str">
        <f>IF(OR(ISBLANK($F34),$AE34="",$AF34=""),"",ROUND($AE34*(1+$AF34)*INDEX('eGRID2018 Subregion'!$E$7:$E$35,MATCH($F34,RegionUSER,0))*GramsToMT,1))</f>
        <v/>
      </c>
      <c r="AT34" s="196" t="str">
        <f>IF(OR(ISBLANK($F34),$AE34="",$AF34=""),"",$AE34*(1+$AF34)*INDEX('eGRID2018 Subregion'!$F$7:$F$35,MATCH($F34,RegionUSER,0))*GramsToMT)</f>
        <v/>
      </c>
      <c r="AU34" s="196" t="str">
        <f>IF(OR(ISBLANK($F34),$AE34="",$AF34=""),"",$AE34*(1+$AF34)*INDEX('eGRID2018 Subregion'!$G$7:$G$35,MATCH($F34,RegionUSER,0))*GramsToMT)</f>
        <v/>
      </c>
      <c r="AV34" s="207" t="str">
        <f>IF(ISBLANK($F34),"",ROUND(AS34*References!$B$28+AT34*References!$B$29+AU34*References!$B$30,1))</f>
        <v/>
      </c>
      <c r="AW34" s="5"/>
      <c r="AX34" s="203" t="str">
        <f t="shared" si="3"/>
        <v/>
      </c>
      <c r="AY34" s="203" t="str">
        <f t="shared" si="4"/>
        <v/>
      </c>
      <c r="AZ34" s="203" t="str">
        <f t="shared" si="5"/>
        <v/>
      </c>
      <c r="BA34" s="205" t="str">
        <f t="shared" si="6"/>
        <v/>
      </c>
      <c r="BB34" s="205" t="str">
        <f t="shared" si="7"/>
        <v/>
      </c>
      <c r="BC34" s="1"/>
      <c r="BD34" s="165" t="str">
        <f t="shared" si="8"/>
        <v/>
      </c>
      <c r="BE34" s="165" t="str">
        <f t="shared" si="20"/>
        <v/>
      </c>
      <c r="BF34" s="165" t="str">
        <f t="shared" si="10"/>
        <v/>
      </c>
      <c r="BG34" s="165" t="str">
        <f t="shared" si="11"/>
        <v/>
      </c>
      <c r="BH34" s="165" t="str">
        <f t="shared" si="12"/>
        <v/>
      </c>
      <c r="BI34" s="13"/>
      <c r="BJ34" s="179" t="str">
        <f t="shared" si="13"/>
        <v/>
      </c>
      <c r="BK34" s="179" t="str">
        <f t="shared" si="14"/>
        <v/>
      </c>
      <c r="BL34" s="179" t="str">
        <f t="shared" si="17"/>
        <v/>
      </c>
      <c r="BM34" s="5"/>
      <c r="BN34" s="179" t="str">
        <f t="shared" si="15"/>
        <v/>
      </c>
      <c r="BO34" s="179" t="str">
        <f t="shared" si="18"/>
        <v/>
      </c>
      <c r="BP34" s="179" t="str">
        <f t="shared" si="19"/>
        <v/>
      </c>
      <c r="BQ34" s="5"/>
    </row>
    <row r="35" spans="1:69">
      <c r="A35" s="103"/>
      <c r="B35" s="103"/>
      <c r="C35" s="103"/>
      <c r="D35" s="104"/>
      <c r="E35" s="410"/>
      <c r="F35" s="103"/>
      <c r="G35" s="371" t="s">
        <v>205</v>
      </c>
      <c r="H35" s="102" t="str">
        <f>IF(OR(ISBLANK($B35),ISBLANK($C35)),"",ROUND(INDEX('TRU Ops &amp; Costs'!$D$4:$D$74,MATCH($B35&amp;$C35,'TRU Ops &amp; Costs'!$P$4:$P$74,0))/IF($G35="hp",0.7457,1),0))</f>
        <v/>
      </c>
      <c r="I35" s="281"/>
      <c r="J35" s="282" t="str">
        <f>IF(OR(ISBLANK($B35),ISBLANK($C35)),"",INDEX('TRU Ops &amp; Costs'!$E$4:$E$74,MATCH($B35&amp;$C35,'TRU Ops &amp; Costs'!$P$4:$P$74,0)))</f>
        <v/>
      </c>
      <c r="K35" s="285"/>
      <c r="L35" s="102" t="str">
        <f>IF(OR(ISBLANK($B35),ISBLANK($C35)),"",INDEX('TRU Ops &amp; Costs'!$F$4:$F$74,MATCH($B35&amp;$C35,'TRU Ops &amp; Costs'!$P$4:$P$74,0)))</f>
        <v/>
      </c>
      <c r="M35" s="281"/>
      <c r="N35" s="110" t="str">
        <f>IF(OR(ISBLANK($B35),ISBLANK($C35)),"",INDEX('TRU Ops &amp; Costs'!$G$4:$G$74,MATCH($B35&amp;$C35,'TRU Ops &amp; Costs'!$P$4:$P$74,0)))</f>
        <v/>
      </c>
      <c r="O35" s="102" t="str">
        <f t="shared" si="0"/>
        <v/>
      </c>
      <c r="P35" s="281"/>
      <c r="Q35" s="282" t="str">
        <f t="shared" si="16"/>
        <v/>
      </c>
      <c r="R35" s="285"/>
      <c r="S35" s="322" t="str">
        <f>IF(ISBLANK($F35),"",IFERROR(INDEX('Diesel Fuel Prices'!$D$5:$D$31,MATCH($F35,'Diesel Fuel Prices'!$B$5:$B$31,0)),INDEX('Diesel Fuel Prices'!$D$5:$D$31,MATCH("U.S. Average",'Diesel Fuel Prices'!$B$5:$B$31,0)))*References!$B$38/References!$B$37)</f>
        <v/>
      </c>
      <c r="T35" s="291"/>
      <c r="U35" s="322" t="str">
        <f>IF(ISBLANK($F35),"",IFERROR(INDEX('Electricity Prices'!$F$4:$F$30,MATCH($F35,'Electricity Prices'!$B$4:$B$30,0)),INDEX('Electricity Prices'!$F$4:$F$30,MATCH("All U.S.",'Electricity Prices'!$B$4:$B$30,0)))*References!$B$38/References!$B$37)</f>
        <v/>
      </c>
      <c r="V35" s="291"/>
      <c r="W35" s="293" t="str">
        <f>IF(OR(ISBLANK($B35),ISBLANK($C35)),"",INDEX('TRU Ops &amp; Costs'!$I$4:$I$74,MATCH($B35&amp;$C35,'TRU Ops &amp; Costs'!$P$4:$P$74,0)))</f>
        <v/>
      </c>
      <c r="X35" s="296"/>
      <c r="Y35" s="293" t="str">
        <f>IFERROR(IF(AND(ISBLANK(Q35),ISBLANK(R35)),"",IF(OR(ISBLANK($B35),ISBLANK($C35)),"",(IF(E35="Yard",INDEX('TRU Ops &amp; Costs'!$J$4:$J$74,MATCH($B35&amp;$C35,'TRU Ops &amp; Costs'!$P$4:$P$74,0)),INDEX('TRU Ops &amp; Costs'!$K$4:$K$74,MATCH($B35&amp;$C35,'TRU Ops &amp; Costs'!$P$4:$P$74,0)))))/(IF(ISBLANK(R35),Q35,R35))),"")</f>
        <v/>
      </c>
      <c r="Z35" s="296"/>
      <c r="AA35" s="293" t="str">
        <f>IF(OR(ISBLANK($B35),ISBLANK($C35),AND($O35="",ISBLANK($P35))),"",IF(ISBLANK($P35),$O35,$P35)*INDEX('TRU Ops &amp; Costs'!$M$4:$M$74,MATCH($B35&amp;$C35,'TRU Ops &amp; Costs'!$P$4:$P$74,0))*-INDEX('TRU Ops &amp; Costs'!$L$4:$L$74,MATCH($B35&amp;$C35,'TRU Ops &amp; Costs'!$P$4:$P$74,0)))</f>
        <v/>
      </c>
      <c r="AB35" s="186"/>
      <c r="AC35" s="13"/>
      <c r="AD35" s="127" t="str">
        <f t="shared" si="1"/>
        <v/>
      </c>
      <c r="AE35" s="127" t="str">
        <f t="shared" si="2"/>
        <v/>
      </c>
      <c r="AF35" s="167" t="str">
        <f>IF(ISBLANK($F35),"",INDEX('eGRID2018 Subregion'!$J$7:$J$35,MATCH($F35,RegionUSER,0)))</f>
        <v/>
      </c>
      <c r="AG35" s="13"/>
      <c r="AH35" s="202" t="str">
        <f>IF(OR(ISBLANK($B35),ISBLANK($C35),$AD35=""),"",ROUND($AD35*INDEX('Diesel TRU Emission Factors'!$D$6:$D$76,MATCH($B35&amp;$C35,'Diesel TRU Emission Factors'!$R$6:$R$77,0))*GramsToMT,4))</f>
        <v/>
      </c>
      <c r="AI35" s="202" t="str">
        <f>IF(OR(ISBLANK($B35),ISBLANK($C35),$AD35=""),"",ROUND($AD35*INDEX('Diesel TRU Emission Factors'!$E$6:$E$76,MATCH($B35&amp;$C35,'Diesel TRU Emission Factors'!$R$6:$R$77,0))*GramsToMT,4))</f>
        <v/>
      </c>
      <c r="AJ35" s="202" t="str">
        <f>IF(OR(ISBLANK($B35),ISBLANK($C35),$AD35=""),"",ROUND($AD35*INDEX('Diesel TRU Emission Factors'!$H$6:$H$76,MATCH($B35&amp;$C35,'Diesel TRU Emission Factors'!$R$6:$R$77,0))*GramsToMT,4))</f>
        <v/>
      </c>
      <c r="AK35" s="204" t="str">
        <f>IF(OR(ISBLANK($B35),ISBLANK($C35),$AD35=""),"",ROUND($AD35*INDEX('Diesel TRU Emission Factors'!$F$6:$F$76,MATCH($B35&amp;$C35,'Diesel TRU Emission Factors'!$R$6:$R$77,0))*GramsToMT,1))</f>
        <v/>
      </c>
      <c r="AL35" s="194" t="str">
        <f>IF(OR(ISBLANK($B35),ISBLANK($C35),$AD35=""),"",$AD35*INDEX('Diesel TRU Emission Factors'!$G$6:$G$76,MATCH($B35&amp;$C35,'Diesel TRU Emission Factors'!$R$6:$R$77,0))*GramsToMT)</f>
        <v/>
      </c>
      <c r="AM35" s="195" t="str">
        <f>IF(ISBLANK(F35),"",AD35*GalTokWh*'Diesel TRU Emission Factors'!$P$4/1000000)</f>
        <v/>
      </c>
      <c r="AN35" s="206" t="str">
        <f>IF(ISBLANK($F35),"",ROUND(AK35*References!$B$28+AL35*References!$B$29+AM35*References!$B$30,1))</f>
        <v/>
      </c>
      <c r="AO35" s="113"/>
      <c r="AP35" s="202" t="str">
        <f>IF(OR(ISBLANK($F35),$AE35="",$AF35=""),"",ROUND($AE35*(1+$AF35)*INDEX('eGRID2018 Subregion'!$C$7:$C$35,MATCH($F35,RegionUSER,0))*GramsToMT,4))</f>
        <v/>
      </c>
      <c r="AQ35" s="202" t="str">
        <f>IF(OR(ISBLANK($F35),$AE35="",$AF35=""),"",ROUND($AE35*(1+$AF35)*INDEX('eGRID2018 Subregion'!$D$7:$D$35,MATCH($F35,RegionUSER,0))*GramsToMT,4))</f>
        <v/>
      </c>
      <c r="AR35" s="202" t="str">
        <f>IF(OR(ISBLANK($F35),$AE35="",$AF35=""),"",ROUND($AE35*(1+$AF35)*INDEX('eGRID2018 Subregion'!$I$7:$I$35,MATCH($F35,RegionUSER,0))*GramsToMT,4))</f>
        <v/>
      </c>
      <c r="AS35" s="204" t="str">
        <f>IF(OR(ISBLANK($F35),$AE35="",$AF35=""),"",ROUND($AE35*(1+$AF35)*INDEX('eGRID2018 Subregion'!$E$7:$E$35,MATCH($F35,RegionUSER,0))*GramsToMT,1))</f>
        <v/>
      </c>
      <c r="AT35" s="194" t="str">
        <f>IF(OR(ISBLANK($F35),$AE35="",$AF35=""),"",$AE35*(1+$AF35)*INDEX('eGRID2018 Subregion'!$F$7:$F$35,MATCH($F35,RegionUSER,0))*GramsToMT)</f>
        <v/>
      </c>
      <c r="AU35" s="194" t="str">
        <f>IF(OR(ISBLANK($F35),$AE35="",$AF35=""),"",$AE35*(1+$AF35)*INDEX('eGRID2018 Subregion'!$G$7:$G$35,MATCH($F35,RegionUSER,0))*GramsToMT)</f>
        <v/>
      </c>
      <c r="AV35" s="206" t="str">
        <f>IF(ISBLANK($F35),"",ROUND(AS35*References!$B$28+AT35*References!$B$29+AU35*References!$B$30,1))</f>
        <v/>
      </c>
      <c r="AW35" s="5"/>
      <c r="AX35" s="202" t="str">
        <f t="shared" si="3"/>
        <v/>
      </c>
      <c r="AY35" s="202" t="str">
        <f t="shared" si="4"/>
        <v/>
      </c>
      <c r="AZ35" s="202" t="str">
        <f t="shared" si="5"/>
        <v/>
      </c>
      <c r="BA35" s="204" t="str">
        <f t="shared" si="6"/>
        <v/>
      </c>
      <c r="BB35" s="204" t="str">
        <f t="shared" si="7"/>
        <v/>
      </c>
      <c r="BC35" s="1"/>
      <c r="BD35" s="164" t="str">
        <f t="shared" si="8"/>
        <v/>
      </c>
      <c r="BE35" s="164" t="str">
        <f t="shared" si="20"/>
        <v/>
      </c>
      <c r="BF35" s="164" t="str">
        <f t="shared" si="10"/>
        <v/>
      </c>
      <c r="BG35" s="164" t="str">
        <f t="shared" si="11"/>
        <v/>
      </c>
      <c r="BH35" s="164" t="str">
        <f t="shared" si="12"/>
        <v/>
      </c>
      <c r="BI35" s="13"/>
      <c r="BJ35" s="180" t="str">
        <f t="shared" si="13"/>
        <v/>
      </c>
      <c r="BK35" s="180" t="str">
        <f t="shared" si="14"/>
        <v/>
      </c>
      <c r="BL35" s="180" t="str">
        <f>IF(OR($BJ35="",$BK35=""),"",$BJ35+$BK35)</f>
        <v/>
      </c>
      <c r="BM35" s="5"/>
      <c r="BN35" s="180" t="str">
        <f t="shared" si="15"/>
        <v/>
      </c>
      <c r="BO35" s="180" t="str">
        <f>IF(OR($AD35="",$AF35="",AND($S35="",ISBLANK($T35)),AND($U35="",ISBLANK($V35))),"",($AD35*(IF(ISBLANK($T35),$S35,$T35)*GalTokWh))-($AE35*IF(ISBLANK($V35),$U35,$V35)*(1+$AF35)))</f>
        <v/>
      </c>
      <c r="BP35" s="180" t="str">
        <f>IF(OR($BN35="",$BO35=""),"",$BN35+$BO35)</f>
        <v/>
      </c>
      <c r="BQ35" s="5"/>
    </row>
    <row r="36" spans="1:69">
      <c r="A36" s="105"/>
      <c r="B36" s="105"/>
      <c r="C36" s="105"/>
      <c r="D36" s="106"/>
      <c r="E36" s="411"/>
      <c r="F36" s="105"/>
      <c r="G36" s="370" t="s">
        <v>205</v>
      </c>
      <c r="H36" s="102" t="str">
        <f>IF(OR(ISBLANK($B36),ISBLANK($C36)),"",ROUND(INDEX('TRU Ops &amp; Costs'!$D$4:$D$74,MATCH($B36&amp;$C36,'TRU Ops &amp; Costs'!$P$4:$P$74,0))/IF($G36="hp",0.7457,1),0))</f>
        <v/>
      </c>
      <c r="I36" s="280"/>
      <c r="J36" s="282" t="str">
        <f>IF(OR(ISBLANK($B36),ISBLANK($C36)),"",INDEX('TRU Ops &amp; Costs'!$E$4:$E$74,MATCH($B36&amp;$C36,'TRU Ops &amp; Costs'!$P$4:$P$74,0)))</f>
        <v/>
      </c>
      <c r="K36" s="284"/>
      <c r="L36" s="102" t="str">
        <f>IF(OR(ISBLANK($B36),ISBLANK($C36)),"",INDEX('TRU Ops &amp; Costs'!$F$4:$F$74,MATCH($B36&amp;$C36,'TRU Ops &amp; Costs'!$P$4:$P$74,0)))</f>
        <v/>
      </c>
      <c r="M36" s="280"/>
      <c r="N36" s="110" t="str">
        <f>IF(OR(ISBLANK($B36),ISBLANK($C36)),"",INDEX('TRU Ops &amp; Costs'!$G$4:$G$74,MATCH($B36&amp;$C36,'TRU Ops &amp; Costs'!$P$4:$P$74,0)))</f>
        <v/>
      </c>
      <c r="O36" s="102" t="str">
        <f t="shared" si="0"/>
        <v/>
      </c>
      <c r="P36" s="280"/>
      <c r="Q36" s="282" t="str">
        <f t="shared" si="16"/>
        <v/>
      </c>
      <c r="R36" s="284"/>
      <c r="S36" s="322" t="str">
        <f>IF(ISBLANK($F36),"",IFERROR(INDEX('Diesel Fuel Prices'!$D$5:$D$31,MATCH($F36,'Diesel Fuel Prices'!$B$5:$B$31,0)),INDEX('Diesel Fuel Prices'!$D$5:$D$31,MATCH("U.S. Average",'Diesel Fuel Prices'!$B$5:$B$31,0)))*References!$B$38/References!$B$37)</f>
        <v/>
      </c>
      <c r="T36" s="290"/>
      <c r="U36" s="322" t="str">
        <f>IF(ISBLANK($F36),"",IFERROR(INDEX('Electricity Prices'!$F$4:$F$30,MATCH($F36,'Electricity Prices'!$B$4:$B$30,0)),INDEX('Electricity Prices'!$F$4:$F$30,MATCH("All U.S.",'Electricity Prices'!$B$4:$B$30,0)))*References!$B$38/References!$B$37)</f>
        <v/>
      </c>
      <c r="V36" s="290"/>
      <c r="W36" s="293" t="str">
        <f>IF(OR(ISBLANK($B36),ISBLANK($C36)),"",INDEX('TRU Ops &amp; Costs'!$I$4:$I$74,MATCH($B36&amp;$C36,'TRU Ops &amp; Costs'!$P$4:$P$74,0)))</f>
        <v/>
      </c>
      <c r="X36" s="295"/>
      <c r="Y36" s="293" t="str">
        <f>IFERROR(IF(AND(ISBLANK(Q36),ISBLANK(R36)),"",IF(OR(ISBLANK($B36),ISBLANK($C36)),"",(IF(E36="Yard",INDEX('TRU Ops &amp; Costs'!$J$4:$J$74,MATCH($B36&amp;$C36,'TRU Ops &amp; Costs'!$P$4:$P$74,0)),INDEX('TRU Ops &amp; Costs'!$K$4:$K$74,MATCH($B36&amp;$C36,'TRU Ops &amp; Costs'!$P$4:$P$74,0)))))/(IF(ISBLANK(R36),Q36,R36))),"")</f>
        <v/>
      </c>
      <c r="Z36" s="295"/>
      <c r="AA36" s="293" t="str">
        <f>IF(OR(ISBLANK($B36),ISBLANK($C36),AND($O36="",ISBLANK($P36))),"",IF(ISBLANK($P36),$O36,$P36)*INDEX('TRU Ops &amp; Costs'!$M$4:$M$74,MATCH($B36&amp;$C36,'TRU Ops &amp; Costs'!$P$4:$P$74,0))*-INDEX('TRU Ops &amp; Costs'!$L$4:$L$74,MATCH($B36&amp;$C36,'TRU Ops &amp; Costs'!$P$4:$P$74,0)))</f>
        <v/>
      </c>
      <c r="AB36" s="185"/>
      <c r="AC36" s="13"/>
      <c r="AD36" s="128" t="str">
        <f t="shared" si="1"/>
        <v/>
      </c>
      <c r="AE36" s="128" t="str">
        <f t="shared" si="2"/>
        <v/>
      </c>
      <c r="AF36" s="168" t="str">
        <f>IF(ISBLANK($F36),"",INDEX('eGRID2018 Subregion'!$J$7:$J$35,MATCH($F36,RegionUSER,0)))</f>
        <v/>
      </c>
      <c r="AG36" s="13"/>
      <c r="AH36" s="203" t="str">
        <f>IF(OR(ISBLANK($B36),ISBLANK($C36),$AD36=""),"",ROUND($AD36*INDEX('Diesel TRU Emission Factors'!$D$6:$D$76,MATCH($B36&amp;$C36,'Diesel TRU Emission Factors'!$R$6:$R$77,0))*GramsToMT,4))</f>
        <v/>
      </c>
      <c r="AI36" s="203" t="str">
        <f>IF(OR(ISBLANK($B36),ISBLANK($C36),$AD36=""),"",ROUND($AD36*INDEX('Diesel TRU Emission Factors'!$E$6:$E$76,MATCH($B36&amp;$C36,'Diesel TRU Emission Factors'!$R$6:$R$77,0))*GramsToMT,4))</f>
        <v/>
      </c>
      <c r="AJ36" s="203" t="str">
        <f>IF(OR(ISBLANK($B36),ISBLANK($C36),$AD36=""),"",ROUND($AD36*INDEX('Diesel TRU Emission Factors'!$H$6:$H$76,MATCH($B36&amp;$C36,'Diesel TRU Emission Factors'!$R$6:$R$77,0))*GramsToMT,4))</f>
        <v/>
      </c>
      <c r="AK36" s="205" t="str">
        <f>IF(OR(ISBLANK($B36),ISBLANK($C36),$AD36=""),"",ROUND($AD36*INDEX('Diesel TRU Emission Factors'!$F$6:$F$76,MATCH($B36&amp;$C36,'Diesel TRU Emission Factors'!$R$6:$R$77,0))*GramsToMT,1))</f>
        <v/>
      </c>
      <c r="AL36" s="196" t="str">
        <f>IF(OR(ISBLANK($B36),ISBLANK($C36),$AD36=""),"",$AD36*INDEX('Diesel TRU Emission Factors'!$G$6:$G$76,MATCH($B36&amp;$C36,'Diesel TRU Emission Factors'!$R$6:$R$77,0))*GramsToMT)</f>
        <v/>
      </c>
      <c r="AM36" s="197" t="str">
        <f>IF(ISBLANK(F36),"",AD36*GalTokWh*'Diesel TRU Emission Factors'!$P$4/1000000)</f>
        <v/>
      </c>
      <c r="AN36" s="207" t="str">
        <f>IF(ISBLANK($F36),"",ROUND(AK36*References!$B$28+AL36*References!$B$29+AM36*References!$B$30,1))</f>
        <v/>
      </c>
      <c r="AO36" s="113"/>
      <c r="AP36" s="203" t="str">
        <f>IF(OR(ISBLANK($F36),$AE36="",$AF36=""),"",ROUND($AE36*(1+$AF36)*INDEX('eGRID2018 Subregion'!$C$7:$C$35,MATCH($F36,RegionUSER,0))*GramsToMT,4))</f>
        <v/>
      </c>
      <c r="AQ36" s="203" t="str">
        <f>IF(OR(ISBLANK($F36),$AE36="",$AF36=""),"",ROUND($AE36*(1+$AF36)*INDEX('eGRID2018 Subregion'!$D$7:$D$35,MATCH($F36,RegionUSER,0))*GramsToMT,4))</f>
        <v/>
      </c>
      <c r="AR36" s="203" t="str">
        <f>IF(OR(ISBLANK($F36),$AE36="",$AF36=""),"",ROUND($AE36*(1+$AF36)*INDEX('eGRID2018 Subregion'!$I$7:$I$35,MATCH($F36,RegionUSER,0))*GramsToMT,4))</f>
        <v/>
      </c>
      <c r="AS36" s="205" t="str">
        <f>IF(OR(ISBLANK($F36),$AE36="",$AF36=""),"",ROUND($AE36*(1+$AF36)*INDEX('eGRID2018 Subregion'!$E$7:$E$35,MATCH($F36,RegionUSER,0))*GramsToMT,1))</f>
        <v/>
      </c>
      <c r="AT36" s="196" t="str">
        <f>IF(OR(ISBLANK($F36),$AE36="",$AF36=""),"",$AE36*(1+$AF36)*INDEX('eGRID2018 Subregion'!$F$7:$F$35,MATCH($F36,RegionUSER,0))*GramsToMT)</f>
        <v/>
      </c>
      <c r="AU36" s="196" t="str">
        <f>IF(OR(ISBLANK($F36),$AE36="",$AF36=""),"",$AE36*(1+$AF36)*INDEX('eGRID2018 Subregion'!$G$7:$G$35,MATCH($F36,RegionUSER,0))*GramsToMT)</f>
        <v/>
      </c>
      <c r="AV36" s="207" t="str">
        <f>IF(ISBLANK($F36),"",ROUND(AS36*References!$B$28+AT36*References!$B$29+AU36*References!$B$30,1))</f>
        <v/>
      </c>
      <c r="AW36" s="5"/>
      <c r="AX36" s="203" t="str">
        <f t="shared" si="3"/>
        <v/>
      </c>
      <c r="AY36" s="203" t="str">
        <f t="shared" si="4"/>
        <v/>
      </c>
      <c r="AZ36" s="203" t="str">
        <f t="shared" si="5"/>
        <v/>
      </c>
      <c r="BA36" s="205" t="str">
        <f t="shared" si="6"/>
        <v/>
      </c>
      <c r="BB36" s="205" t="str">
        <f t="shared" si="7"/>
        <v/>
      </c>
      <c r="BC36" s="1"/>
      <c r="BD36" s="165" t="str">
        <f t="shared" si="8"/>
        <v/>
      </c>
      <c r="BE36" s="165" t="str">
        <f t="shared" si="20"/>
        <v/>
      </c>
      <c r="BF36" s="165" t="str">
        <f t="shared" si="10"/>
        <v/>
      </c>
      <c r="BG36" s="165" t="str">
        <f t="shared" si="11"/>
        <v/>
      </c>
      <c r="BH36" s="165" t="str">
        <f t="shared" si="12"/>
        <v/>
      </c>
      <c r="BI36" s="13"/>
      <c r="BJ36" s="179" t="str">
        <f t="shared" si="13"/>
        <v/>
      </c>
      <c r="BK36" s="179" t="str">
        <f t="shared" si="14"/>
        <v/>
      </c>
      <c r="BL36" s="179" t="str">
        <f t="shared" si="17"/>
        <v/>
      </c>
      <c r="BM36" s="5"/>
      <c r="BN36" s="179" t="str">
        <f t="shared" si="15"/>
        <v/>
      </c>
      <c r="BO36" s="179" t="str">
        <f t="shared" si="18"/>
        <v/>
      </c>
      <c r="BP36" s="179" t="str">
        <f t="shared" si="19"/>
        <v/>
      </c>
      <c r="BQ36" s="5"/>
    </row>
    <row r="37" spans="1:69">
      <c r="A37" s="103"/>
      <c r="B37" s="103"/>
      <c r="C37" s="103"/>
      <c r="D37" s="104"/>
      <c r="E37" s="410"/>
      <c r="F37" s="103"/>
      <c r="G37" s="371" t="s">
        <v>205</v>
      </c>
      <c r="H37" s="102" t="str">
        <f>IF(OR(ISBLANK($B37),ISBLANK($C37)),"",ROUND(INDEX('TRU Ops &amp; Costs'!$D$4:$D$74,MATCH($B37&amp;$C37,'TRU Ops &amp; Costs'!$P$4:$P$74,0))/IF($G37="hp",0.7457,1),0))</f>
        <v/>
      </c>
      <c r="I37" s="281"/>
      <c r="J37" s="282" t="str">
        <f>IF(OR(ISBLANK($B37),ISBLANK($C37)),"",INDEX('TRU Ops &amp; Costs'!$E$4:$E$74,MATCH($B37&amp;$C37,'TRU Ops &amp; Costs'!$P$4:$P$74,0)))</f>
        <v/>
      </c>
      <c r="K37" s="285"/>
      <c r="L37" s="102" t="str">
        <f>IF(OR(ISBLANK($B37),ISBLANK($C37)),"",INDEX('TRU Ops &amp; Costs'!$F$4:$F$74,MATCH($B37&amp;$C37,'TRU Ops &amp; Costs'!$P$4:$P$74,0)))</f>
        <v/>
      </c>
      <c r="M37" s="281"/>
      <c r="N37" s="110" t="str">
        <f>IF(OR(ISBLANK($B37),ISBLANK($C37)),"",INDEX('TRU Ops &amp; Costs'!$G$4:$G$74,MATCH($B37&amp;$C37,'TRU Ops &amp; Costs'!$P$4:$P$74,0)))</f>
        <v/>
      </c>
      <c r="O37" s="102" t="str">
        <f t="shared" si="0"/>
        <v/>
      </c>
      <c r="P37" s="281"/>
      <c r="Q37" s="282" t="str">
        <f t="shared" si="16"/>
        <v/>
      </c>
      <c r="R37" s="285"/>
      <c r="S37" s="322" t="str">
        <f>IF(ISBLANK($F37),"",IFERROR(INDEX('Diesel Fuel Prices'!$D$5:$D$31,MATCH($F37,'Diesel Fuel Prices'!$B$5:$B$31,0)),INDEX('Diesel Fuel Prices'!$D$5:$D$31,MATCH("U.S. Average",'Diesel Fuel Prices'!$B$5:$B$31,0)))*References!$B$38/References!$B$37)</f>
        <v/>
      </c>
      <c r="T37" s="291"/>
      <c r="U37" s="322" t="str">
        <f>IF(ISBLANK($F37),"",IFERROR(INDEX('Electricity Prices'!$F$4:$F$30,MATCH($F37,'Electricity Prices'!$B$4:$B$30,0)),INDEX('Electricity Prices'!$F$4:$F$30,MATCH("All U.S.",'Electricity Prices'!$B$4:$B$30,0)))*References!$B$38/References!$B$37)</f>
        <v/>
      </c>
      <c r="V37" s="291"/>
      <c r="W37" s="293" t="str">
        <f>IF(OR(ISBLANK($B37),ISBLANK($C37)),"",INDEX('TRU Ops &amp; Costs'!$I$4:$I$74,MATCH($B37&amp;$C37,'TRU Ops &amp; Costs'!$P$4:$P$74,0)))</f>
        <v/>
      </c>
      <c r="X37" s="296"/>
      <c r="Y37" s="293" t="str">
        <f>IFERROR(IF(AND(ISBLANK(Q37),ISBLANK(R37)),"",IF(OR(ISBLANK($B37),ISBLANK($C37)),"",(IF(E37="Yard",INDEX('TRU Ops &amp; Costs'!$J$4:$J$74,MATCH($B37&amp;$C37,'TRU Ops &amp; Costs'!$P$4:$P$74,0)),INDEX('TRU Ops &amp; Costs'!$K$4:$K$74,MATCH($B37&amp;$C37,'TRU Ops &amp; Costs'!$P$4:$P$74,0)))))/(IF(ISBLANK(R37),Q37,R37))),"")</f>
        <v/>
      </c>
      <c r="Z37" s="296"/>
      <c r="AA37" s="293" t="str">
        <f>IF(OR(ISBLANK($B37),ISBLANK($C37),AND($O37="",ISBLANK($P37))),"",IF(ISBLANK($P37),$O37,$P37)*INDEX('TRU Ops &amp; Costs'!$M$4:$M$74,MATCH($B37&amp;$C37,'TRU Ops &amp; Costs'!$P$4:$P$74,0))*-INDEX('TRU Ops &amp; Costs'!$L$4:$L$74,MATCH($B37&amp;$C37,'TRU Ops &amp; Costs'!$P$4:$P$74,0)))</f>
        <v/>
      </c>
      <c r="AB37" s="186"/>
      <c r="AC37" s="13"/>
      <c r="AD37" s="127" t="str">
        <f t="shared" si="1"/>
        <v/>
      </c>
      <c r="AE37" s="127" t="str">
        <f t="shared" si="2"/>
        <v/>
      </c>
      <c r="AF37" s="167" t="str">
        <f>IF(ISBLANK($F37),"",INDEX('eGRID2018 Subregion'!$J$7:$J$35,MATCH($F37,RegionUSER,0)))</f>
        <v/>
      </c>
      <c r="AG37" s="13"/>
      <c r="AH37" s="202" t="str">
        <f>IF(OR(ISBLANK($B37),ISBLANK($C37),$AD37=""),"",ROUND($AD37*INDEX('Diesel TRU Emission Factors'!$D$6:$D$76,MATCH($B37&amp;$C37,'Diesel TRU Emission Factors'!$R$6:$R$77,0))*GramsToMT,4))</f>
        <v/>
      </c>
      <c r="AI37" s="202" t="str">
        <f>IF(OR(ISBLANK($B37),ISBLANK($C37),$AD37=""),"",ROUND($AD37*INDEX('Diesel TRU Emission Factors'!$E$6:$E$76,MATCH($B37&amp;$C37,'Diesel TRU Emission Factors'!$R$6:$R$77,0))*GramsToMT,4))</f>
        <v/>
      </c>
      <c r="AJ37" s="202" t="str">
        <f>IF(OR(ISBLANK($B37),ISBLANK($C37),$AD37=""),"",ROUND($AD37*INDEX('Diesel TRU Emission Factors'!$H$6:$H$76,MATCH($B37&amp;$C37,'Diesel TRU Emission Factors'!$R$6:$R$77,0))*GramsToMT,4))</f>
        <v/>
      </c>
      <c r="AK37" s="204" t="str">
        <f>IF(OR(ISBLANK($B37),ISBLANK($C37),$AD37=""),"",ROUND($AD37*INDEX('Diesel TRU Emission Factors'!$F$6:$F$76,MATCH($B37&amp;$C37,'Diesel TRU Emission Factors'!$R$6:$R$77,0))*GramsToMT,1))</f>
        <v/>
      </c>
      <c r="AL37" s="194" t="str">
        <f>IF(OR(ISBLANK($B37),ISBLANK($C37),$AD37=""),"",$AD37*INDEX('Diesel TRU Emission Factors'!$G$6:$G$76,MATCH($B37&amp;$C37,'Diesel TRU Emission Factors'!$R$6:$R$77,0))*GramsToMT)</f>
        <v/>
      </c>
      <c r="AM37" s="195" t="str">
        <f>IF(ISBLANK(F37),"",AD37*GalTokWh*'Diesel TRU Emission Factors'!$P$4/1000000)</f>
        <v/>
      </c>
      <c r="AN37" s="206" t="str">
        <f>IF(ISBLANK($F37),"",ROUND(AK37*References!$B$28+AL37*References!$B$29+AM37*References!$B$30,1))</f>
        <v/>
      </c>
      <c r="AO37" s="113"/>
      <c r="AP37" s="202" t="str">
        <f>IF(OR(ISBLANK($F37),$AE37="",$AF37=""),"",ROUND($AE37*(1+$AF37)*INDEX('eGRID2018 Subregion'!$C$7:$C$35,MATCH($F37,RegionUSER,0))*GramsToMT,4))</f>
        <v/>
      </c>
      <c r="AQ37" s="202" t="str">
        <f>IF(OR(ISBLANK($F37),$AE37="",$AF37=""),"",ROUND($AE37*(1+$AF37)*INDEX('eGRID2018 Subregion'!$D$7:$D$35,MATCH($F37,RegionUSER,0))*GramsToMT,4))</f>
        <v/>
      </c>
      <c r="AR37" s="202" t="str">
        <f>IF(OR(ISBLANK($F37),$AE37="",$AF37=""),"",ROUND($AE37*(1+$AF37)*INDEX('eGRID2018 Subregion'!$I$7:$I$35,MATCH($F37,RegionUSER,0))*GramsToMT,4))</f>
        <v/>
      </c>
      <c r="AS37" s="204" t="str">
        <f>IF(OR(ISBLANK($F37),$AE37="",$AF37=""),"",ROUND($AE37*(1+$AF37)*INDEX('eGRID2018 Subregion'!$E$7:$E$35,MATCH($F37,RegionUSER,0))*GramsToMT,1))</f>
        <v/>
      </c>
      <c r="AT37" s="194" t="str">
        <f>IF(OR(ISBLANK($F37),$AE37="",$AF37=""),"",$AE37*(1+$AF37)*INDEX('eGRID2018 Subregion'!$F$7:$F$35,MATCH($F37,RegionUSER,0))*GramsToMT)</f>
        <v/>
      </c>
      <c r="AU37" s="194" t="str">
        <f>IF(OR(ISBLANK($F37),$AE37="",$AF37=""),"",$AE37*(1+$AF37)*INDEX('eGRID2018 Subregion'!$G$7:$G$35,MATCH($F37,RegionUSER,0))*GramsToMT)</f>
        <v/>
      </c>
      <c r="AV37" s="206" t="str">
        <f>IF(ISBLANK($F37),"",ROUND(AS37*References!$B$28+AT37*References!$B$29+AU37*References!$B$30,1))</f>
        <v/>
      </c>
      <c r="AW37" s="5"/>
      <c r="AX37" s="202" t="str">
        <f t="shared" si="3"/>
        <v/>
      </c>
      <c r="AY37" s="202" t="str">
        <f t="shared" si="4"/>
        <v/>
      </c>
      <c r="AZ37" s="202" t="str">
        <f t="shared" si="5"/>
        <v/>
      </c>
      <c r="BA37" s="204" t="str">
        <f t="shared" si="6"/>
        <v/>
      </c>
      <c r="BB37" s="204" t="str">
        <f t="shared" si="7"/>
        <v/>
      </c>
      <c r="BC37" s="1"/>
      <c r="BD37" s="164" t="str">
        <f t="shared" si="8"/>
        <v/>
      </c>
      <c r="BE37" s="164" t="str">
        <f t="shared" si="20"/>
        <v/>
      </c>
      <c r="BF37" s="164" t="str">
        <f t="shared" si="10"/>
        <v/>
      </c>
      <c r="BG37" s="164" t="str">
        <f t="shared" si="11"/>
        <v/>
      </c>
      <c r="BH37" s="164" t="str">
        <f t="shared" si="12"/>
        <v/>
      </c>
      <c r="BI37" s="13"/>
      <c r="BJ37" s="180" t="str">
        <f t="shared" si="13"/>
        <v/>
      </c>
      <c r="BK37" s="180" t="str">
        <f t="shared" si="14"/>
        <v/>
      </c>
      <c r="BL37" s="180" t="str">
        <f>IF(OR($BJ37="",$BK37=""),"",$BJ37+$BK37)</f>
        <v/>
      </c>
      <c r="BM37" s="5"/>
      <c r="BN37" s="180" t="str">
        <f t="shared" si="15"/>
        <v/>
      </c>
      <c r="BO37" s="180" t="str">
        <f>IF(OR($AD37="",$AF37="",AND($S37="",ISBLANK($T37)),AND($U37="",ISBLANK($V37))),"",($AD37*(IF(ISBLANK($T37),$S37,$T37)*GalTokWh))-($AE37*IF(ISBLANK($V37),$U37,$V37)*(1+$AF37)))</f>
        <v/>
      </c>
      <c r="BP37" s="180" t="str">
        <f>IF(OR($BN37="",$BO37=""),"",$BN37+$BO37)</f>
        <v/>
      </c>
      <c r="BQ37" s="5"/>
    </row>
    <row r="38" spans="1:69">
      <c r="A38" s="105"/>
      <c r="B38" s="105"/>
      <c r="C38" s="105"/>
      <c r="D38" s="106"/>
      <c r="E38" s="411"/>
      <c r="F38" s="105"/>
      <c r="G38" s="370" t="s">
        <v>205</v>
      </c>
      <c r="H38" s="102" t="str">
        <f>IF(OR(ISBLANK($B38),ISBLANK($C38)),"",ROUND(INDEX('TRU Ops &amp; Costs'!$D$4:$D$74,MATCH($B38&amp;$C38,'TRU Ops &amp; Costs'!$P$4:$P$74,0))/IF($G38="hp",0.7457,1),0))</f>
        <v/>
      </c>
      <c r="I38" s="280"/>
      <c r="J38" s="282" t="str">
        <f>IF(OR(ISBLANK($B38),ISBLANK($C38)),"",INDEX('TRU Ops &amp; Costs'!$E$4:$E$74,MATCH($B38&amp;$C38,'TRU Ops &amp; Costs'!$P$4:$P$74,0)))</f>
        <v/>
      </c>
      <c r="K38" s="284"/>
      <c r="L38" s="102" t="str">
        <f>IF(OR(ISBLANK($B38),ISBLANK($C38)),"",INDEX('TRU Ops &amp; Costs'!$F$4:$F$74,MATCH($B38&amp;$C38,'TRU Ops &amp; Costs'!$P$4:$P$74,0)))</f>
        <v/>
      </c>
      <c r="M38" s="280"/>
      <c r="N38" s="110" t="str">
        <f>IF(OR(ISBLANK($B38),ISBLANK($C38)),"",INDEX('TRU Ops &amp; Costs'!$G$4:$G$74,MATCH($B38&amp;$C38,'TRU Ops &amp; Costs'!$P$4:$P$74,0)))</f>
        <v/>
      </c>
      <c r="O38" s="102" t="str">
        <f t="shared" si="0"/>
        <v/>
      </c>
      <c r="P38" s="280"/>
      <c r="Q38" s="282" t="str">
        <f t="shared" si="16"/>
        <v/>
      </c>
      <c r="R38" s="284"/>
      <c r="S38" s="322" t="str">
        <f>IF(ISBLANK($F38),"",IFERROR(INDEX('Diesel Fuel Prices'!$D$5:$D$31,MATCH($F38,'Diesel Fuel Prices'!$B$5:$B$31,0)),INDEX('Diesel Fuel Prices'!$D$5:$D$31,MATCH("U.S. Average",'Diesel Fuel Prices'!$B$5:$B$31,0)))*References!$B$38/References!$B$37)</f>
        <v/>
      </c>
      <c r="T38" s="290"/>
      <c r="U38" s="322" t="str">
        <f>IF(ISBLANK($F38),"",IFERROR(INDEX('Electricity Prices'!$F$4:$F$30,MATCH($F38,'Electricity Prices'!$B$4:$B$30,0)),INDEX('Electricity Prices'!$F$4:$F$30,MATCH("All U.S.",'Electricity Prices'!$B$4:$B$30,0)))*References!$B$38/References!$B$37)</f>
        <v/>
      </c>
      <c r="V38" s="290"/>
      <c r="W38" s="293" t="str">
        <f>IF(OR(ISBLANK($B38),ISBLANK($C38)),"",INDEX('TRU Ops &amp; Costs'!$I$4:$I$74,MATCH($B38&amp;$C38,'TRU Ops &amp; Costs'!$P$4:$P$74,0)))</f>
        <v/>
      </c>
      <c r="X38" s="295"/>
      <c r="Y38" s="293" t="str">
        <f>IFERROR(IF(AND(ISBLANK(Q38),ISBLANK(R38)),"",IF(OR(ISBLANK($B38),ISBLANK($C38)),"",(IF(E38="Yard",INDEX('TRU Ops &amp; Costs'!$J$4:$J$74,MATCH($B38&amp;$C38,'TRU Ops &amp; Costs'!$P$4:$P$74,0)),INDEX('TRU Ops &amp; Costs'!$K$4:$K$74,MATCH($B38&amp;$C38,'TRU Ops &amp; Costs'!$P$4:$P$74,0)))))/(IF(ISBLANK(R38),Q38,R38))),"")</f>
        <v/>
      </c>
      <c r="Z38" s="295"/>
      <c r="AA38" s="293" t="str">
        <f>IF(OR(ISBLANK($B38),ISBLANK($C38),AND($O38="",ISBLANK($P38))),"",IF(ISBLANK($P38),$O38,$P38)*INDEX('TRU Ops &amp; Costs'!$M$4:$M$74,MATCH($B38&amp;$C38,'TRU Ops &amp; Costs'!$P$4:$P$74,0))*-INDEX('TRU Ops &amp; Costs'!$L$4:$L$74,MATCH($B38&amp;$C38,'TRU Ops &amp; Costs'!$P$4:$P$74,0)))</f>
        <v/>
      </c>
      <c r="AB38" s="185"/>
      <c r="AC38" s="13"/>
      <c r="AD38" s="128" t="str">
        <f t="shared" si="1"/>
        <v/>
      </c>
      <c r="AE38" s="128" t="str">
        <f t="shared" si="2"/>
        <v/>
      </c>
      <c r="AF38" s="168" t="str">
        <f>IF(ISBLANK($F38),"",INDEX('eGRID2018 Subregion'!$J$7:$J$35,MATCH($F38,RegionUSER,0)))</f>
        <v/>
      </c>
      <c r="AG38" s="13"/>
      <c r="AH38" s="203" t="str">
        <f>IF(OR(ISBLANK($B38),ISBLANK($C38),$AD38=""),"",ROUND($AD38*INDEX('Diesel TRU Emission Factors'!$D$6:$D$76,MATCH($B38&amp;$C38,'Diesel TRU Emission Factors'!$R$6:$R$77,0))*GramsToMT,4))</f>
        <v/>
      </c>
      <c r="AI38" s="203" t="str">
        <f>IF(OR(ISBLANK($B38),ISBLANK($C38),$AD38=""),"",ROUND($AD38*INDEX('Diesel TRU Emission Factors'!$E$6:$E$76,MATCH($B38&amp;$C38,'Diesel TRU Emission Factors'!$R$6:$R$77,0))*GramsToMT,4))</f>
        <v/>
      </c>
      <c r="AJ38" s="203" t="str">
        <f>IF(OR(ISBLANK($B38),ISBLANK($C38),$AD38=""),"",ROUND($AD38*INDEX('Diesel TRU Emission Factors'!$H$6:$H$76,MATCH($B38&amp;$C38,'Diesel TRU Emission Factors'!$R$6:$R$77,0))*GramsToMT,4))</f>
        <v/>
      </c>
      <c r="AK38" s="205" t="str">
        <f>IF(OR(ISBLANK($B38),ISBLANK($C38),$AD38=""),"",ROUND($AD38*INDEX('Diesel TRU Emission Factors'!$F$6:$F$76,MATCH($B38&amp;$C38,'Diesel TRU Emission Factors'!$R$6:$R$77,0))*GramsToMT,1))</f>
        <v/>
      </c>
      <c r="AL38" s="196" t="str">
        <f>IF(OR(ISBLANK($B38),ISBLANK($C38),$AD38=""),"",$AD38*INDEX('Diesel TRU Emission Factors'!$G$6:$G$76,MATCH($B38&amp;$C38,'Diesel TRU Emission Factors'!$R$6:$R$77,0))*GramsToMT)</f>
        <v/>
      </c>
      <c r="AM38" s="197" t="str">
        <f>IF(ISBLANK(F38),"",AD38*GalTokWh*'Diesel TRU Emission Factors'!$P$4/1000000)</f>
        <v/>
      </c>
      <c r="AN38" s="207" t="str">
        <f>IF(ISBLANK($F38),"",ROUND(AK38*References!$B$28+AL38*References!$B$29+AM38*References!$B$30,1))</f>
        <v/>
      </c>
      <c r="AO38" s="113"/>
      <c r="AP38" s="203" t="str">
        <f>IF(OR(ISBLANK($F38),$AE38="",$AF38=""),"",ROUND($AE38*(1+$AF38)*INDEX('eGRID2018 Subregion'!$C$7:$C$35,MATCH($F38,RegionUSER,0))*GramsToMT,4))</f>
        <v/>
      </c>
      <c r="AQ38" s="203" t="str">
        <f>IF(OR(ISBLANK($F38),$AE38="",$AF38=""),"",ROUND($AE38*(1+$AF38)*INDEX('eGRID2018 Subregion'!$D$7:$D$35,MATCH($F38,RegionUSER,0))*GramsToMT,4))</f>
        <v/>
      </c>
      <c r="AR38" s="203" t="str">
        <f>IF(OR(ISBLANK($F38),$AE38="",$AF38=""),"",ROUND($AE38*(1+$AF38)*INDEX('eGRID2018 Subregion'!$I$7:$I$35,MATCH($F38,RegionUSER,0))*GramsToMT,4))</f>
        <v/>
      </c>
      <c r="AS38" s="205" t="str">
        <f>IF(OR(ISBLANK($F38),$AE38="",$AF38=""),"",ROUND($AE38*(1+$AF38)*INDEX('eGRID2018 Subregion'!$E$7:$E$35,MATCH($F38,RegionUSER,0))*GramsToMT,1))</f>
        <v/>
      </c>
      <c r="AT38" s="196" t="str">
        <f>IF(OR(ISBLANK($F38),$AE38="",$AF38=""),"",$AE38*(1+$AF38)*INDEX('eGRID2018 Subregion'!$F$7:$F$35,MATCH($F38,RegionUSER,0))*GramsToMT)</f>
        <v/>
      </c>
      <c r="AU38" s="196" t="str">
        <f>IF(OR(ISBLANK($F38),$AE38="",$AF38=""),"",$AE38*(1+$AF38)*INDEX('eGRID2018 Subregion'!$G$7:$G$35,MATCH($F38,RegionUSER,0))*GramsToMT)</f>
        <v/>
      </c>
      <c r="AV38" s="207" t="str">
        <f>IF(ISBLANK($F38),"",ROUND(AS38*References!$B$28+AT38*References!$B$29+AU38*References!$B$30,1))</f>
        <v/>
      </c>
      <c r="AW38" s="5"/>
      <c r="AX38" s="203" t="str">
        <f t="shared" si="3"/>
        <v/>
      </c>
      <c r="AY38" s="203" t="str">
        <f t="shared" si="4"/>
        <v/>
      </c>
      <c r="AZ38" s="203" t="str">
        <f t="shared" si="5"/>
        <v/>
      </c>
      <c r="BA38" s="205" t="str">
        <f t="shared" si="6"/>
        <v/>
      </c>
      <c r="BB38" s="205" t="str">
        <f t="shared" si="7"/>
        <v/>
      </c>
      <c r="BC38" s="1"/>
      <c r="BD38" s="165" t="str">
        <f t="shared" si="8"/>
        <v/>
      </c>
      <c r="BE38" s="165" t="str">
        <f t="shared" si="20"/>
        <v/>
      </c>
      <c r="BF38" s="165" t="str">
        <f t="shared" si="10"/>
        <v/>
      </c>
      <c r="BG38" s="165" t="str">
        <f t="shared" si="11"/>
        <v/>
      </c>
      <c r="BH38" s="165" t="str">
        <f t="shared" si="12"/>
        <v/>
      </c>
      <c r="BI38" s="13"/>
      <c r="BJ38" s="179" t="str">
        <f t="shared" si="13"/>
        <v/>
      </c>
      <c r="BK38" s="179" t="str">
        <f t="shared" si="14"/>
        <v/>
      </c>
      <c r="BL38" s="179" t="str">
        <f t="shared" si="17"/>
        <v/>
      </c>
      <c r="BM38" s="5"/>
      <c r="BN38" s="179" t="str">
        <f t="shared" si="15"/>
        <v/>
      </c>
      <c r="BO38" s="179" t="str">
        <f t="shared" si="18"/>
        <v/>
      </c>
      <c r="BP38" s="179" t="str">
        <f t="shared" si="19"/>
        <v/>
      </c>
      <c r="BQ38" s="5"/>
    </row>
    <row r="39" spans="1:69">
      <c r="A39" s="103"/>
      <c r="B39" s="103"/>
      <c r="C39" s="103"/>
      <c r="D39" s="104"/>
      <c r="E39" s="410"/>
      <c r="F39" s="103"/>
      <c r="G39" s="371" t="s">
        <v>205</v>
      </c>
      <c r="H39" s="102" t="str">
        <f>IF(OR(ISBLANK($B39),ISBLANK($C39)),"",ROUND(INDEX('TRU Ops &amp; Costs'!$D$4:$D$74,MATCH($B39&amp;$C39,'TRU Ops &amp; Costs'!$P$4:$P$74,0))/IF($G39="hp",0.7457,1),0))</f>
        <v/>
      </c>
      <c r="I39" s="281"/>
      <c r="J39" s="282" t="str">
        <f>IF(OR(ISBLANK($B39),ISBLANK($C39)),"",INDEX('TRU Ops &amp; Costs'!$E$4:$E$74,MATCH($B39&amp;$C39,'TRU Ops &amp; Costs'!$P$4:$P$74,0)))</f>
        <v/>
      </c>
      <c r="K39" s="285"/>
      <c r="L39" s="102" t="str">
        <f>IF(OR(ISBLANK($B39),ISBLANK($C39)),"",INDEX('TRU Ops &amp; Costs'!$F$4:$F$74,MATCH($B39&amp;$C39,'TRU Ops &amp; Costs'!$P$4:$P$74,0)))</f>
        <v/>
      </c>
      <c r="M39" s="281"/>
      <c r="N39" s="110" t="str">
        <f>IF(OR(ISBLANK($B39),ISBLANK($C39)),"",INDEX('TRU Ops &amp; Costs'!$G$4:$G$74,MATCH($B39&amp;$C39,'TRU Ops &amp; Costs'!$P$4:$P$74,0)))</f>
        <v/>
      </c>
      <c r="O39" s="102" t="str">
        <f t="shared" si="0"/>
        <v/>
      </c>
      <c r="P39" s="281"/>
      <c r="Q39" s="282" t="str">
        <f t="shared" si="16"/>
        <v/>
      </c>
      <c r="R39" s="285"/>
      <c r="S39" s="322" t="str">
        <f>IF(ISBLANK($F39),"",IFERROR(INDEX('Diesel Fuel Prices'!$D$5:$D$31,MATCH($F39,'Diesel Fuel Prices'!$B$5:$B$31,0)),INDEX('Diesel Fuel Prices'!$D$5:$D$31,MATCH("U.S. Average",'Diesel Fuel Prices'!$B$5:$B$31,0)))*References!$B$38/References!$B$37)</f>
        <v/>
      </c>
      <c r="T39" s="291"/>
      <c r="U39" s="322" t="str">
        <f>IF(ISBLANK($F39),"",IFERROR(INDEX('Electricity Prices'!$F$4:$F$30,MATCH($F39,'Electricity Prices'!$B$4:$B$30,0)),INDEX('Electricity Prices'!$F$4:$F$30,MATCH("All U.S.",'Electricity Prices'!$B$4:$B$30,0)))*References!$B$38/References!$B$37)</f>
        <v/>
      </c>
      <c r="V39" s="291"/>
      <c r="W39" s="293" t="str">
        <f>IF(OR(ISBLANK($B39),ISBLANK($C39)),"",INDEX('TRU Ops &amp; Costs'!$I$4:$I$74,MATCH($B39&amp;$C39,'TRU Ops &amp; Costs'!$P$4:$P$74,0)))</f>
        <v/>
      </c>
      <c r="X39" s="296"/>
      <c r="Y39" s="293" t="str">
        <f>IFERROR(IF(AND(ISBLANK(Q39),ISBLANK(R39)),"",IF(OR(ISBLANK($B39),ISBLANK($C39)),"",(IF(E39="Yard",INDEX('TRU Ops &amp; Costs'!$J$4:$J$74,MATCH($B39&amp;$C39,'TRU Ops &amp; Costs'!$P$4:$P$74,0)),INDEX('TRU Ops &amp; Costs'!$K$4:$K$74,MATCH($B39&amp;$C39,'TRU Ops &amp; Costs'!$P$4:$P$74,0)))))/(IF(ISBLANK(R39),Q39,R39))),"")</f>
        <v/>
      </c>
      <c r="Z39" s="296"/>
      <c r="AA39" s="293" t="str">
        <f>IF(OR(ISBLANK($B39),ISBLANK($C39),AND($O39="",ISBLANK($P39))),"",IF(ISBLANK($P39),$O39,$P39)*INDEX('TRU Ops &amp; Costs'!$M$4:$M$74,MATCH($B39&amp;$C39,'TRU Ops &amp; Costs'!$P$4:$P$74,0))*-INDEX('TRU Ops &amp; Costs'!$L$4:$L$74,MATCH($B39&amp;$C39,'TRU Ops &amp; Costs'!$P$4:$P$74,0)))</f>
        <v/>
      </c>
      <c r="AB39" s="186"/>
      <c r="AC39" s="13"/>
      <c r="AD39" s="127" t="str">
        <f t="shared" si="1"/>
        <v/>
      </c>
      <c r="AE39" s="127" t="str">
        <f t="shared" si="2"/>
        <v/>
      </c>
      <c r="AF39" s="167" t="str">
        <f>IF(ISBLANK($F39),"",INDEX('eGRID2018 Subregion'!$J$7:$J$35,MATCH($F39,RegionUSER,0)))</f>
        <v/>
      </c>
      <c r="AG39" s="13"/>
      <c r="AH39" s="202" t="str">
        <f>IF(OR(ISBLANK($B39),ISBLANK($C39),$AD39=""),"",ROUND($AD39*INDEX('Diesel TRU Emission Factors'!$D$6:$D$76,MATCH($B39&amp;$C39,'Diesel TRU Emission Factors'!$R$6:$R$77,0))*GramsToMT,4))</f>
        <v/>
      </c>
      <c r="AI39" s="202" t="str">
        <f>IF(OR(ISBLANK($B39),ISBLANK($C39),$AD39=""),"",ROUND($AD39*INDEX('Diesel TRU Emission Factors'!$E$6:$E$76,MATCH($B39&amp;$C39,'Diesel TRU Emission Factors'!$R$6:$R$77,0))*GramsToMT,4))</f>
        <v/>
      </c>
      <c r="AJ39" s="202" t="str">
        <f>IF(OR(ISBLANK($B39),ISBLANK($C39),$AD39=""),"",ROUND($AD39*INDEX('Diesel TRU Emission Factors'!$H$6:$H$76,MATCH($B39&amp;$C39,'Diesel TRU Emission Factors'!$R$6:$R$77,0))*GramsToMT,4))</f>
        <v/>
      </c>
      <c r="AK39" s="204" t="str">
        <f>IF(OR(ISBLANK($B39),ISBLANK($C39),$AD39=""),"",ROUND($AD39*INDEX('Diesel TRU Emission Factors'!$F$6:$F$76,MATCH($B39&amp;$C39,'Diesel TRU Emission Factors'!$R$6:$R$77,0))*GramsToMT,1))</f>
        <v/>
      </c>
      <c r="AL39" s="194" t="str">
        <f>IF(OR(ISBLANK($B39),ISBLANK($C39),$AD39=""),"",$AD39*INDEX('Diesel TRU Emission Factors'!$G$6:$G$76,MATCH($B39&amp;$C39,'Diesel TRU Emission Factors'!$R$6:$R$77,0))*GramsToMT)</f>
        <v/>
      </c>
      <c r="AM39" s="195" t="str">
        <f>IF(ISBLANK(F39),"",AD39*GalTokWh*'Diesel TRU Emission Factors'!$P$4/1000000)</f>
        <v/>
      </c>
      <c r="AN39" s="206" t="str">
        <f>IF(ISBLANK($F39),"",ROUND(AK39*References!$B$28+AL39*References!$B$29+AM39*References!$B$30,1))</f>
        <v/>
      </c>
      <c r="AO39" s="113"/>
      <c r="AP39" s="202" t="str">
        <f>IF(OR(ISBLANK($F39),$AE39="",$AF39=""),"",ROUND($AE39*(1+$AF39)*INDEX('eGRID2018 Subregion'!$C$7:$C$35,MATCH($F39,RegionUSER,0))*GramsToMT,4))</f>
        <v/>
      </c>
      <c r="AQ39" s="202" t="str">
        <f>IF(OR(ISBLANK($F39),$AE39="",$AF39=""),"",ROUND($AE39*(1+$AF39)*INDEX('eGRID2018 Subregion'!$D$7:$D$35,MATCH($F39,RegionUSER,0))*GramsToMT,4))</f>
        <v/>
      </c>
      <c r="AR39" s="202" t="str">
        <f>IF(OR(ISBLANK($F39),$AE39="",$AF39=""),"",ROUND($AE39*(1+$AF39)*INDEX('eGRID2018 Subregion'!$I$7:$I$35,MATCH($F39,RegionUSER,0))*GramsToMT,4))</f>
        <v/>
      </c>
      <c r="AS39" s="204" t="str">
        <f>IF(OR(ISBLANK($F39),$AE39="",$AF39=""),"",ROUND($AE39*(1+$AF39)*INDEX('eGRID2018 Subregion'!$E$7:$E$35,MATCH($F39,RegionUSER,0))*GramsToMT,1))</f>
        <v/>
      </c>
      <c r="AT39" s="194" t="str">
        <f>IF(OR(ISBLANK($F39),$AE39="",$AF39=""),"",$AE39*(1+$AF39)*INDEX('eGRID2018 Subregion'!$F$7:$F$35,MATCH($F39,RegionUSER,0))*GramsToMT)</f>
        <v/>
      </c>
      <c r="AU39" s="194" t="str">
        <f>IF(OR(ISBLANK($F39),$AE39="",$AF39=""),"",$AE39*(1+$AF39)*INDEX('eGRID2018 Subregion'!$G$7:$G$35,MATCH($F39,RegionUSER,0))*GramsToMT)</f>
        <v/>
      </c>
      <c r="AV39" s="206" t="str">
        <f>IF(ISBLANK($F39),"",ROUND(AS39*References!$B$28+AT39*References!$B$29+AU39*References!$B$30,1))</f>
        <v/>
      </c>
      <c r="AW39" s="5"/>
      <c r="AX39" s="202" t="str">
        <f t="shared" si="3"/>
        <v/>
      </c>
      <c r="AY39" s="202" t="str">
        <f t="shared" si="4"/>
        <v/>
      </c>
      <c r="AZ39" s="202" t="str">
        <f t="shared" si="5"/>
        <v/>
      </c>
      <c r="BA39" s="204" t="str">
        <f t="shared" si="6"/>
        <v/>
      </c>
      <c r="BB39" s="204" t="str">
        <f t="shared" si="7"/>
        <v/>
      </c>
      <c r="BC39" s="1"/>
      <c r="BD39" s="164" t="str">
        <f t="shared" si="8"/>
        <v/>
      </c>
      <c r="BE39" s="164" t="str">
        <f t="shared" si="20"/>
        <v/>
      </c>
      <c r="BF39" s="164" t="str">
        <f t="shared" si="10"/>
        <v/>
      </c>
      <c r="BG39" s="164" t="str">
        <f t="shared" si="11"/>
        <v/>
      </c>
      <c r="BH39" s="164" t="str">
        <f t="shared" si="12"/>
        <v/>
      </c>
      <c r="BI39" s="13"/>
      <c r="BJ39" s="180" t="str">
        <f t="shared" si="13"/>
        <v/>
      </c>
      <c r="BK39" s="180" t="str">
        <f t="shared" si="14"/>
        <v/>
      </c>
      <c r="BL39" s="180" t="str">
        <f>IF(OR($BJ39="",$BK39=""),"",$BJ39+$BK39)</f>
        <v/>
      </c>
      <c r="BM39" s="5"/>
      <c r="BN39" s="180" t="str">
        <f t="shared" si="15"/>
        <v/>
      </c>
      <c r="BO39" s="180" t="str">
        <f>IF(OR($AD39="",$AF39="",AND($S39="",ISBLANK($T39)),AND($U39="",ISBLANK($V39))),"",($AD39*(IF(ISBLANK($T39),$S39,$T39)*GalTokWh))-($AE39*IF(ISBLANK($V39),$U39,$V39)*(1+$AF39)))</f>
        <v/>
      </c>
      <c r="BP39" s="180" t="str">
        <f>IF(OR($BN39="",$BO39=""),"",$BN39+$BO39)</f>
        <v/>
      </c>
      <c r="BQ39" s="5"/>
    </row>
    <row r="40" spans="1:69">
      <c r="A40" s="373"/>
      <c r="B40" s="373"/>
      <c r="C40" s="373"/>
      <c r="D40" s="374"/>
      <c r="E40" s="412"/>
      <c r="F40" s="373"/>
      <c r="G40" s="372" t="s">
        <v>205</v>
      </c>
      <c r="H40" s="183" t="str">
        <f>IF(OR(ISBLANK($B40),ISBLANK($C40)),"",ROUND(INDEX('TRU Ops &amp; Costs'!$D$4:$D$74,MATCH($B40&amp;$C40,'TRU Ops &amp; Costs'!$P$4:$P$74,0))/IF($G40="hp",0.7457,1),0))</f>
        <v/>
      </c>
      <c r="I40" s="287"/>
      <c r="J40" s="288" t="str">
        <f>IF(OR(ISBLANK($B40),ISBLANK($C40)),"",INDEX('TRU Ops &amp; Costs'!$E$4:$E$74,MATCH($B40&amp;$C40,'TRU Ops &amp; Costs'!$P$4:$P$74,0)))</f>
        <v/>
      </c>
      <c r="K40" s="286"/>
      <c r="L40" s="183" t="str">
        <f>IF(OR(ISBLANK($B40),ISBLANK($C40)),"",INDEX('TRU Ops &amp; Costs'!$F$4:$F$74,MATCH($B40&amp;$C40,'TRU Ops &amp; Costs'!$P$4:$P$74,0)))</f>
        <v/>
      </c>
      <c r="M40" s="287"/>
      <c r="N40" s="369" t="str">
        <f>IF(OR(ISBLANK($B40),ISBLANK($C40)),"",INDEX('TRU Ops &amp; Costs'!$G$4:$G$74,MATCH($B40&amp;$C40,'TRU Ops &amp; Costs'!$P$4:$P$74,0)))</f>
        <v/>
      </c>
      <c r="O40" s="183" t="str">
        <f t="shared" si="0"/>
        <v/>
      </c>
      <c r="P40" s="287"/>
      <c r="Q40" s="288" t="str">
        <f t="shared" si="16"/>
        <v/>
      </c>
      <c r="R40" s="286"/>
      <c r="S40" s="323" t="str">
        <f>IF(ISBLANK($F40),"",IFERROR(INDEX('Diesel Fuel Prices'!$D$5:$D$31,MATCH($F40,'Diesel Fuel Prices'!$B$5:$B$31,0)),INDEX('Diesel Fuel Prices'!$D$5:$D$31,MATCH("U.S. Average",'Diesel Fuel Prices'!$B$5:$B$31,0)))*References!$B$38/References!$B$37)</f>
        <v/>
      </c>
      <c r="T40" s="292"/>
      <c r="U40" s="323" t="str">
        <f>IF(ISBLANK($F40),"",IFERROR(INDEX('Electricity Prices'!$F$4:$F$30,MATCH($F40,'Electricity Prices'!$B$4:$B$30,0)),INDEX('Electricity Prices'!$F$4:$F$30,MATCH("All U.S.",'Electricity Prices'!$B$4:$B$30,0)))*References!$B$38/References!$B$37)</f>
        <v/>
      </c>
      <c r="V40" s="292"/>
      <c r="W40" s="298" t="str">
        <f>IF(OR(ISBLANK($B40),ISBLANK($C40)),"",INDEX('TRU Ops &amp; Costs'!$I$4:$I$74,MATCH($B40&amp;$C40,'TRU Ops &amp; Costs'!$P$4:$P$74,0)))</f>
        <v/>
      </c>
      <c r="X40" s="297"/>
      <c r="Y40" s="298" t="str">
        <f>IFERROR(IF(AND(ISBLANK(Q40),ISBLANK(R40)),"",IF(OR(ISBLANK($B40),ISBLANK($C40)),"",(IF(E40="Yard",INDEX('TRU Ops &amp; Costs'!$J$4:$J$74,MATCH($B40&amp;$C40,'TRU Ops &amp; Costs'!$P$4:$P$74,0)),INDEX('TRU Ops &amp; Costs'!$K$4:$K$74,MATCH($B40&amp;$C40,'TRU Ops &amp; Costs'!$P$4:$P$74,0)))))/(IF(ISBLANK(R40),Q40,R40))),"")</f>
        <v/>
      </c>
      <c r="Z40" s="297"/>
      <c r="AA40" s="298" t="str">
        <f>IF(OR(ISBLANK($B40),ISBLANK($C40),AND($O40="",ISBLANK($P40))),"",IF(ISBLANK($P40),$O40,$P40)*INDEX('TRU Ops &amp; Costs'!$M$4:$M$74,MATCH($B40&amp;$C40,'TRU Ops &amp; Costs'!$P$4:$P$74,0))*-INDEX('TRU Ops &amp; Costs'!$L$4:$L$74,MATCH($B40&amp;$C40,'TRU Ops &amp; Costs'!$P$4:$P$74,0)))</f>
        <v/>
      </c>
      <c r="AB40" s="187"/>
      <c r="AC40" s="13"/>
      <c r="AD40" s="128" t="str">
        <f t="shared" si="1"/>
        <v/>
      </c>
      <c r="AE40" s="128" t="str">
        <f t="shared" si="2"/>
        <v/>
      </c>
      <c r="AF40" s="380" t="str">
        <f>IF(ISBLANK($F40),"",INDEX('eGRID2018 Subregion'!$J$7:$J$35,MATCH($F40,RegionUSER,0)))</f>
        <v/>
      </c>
      <c r="AG40" s="13"/>
      <c r="AH40" s="203" t="str">
        <f>IF(OR(ISBLANK($B40),ISBLANK($C40),$AD40=""),"",ROUND($AD40*INDEX('Diesel TRU Emission Factors'!$D$6:$D$76,MATCH($B40&amp;$C40,'Diesel TRU Emission Factors'!$R$6:$R$77,0))*GramsToMT,4))</f>
        <v/>
      </c>
      <c r="AI40" s="203" t="str">
        <f>IF(OR(ISBLANK($B40),ISBLANK($C40),$AD40=""),"",ROUND($AD40*INDEX('Diesel TRU Emission Factors'!$E$6:$E$76,MATCH($B40&amp;$C40,'Diesel TRU Emission Factors'!$R$6:$R$77,0))*GramsToMT,4))</f>
        <v/>
      </c>
      <c r="AJ40" s="203" t="str">
        <f>IF(OR(ISBLANK($B40),ISBLANK($C40),$AD40=""),"",ROUND($AD40*INDEX('Diesel TRU Emission Factors'!$H$6:$H$76,MATCH($B40&amp;$C40,'Diesel TRU Emission Factors'!$R$6:$R$77,0))*GramsToMT,4))</f>
        <v/>
      </c>
      <c r="AK40" s="205" t="str">
        <f>IF(OR(ISBLANK($B40),ISBLANK($C40),$AD40=""),"",ROUND($AD40*INDEX('Diesel TRU Emission Factors'!$F$6:$F$76,MATCH($B40&amp;$C40,'Diesel TRU Emission Factors'!$R$6:$R$77,0))*GramsToMT,1))</f>
        <v/>
      </c>
      <c r="AL40" s="196" t="str">
        <f>IF(OR(ISBLANK($B40),ISBLANK($C40),$AD40=""),"",$AD40*INDEX('Diesel TRU Emission Factors'!$G$6:$G$76,MATCH($B40&amp;$C40,'Diesel TRU Emission Factors'!$R$6:$R$77,0))*GramsToMT)</f>
        <v/>
      </c>
      <c r="AM40" s="197" t="str">
        <f>IF(ISBLANK(F40),"",AD40*GalTokWh*'Diesel TRU Emission Factors'!$P$4/1000000)</f>
        <v/>
      </c>
      <c r="AN40" s="207" t="str">
        <f>IF(ISBLANK($F40),"",ROUND(AK40*References!$B$28+AL40*References!$B$29+AM40*References!$B$30,1))</f>
        <v/>
      </c>
      <c r="AO40" s="113"/>
      <c r="AP40" s="203" t="str">
        <f>IF(OR(ISBLANK($F40),$AE40="",$AF40=""),"",ROUND($AE40*(1+$AF40)*INDEX('eGRID2018 Subregion'!$C$7:$C$35,MATCH($F40,RegionUSER,0))*GramsToMT,4))</f>
        <v/>
      </c>
      <c r="AQ40" s="203" t="str">
        <f>IF(OR(ISBLANK($F40),$AE40="",$AF40=""),"",ROUND($AE40*(1+$AF40)*INDEX('eGRID2018 Subregion'!$D$7:$D$35,MATCH($F40,RegionUSER,0))*GramsToMT,4))</f>
        <v/>
      </c>
      <c r="AR40" s="203" t="str">
        <f>IF(OR(ISBLANK($F40),$AE40="",$AF40=""),"",ROUND($AE40*(1+$AF40)*INDEX('eGRID2018 Subregion'!$I$7:$I$35,MATCH($F40,RegionUSER,0))*GramsToMT,4))</f>
        <v/>
      </c>
      <c r="AS40" s="205" t="str">
        <f>IF(OR(ISBLANK($F40),$AE40="",$AF40=""),"",ROUND($AE40*(1+$AF40)*INDEX('eGRID2018 Subregion'!$E$7:$E$35,MATCH($F40,RegionUSER,0))*GramsToMT,1))</f>
        <v/>
      </c>
      <c r="AT40" s="196" t="str">
        <f>IF(OR(ISBLANK($F40),$AE40="",$AF40=""),"",$AE40*(1+$AF40)*INDEX('eGRID2018 Subregion'!$F$7:$F$35,MATCH($F40,RegionUSER,0))*GramsToMT)</f>
        <v/>
      </c>
      <c r="AU40" s="196" t="str">
        <f>IF(OR(ISBLANK($F40),$AE40="",$AF40=""),"",$AE40*(1+$AF40)*INDEX('eGRID2018 Subregion'!$G$7:$G$35,MATCH($F40,RegionUSER,0))*GramsToMT)</f>
        <v/>
      </c>
      <c r="AV40" s="207" t="str">
        <f>IF(ISBLANK($F40),"",ROUND(AS40*References!$B$28+AT40*References!$B$29+AU40*References!$B$30,1))</f>
        <v/>
      </c>
      <c r="AW40" s="5"/>
      <c r="AX40" s="203" t="str">
        <f t="shared" si="3"/>
        <v/>
      </c>
      <c r="AY40" s="203" t="str">
        <f t="shared" si="4"/>
        <v/>
      </c>
      <c r="AZ40" s="203" t="str">
        <f t="shared" si="5"/>
        <v/>
      </c>
      <c r="BA40" s="205" t="str">
        <f t="shared" si="6"/>
        <v/>
      </c>
      <c r="BB40" s="205" t="str">
        <f t="shared" si="7"/>
        <v/>
      </c>
      <c r="BC40" s="1"/>
      <c r="BD40" s="165" t="str">
        <f t="shared" si="8"/>
        <v/>
      </c>
      <c r="BE40" s="165" t="str">
        <f t="shared" si="20"/>
        <v/>
      </c>
      <c r="BF40" s="165" t="str">
        <f t="shared" si="10"/>
        <v/>
      </c>
      <c r="BG40" s="165" t="str">
        <f t="shared" si="11"/>
        <v/>
      </c>
      <c r="BH40" s="165" t="str">
        <f t="shared" si="12"/>
        <v/>
      </c>
      <c r="BI40" s="13"/>
      <c r="BJ40" s="179" t="str">
        <f t="shared" si="13"/>
        <v/>
      </c>
      <c r="BK40" s="179" t="str">
        <f t="shared" si="14"/>
        <v/>
      </c>
      <c r="BL40" s="179" t="str">
        <f t="shared" si="17"/>
        <v/>
      </c>
      <c r="BM40" s="5"/>
      <c r="BN40" s="179" t="str">
        <f t="shared" si="15"/>
        <v/>
      </c>
      <c r="BO40" s="179" t="str">
        <f t="shared" si="18"/>
        <v/>
      </c>
      <c r="BP40" s="179" t="str">
        <f t="shared" si="19"/>
        <v/>
      </c>
      <c r="BQ40" s="5"/>
    </row>
    <row r="41" spans="1:69">
      <c r="A41" s="1"/>
      <c r="B41" s="1"/>
      <c r="C41" s="1"/>
      <c r="D41" s="1"/>
      <c r="E41" s="413"/>
      <c r="F41" s="1"/>
      <c r="P41" s="109"/>
      <c r="R41" s="415"/>
      <c r="AD41" s="161">
        <f>SUMIF(AD5:AD40, "&lt;&gt;#N/A")</f>
        <v>0</v>
      </c>
      <c r="AE41" s="161">
        <f t="shared" ref="AE41" si="21">SUMIF(AE5:AE40, "&lt;&gt;#N/A")</f>
        <v>0</v>
      </c>
      <c r="AG41" s="15"/>
      <c r="AH41" s="198">
        <f>ROUND(SUMIF(AH5:AH40, "&lt;&gt;#N/A"),4)</f>
        <v>0</v>
      </c>
      <c r="AI41" s="198">
        <f>ROUND(SUMIF(AI5:AI40, "&lt;&gt;#N/A"),4)</f>
        <v>0</v>
      </c>
      <c r="AJ41" s="198">
        <f>ROUND(SUMIF(AJ5:AJ40, "&lt;&gt;#N/A"),4)</f>
        <v>0</v>
      </c>
      <c r="AK41" s="198">
        <f>ROUND(SUMIF(AK5:AK40, "&lt;&gt;#N/A"),1)</f>
        <v>0</v>
      </c>
      <c r="AL41" s="198">
        <f>SUMIF(AL5:AL40, "&lt;&gt;#N/A")</f>
        <v>0</v>
      </c>
      <c r="AM41" s="198">
        <f>SUMIF(AM5:AM40, "&lt;&gt;#N/A")</f>
        <v>0</v>
      </c>
      <c r="AN41" s="198">
        <f>ROUND(SUMIF(AN5:AN40, "&lt;&gt;#N/A"),1)</f>
        <v>0</v>
      </c>
      <c r="AO41" s="114"/>
      <c r="AP41" s="198">
        <f>ROUND(SUMIF(AP5:AP40, "&lt;&gt;#N/A"),4)</f>
        <v>0</v>
      </c>
      <c r="AQ41" s="198">
        <f>ROUND(SUMIF(AQ5:AQ40, "&lt;&gt;#N/A"),4)</f>
        <v>0</v>
      </c>
      <c r="AR41" s="198">
        <f>ROUND(SUMIF(AR5:AR40, "&lt;&gt;#N/A"),4)</f>
        <v>0</v>
      </c>
      <c r="AS41" s="198">
        <f>ROUND(SUMIF(AS5:AS40, "&lt;&gt;#N/A"),1)</f>
        <v>0</v>
      </c>
      <c r="AT41" s="198">
        <f>SUMIF(AT5:AT40, "&lt;&gt;#N/A")</f>
        <v>0</v>
      </c>
      <c r="AU41" s="198">
        <f>SUMIF(AU5:AU40, "&lt;&gt;#N/A")</f>
        <v>0</v>
      </c>
      <c r="AV41" s="198">
        <f>ROUND(SUMIF(AV5:AV40, "&lt;&gt;#N/A"),1)</f>
        <v>0</v>
      </c>
      <c r="AW41" s="72"/>
      <c r="AX41" s="198">
        <f>ROUND(SUMIF(AX5:AX40, "&lt;&gt;#N/A"),4)</f>
        <v>0</v>
      </c>
      <c r="AY41" s="198">
        <f>ROUND(SUMIF(AY5:AY40, "&lt;&gt;#N/A"),4)</f>
        <v>0</v>
      </c>
      <c r="AZ41" s="198">
        <f>ROUND(SUMIF(AZ5:AZ40, "&lt;&gt;#N/A"),4)</f>
        <v>0</v>
      </c>
      <c r="BA41" s="198">
        <f>ROUND(SUMIF(BA5:BA40, "&lt;&gt;#N/A"),1)</f>
        <v>0</v>
      </c>
      <c r="BB41" s="198">
        <f>ROUND(SUMIF(BB5:BB40, "&lt;&gt;#N/A"),1)</f>
        <v>0</v>
      </c>
      <c r="BC41" s="1"/>
      <c r="BD41" s="166" t="str">
        <f t="shared" si="8"/>
        <v/>
      </c>
      <c r="BE41" s="166" t="str">
        <f t="shared" si="9"/>
        <v/>
      </c>
      <c r="BF41" s="166" t="str">
        <f t="shared" si="10"/>
        <v/>
      </c>
      <c r="BG41" s="166" t="str">
        <f t="shared" si="11"/>
        <v/>
      </c>
      <c r="BH41" s="166" t="str">
        <f t="shared" si="12"/>
        <v/>
      </c>
      <c r="BI41" s="15"/>
      <c r="BJ41" s="181">
        <f>SUMIF(BJ5:BJ40, "&lt;&gt;#N/A")</f>
        <v>0</v>
      </c>
      <c r="BK41" s="181">
        <f t="shared" ref="BK41:BL41" si="22">SUMIF(BK5:BK40, "&lt;&gt;#N/A")</f>
        <v>0</v>
      </c>
      <c r="BL41" s="181">
        <f t="shared" si="22"/>
        <v>0</v>
      </c>
      <c r="BM41" s="8"/>
      <c r="BN41" s="181">
        <f>SUMIF(BN5:BN40, "&lt;&gt;#N/A")</f>
        <v>0</v>
      </c>
      <c r="BO41" s="181">
        <f t="shared" ref="BO41" si="23">SUMIF(BO5:BO40, "&lt;&gt;#N/A")</f>
        <v>0</v>
      </c>
      <c r="BP41" s="181">
        <f>SUMIF(BP5:BP40, "&lt;&gt;#N/A")</f>
        <v>0</v>
      </c>
      <c r="BQ41" s="8"/>
    </row>
    <row r="42" spans="1:69">
      <c r="A42" s="1"/>
      <c r="B42" s="1"/>
      <c r="C42" s="1"/>
      <c r="E42" s="134"/>
      <c r="F42" s="1"/>
      <c r="P42" s="109"/>
      <c r="Q42" s="109"/>
      <c r="R42" s="415"/>
      <c r="AG42" s="13"/>
      <c r="AH42" s="1"/>
      <c r="AI42" s="1"/>
      <c r="AJ42" s="1"/>
      <c r="AK42" s="1"/>
      <c r="AL42" s="1"/>
      <c r="AM42" s="1"/>
      <c r="AN42" s="1"/>
      <c r="AO42" s="6"/>
      <c r="AP42" s="1"/>
      <c r="AQ42" s="1"/>
      <c r="AR42" s="1"/>
      <c r="AS42" s="1"/>
      <c r="AT42" s="1"/>
      <c r="AU42" s="1"/>
      <c r="AV42" s="1"/>
      <c r="AW42" s="6"/>
      <c r="AX42" s="1"/>
      <c r="AY42" s="1"/>
      <c r="AZ42" s="1"/>
      <c r="BA42" s="1"/>
      <c r="BB42" s="1"/>
      <c r="BC42" s="1"/>
      <c r="BI42" s="13"/>
      <c r="BJ42" s="1"/>
      <c r="BK42" s="1"/>
      <c r="BL42" s="1"/>
      <c r="BM42" s="6"/>
      <c r="BN42" s="1"/>
      <c r="BO42" s="1"/>
      <c r="BP42" s="1"/>
      <c r="BQ42" s="6"/>
    </row>
  </sheetData>
  <sheetProtection sheet="1" objects="1" scenarios="1"/>
  <mergeCells count="18">
    <mergeCell ref="AA3:AB3"/>
    <mergeCell ref="BJ1:BP1"/>
    <mergeCell ref="AH2:AN2"/>
    <mergeCell ref="AP2:AV2"/>
    <mergeCell ref="AX2:BB2"/>
    <mergeCell ref="BD2:BH2"/>
    <mergeCell ref="BJ2:BL2"/>
    <mergeCell ref="BN2:BP2"/>
    <mergeCell ref="AH1:BH1"/>
    <mergeCell ref="O3:P3"/>
    <mergeCell ref="Y3:Z3"/>
    <mergeCell ref="W3:X3"/>
    <mergeCell ref="U3:V3"/>
    <mergeCell ref="G3:I3"/>
    <mergeCell ref="J3:K3"/>
    <mergeCell ref="L3:M3"/>
    <mergeCell ref="S3:T3"/>
    <mergeCell ref="Q3:R3"/>
  </mergeCells>
  <conditionalFormatting sqref="H5:H40">
    <cfRule type="expression" dxfId="10" priority="21">
      <formula>NOT(ISBLANK(I5))</formula>
    </cfRule>
  </conditionalFormatting>
  <conditionalFormatting sqref="J5:J40">
    <cfRule type="expression" dxfId="9" priority="18">
      <formula>NOT(ISBLANK(K5))</formula>
    </cfRule>
  </conditionalFormatting>
  <conditionalFormatting sqref="L5:L40">
    <cfRule type="expression" dxfId="8" priority="15">
      <formula>NOT(ISBLANK(M5))</formula>
    </cfRule>
  </conditionalFormatting>
  <conditionalFormatting sqref="S5:S40">
    <cfRule type="expression" dxfId="7" priority="10">
      <formula>NOT(ISBLANK(T5))</formula>
    </cfRule>
  </conditionalFormatting>
  <conditionalFormatting sqref="U5:U40">
    <cfRule type="expression" dxfId="6" priority="9">
      <formula>NOT(ISBLANK(V5))</formula>
    </cfRule>
  </conditionalFormatting>
  <conditionalFormatting sqref="W5:W40">
    <cfRule type="expression" dxfId="5" priority="8">
      <formula>NOT(ISBLANK(X5))</formula>
    </cfRule>
  </conditionalFormatting>
  <conditionalFormatting sqref="Y5:Y40">
    <cfRule type="expression" dxfId="4" priority="7">
      <formula>NOT(ISBLANK(Z5))</formula>
    </cfRule>
  </conditionalFormatting>
  <conditionalFormatting sqref="AA5:AA40">
    <cfRule type="expression" dxfId="3" priority="6">
      <formula>NOT(ISBLANK(AB5))</formula>
    </cfRule>
  </conditionalFormatting>
  <conditionalFormatting sqref="O5:O40">
    <cfRule type="expression" dxfId="2" priority="4">
      <formula>NOT(ISBLANK(P5))</formula>
    </cfRule>
  </conditionalFormatting>
  <conditionalFormatting sqref="G5:G40">
    <cfRule type="expression" dxfId="1" priority="3">
      <formula>AND(NOT(ISBLANK($B5)),NOT(ISBLANK($C5)))</formula>
    </cfRule>
  </conditionalFormatting>
  <conditionalFormatting sqref="Q5:Q40">
    <cfRule type="expression" dxfId="0" priority="1">
      <formula>NOT(ISBLANK(R5))</formula>
    </cfRule>
  </conditionalFormatting>
  <dataValidations count="17">
    <dataValidation type="list" showInputMessage="1" showErrorMessage="1" sqref="C5:C40" xr:uid="{4D4AAEB6-7ABE-4C10-990A-18581D32D901}">
      <formula1>IF(LEFT(B5,5)="Trail",ModelYearTrail,IF(LEFT(B5,5)="Truck",ModelYearTruck,ModelYearNone))</formula1>
    </dataValidation>
    <dataValidation type="list" showInputMessage="1" showErrorMessage="1" sqref="B5:B40" xr:uid="{9237F2EC-2AF8-4D63-A0AD-BAB9F974D1D2}">
      <formula1>TRUType</formula1>
    </dataValidation>
    <dataValidation type="list" showInputMessage="1" showErrorMessage="1" sqref="A5:A40" xr:uid="{883CA992-D693-468C-928F-F42FD6F46098}">
      <formula1>UserType</formula1>
    </dataValidation>
    <dataValidation type="list" showInputMessage="1" showErrorMessage="1" promptTitle="Region" sqref="F5:F40" xr:uid="{31983171-5EBD-4D24-BEC9-462CD3EAAF0D}">
      <formula1>RegionUSER</formula1>
    </dataValidation>
    <dataValidation type="whole" allowBlank="1" showInputMessage="1" showErrorMessage="1" error="Must enter integer value greater than or equal to 1 and less than 100,000" sqref="D5:D40" xr:uid="{220850DF-B3C3-42E2-9DF7-D4D09D98DE4B}">
      <formula1>1</formula1>
      <formula2>100000</formula2>
    </dataValidation>
    <dataValidation allowBlank="1" showInputMessage="1" showErrorMessage="1" promptTitle="Using User-Defined Values" prompt="To input user-defined eGRID emissions rates, enter your own values at the bottom of the &quot;eGRID2018 Region&quot; tab. Then select &quot;USER DEFINED&quot; eGRID region in this column (at the bottom of the drop-down list)." sqref="F3" xr:uid="{7A9ED7AC-4C7E-4EC2-8A85-B94146E1A454}"/>
    <dataValidation type="decimal" operator="lessThanOrEqual" allowBlank="1" showInputMessage="1" showErrorMessage="1" sqref="AC5:AC40" xr:uid="{66D228DB-1D94-424A-890B-F3AB42E15C8D}">
      <formula1>$L5</formula1>
    </dataValidation>
    <dataValidation type="decimal" allowBlank="1" showInputMessage="1" showErrorMessage="1" error="Must enter decimal value greater than zero and less than or equal to 1." sqref="K5:K40" xr:uid="{E57D432B-0270-4DF2-9352-895A8A6DF7F9}">
      <formula1>0.0000000001</formula1>
      <formula2>1</formula2>
    </dataValidation>
    <dataValidation type="whole" allowBlank="1" showInputMessage="1" showErrorMessage="1" error="Must enter integer value greater than zero and less than or equal to 8,760." sqref="M5:M40" xr:uid="{AE957DF5-2C3F-4DBF-BD3A-C877041D6AD7}">
      <formula1>1</formula1>
      <formula2>8760</formula2>
    </dataValidation>
    <dataValidation allowBlank="1" showInputMessage="1" showErrorMessage="1" promptTitle="Default vs. User-Defined Value" prompt="The default value for your selections is provided in the first (white) column and will be used if no user-defined value is entered. To use your own value, enter it in the second (blue) column and the calculator will use this value instead." sqref="S3:AC3 O3 G3 J3:M3 Q3" xr:uid="{87FB7247-2BEE-4A60-AB73-5437CEB27CFA}"/>
    <dataValidation type="decimal" allowBlank="1" showInputMessage="1" showErrorMessage="1" error="Must enter integer value greater than or equal to 1 and less than 100,000" sqref="T5:T40 V5:V40 X5:X40 Z5:Z40 AB5:AB40" xr:uid="{2556A26E-3B25-4EAC-B907-4D870D7683D7}">
      <formula1>0</formula1>
      <formula2>100000</formula2>
    </dataValidation>
    <dataValidation type="decimal" allowBlank="1" showInputMessage="1" showErrorMessage="1" error="Must enter a percent value greater than or equal to 0% and less than 100%" sqref="AB5:AC40 Z5:Z40 X5:X40 T5:T40 V5:V40" xr:uid="{4BFA4055-27A5-4966-B7FB-A715C4D0A1B5}">
      <formula1>0</formula1>
      <formula2>1</formula2>
    </dataValidation>
    <dataValidation type="whole" allowBlank="1" showInputMessage="1" showErrorMessage="1" error="Must enter integer value greater than zero and less than or equal to 135." sqref="I5:I40" xr:uid="{694BE3F7-70CC-4BF0-90D1-77D845600EF0}">
      <formula1>1</formula1>
      <formula2>135</formula2>
    </dataValidation>
    <dataValidation type="whole" showInputMessage="1" showErrorMessage="1" error="Must enter integer value greater than zero and less than or equal to the Total Engine Hours." sqref="P5:P40" xr:uid="{28467163-5713-4826-9F20-674A2AA3DF24}">
      <formula1>1</formula1>
      <formula2>IF(ISBLANK($M5),$L5,$M5)</formula2>
    </dataValidation>
    <dataValidation type="list" showInputMessage="1" showErrorMessage="1" sqref="G5:G40" xr:uid="{47EB1C87-083F-4AFD-9628-C1A673DD3FED}">
      <formula1>PowerUnit</formula1>
    </dataValidation>
    <dataValidation type="list" allowBlank="1" showInputMessage="1" showErrorMessage="1" sqref="E5:E40" xr:uid="{96A957F3-2883-441C-AEAE-223917452CEA}">
      <formula1>PlugLocation</formula1>
    </dataValidation>
    <dataValidation type="decimal" showInputMessage="1" showErrorMessage="1" error="Must enter decimal value between 1 and 500." sqref="R5:R40" xr:uid="{7D114F32-4756-4CFE-8C02-15EEA16CBE71}">
      <formula1>1</formula1>
      <formula2>500</formula2>
    </dataValidation>
  </dataValidations>
  <pageMargins left="0.75" right="0.75" top="1" bottom="1" header="0.5" footer="0.5"/>
  <pageSetup scale="55" fitToHeight="0" orientation="landscape" horizontalDpi="4294967292" verticalDpi="4294967292" r:id="rId1"/>
  <headerFooter>
    <oddHeader>&amp;L&amp;G&amp;R&amp;11Office of Transportation and Air Quality
March 2017</oddHead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F0F9-AEC3-4490-A2BB-4A66F8176200}">
  <sheetPr codeName="Sheet9"/>
  <dimension ref="A1:BE42"/>
  <sheetViews>
    <sheetView topLeftCell="B1" workbookViewId="0">
      <pane xSplit="5" ySplit="4" topLeftCell="G5" activePane="bottomRight" state="frozen"/>
      <selection activeCell="B1" sqref="B1"/>
      <selection pane="topRight" activeCell="F1" sqref="F1"/>
      <selection pane="bottomLeft" activeCell="B5" sqref="B5"/>
      <selection pane="bottomRight" activeCell="B5" sqref="B5"/>
    </sheetView>
  </sheetViews>
  <sheetFormatPr defaultRowHeight="15.6"/>
  <cols>
    <col min="1" max="1" width="19.09765625" hidden="1" customWidth="1"/>
    <col min="2" max="2" width="16.59765625" bestFit="1" customWidth="1"/>
    <col min="3" max="3" width="11.8984375" customWidth="1"/>
    <col min="4" max="5" width="12.59765625" customWidth="1"/>
    <col min="6" max="6" width="14.19921875" customWidth="1"/>
    <col min="7" max="7" width="13.3984375" customWidth="1"/>
    <col min="8" max="8" width="13.3984375" hidden="1" customWidth="1"/>
    <col min="9" max="9" width="12.09765625" bestFit="1" customWidth="1"/>
    <col min="10" max="10" width="16.5" bestFit="1" customWidth="1"/>
    <col min="11" max="11" width="15.5" customWidth="1"/>
    <col min="12" max="12" width="13.8984375" bestFit="1" customWidth="1"/>
    <col min="13" max="13" width="14.19921875" bestFit="1" customWidth="1"/>
    <col min="14" max="14" width="11.3984375" bestFit="1" customWidth="1"/>
    <col min="15" max="15" width="12.69921875" bestFit="1" customWidth="1"/>
    <col min="16" max="16" width="12.09765625" bestFit="1" customWidth="1"/>
    <col min="17" max="17" width="1.09765625" customWidth="1"/>
    <col min="18" max="19" width="16.59765625" customWidth="1"/>
    <col min="20" max="20" width="11.19921875" customWidth="1"/>
    <col min="21" max="21" width="1.09765625" customWidth="1"/>
    <col min="22" max="25" width="15" customWidth="1"/>
    <col min="26" max="27" width="9" hidden="1" customWidth="1"/>
    <col min="28" max="28" width="15" customWidth="1"/>
    <col min="29" max="29" width="1.09765625" customWidth="1"/>
    <col min="30" max="33" width="15.3984375" customWidth="1"/>
    <col min="34" max="35" width="0" hidden="1" customWidth="1"/>
    <col min="36" max="36" width="15.3984375" customWidth="1"/>
    <col min="37" max="37" width="1.09765625" customWidth="1"/>
    <col min="38" max="42" width="14.5" customWidth="1"/>
    <col min="43" max="43" width="1" customWidth="1"/>
    <col min="44" max="44" width="8.5" bestFit="1" customWidth="1"/>
    <col min="45" max="45" width="9.69921875" hidden="1" customWidth="1"/>
    <col min="46" max="46" width="8.5" bestFit="1" customWidth="1"/>
    <col min="47" max="48" width="8.09765625" customWidth="1"/>
    <col min="49" max="49" width="1.09765625" customWidth="1"/>
    <col min="50" max="52" width="12.59765625" customWidth="1"/>
    <col min="53" max="53" width="1.09765625" customWidth="1"/>
    <col min="54" max="56" width="12.59765625" customWidth="1"/>
    <col min="57" max="57" width="1.09765625" customWidth="1"/>
    <col min="58" max="67" width="0" hidden="1" customWidth="1"/>
  </cols>
  <sheetData>
    <row r="1" spans="1:57" ht="23.4">
      <c r="B1" s="16" t="s">
        <v>322</v>
      </c>
      <c r="V1" s="472" t="s">
        <v>294</v>
      </c>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351"/>
      <c r="AX1" s="466" t="s">
        <v>317</v>
      </c>
      <c r="AY1" s="466"/>
      <c r="AZ1" s="466"/>
      <c r="BA1" s="466"/>
      <c r="BB1" s="466"/>
      <c r="BC1" s="466"/>
      <c r="BD1" s="466"/>
    </row>
    <row r="2" spans="1:57" ht="15.75" customHeight="1">
      <c r="N2" s="303"/>
      <c r="O2" s="303"/>
      <c r="P2" s="303"/>
      <c r="V2" s="467" t="s">
        <v>125</v>
      </c>
      <c r="W2" s="467"/>
      <c r="X2" s="467"/>
      <c r="Y2" s="467"/>
      <c r="Z2" s="467"/>
      <c r="AA2" s="467"/>
      <c r="AB2" s="467"/>
      <c r="AC2" s="349"/>
      <c r="AD2" s="467" t="s">
        <v>126</v>
      </c>
      <c r="AE2" s="467"/>
      <c r="AF2" s="467"/>
      <c r="AG2" s="467"/>
      <c r="AH2" s="467"/>
      <c r="AI2" s="467"/>
      <c r="AJ2" s="467"/>
      <c r="AK2" s="349"/>
      <c r="AL2" s="468" t="s">
        <v>69</v>
      </c>
      <c r="AM2" s="468"/>
      <c r="AN2" s="468"/>
      <c r="AO2" s="468"/>
      <c r="AP2" s="468"/>
      <c r="AQ2" s="350"/>
      <c r="AR2" s="468" t="s">
        <v>70</v>
      </c>
      <c r="AS2" s="468"/>
      <c r="AT2" s="468"/>
      <c r="AU2" s="468"/>
      <c r="AV2" s="468"/>
      <c r="AW2" s="351"/>
      <c r="AX2" s="467" t="s">
        <v>316</v>
      </c>
      <c r="AY2" s="467"/>
      <c r="AZ2" s="467"/>
      <c r="BA2" s="349"/>
      <c r="BB2" s="467" t="s">
        <v>319</v>
      </c>
      <c r="BC2" s="467"/>
      <c r="BD2" s="467"/>
      <c r="BE2" s="7"/>
    </row>
    <row r="3" spans="1:57" ht="64.2" thickBot="1">
      <c r="A3" s="3" t="s">
        <v>109</v>
      </c>
      <c r="B3" s="3" t="s">
        <v>76</v>
      </c>
      <c r="C3" s="3" t="s">
        <v>113</v>
      </c>
      <c r="D3" s="93" t="s">
        <v>119</v>
      </c>
      <c r="E3" s="424" t="s">
        <v>367</v>
      </c>
      <c r="F3" s="93" t="s">
        <v>1</v>
      </c>
      <c r="G3" s="144" t="s">
        <v>191</v>
      </c>
      <c r="H3" s="144" t="s">
        <v>188</v>
      </c>
      <c r="I3" s="144" t="s">
        <v>196</v>
      </c>
      <c r="J3" s="144" t="s">
        <v>192</v>
      </c>
      <c r="K3" s="144" t="s">
        <v>195</v>
      </c>
      <c r="L3" s="144" t="s">
        <v>130</v>
      </c>
      <c r="M3" s="144" t="s">
        <v>120</v>
      </c>
      <c r="N3" s="304" t="s">
        <v>121</v>
      </c>
      <c r="O3" s="144" t="s">
        <v>122</v>
      </c>
      <c r="P3" s="144" t="s">
        <v>179</v>
      </c>
      <c r="Q3" s="14"/>
      <c r="R3" s="144" t="s">
        <v>193</v>
      </c>
      <c r="S3" s="144" t="s">
        <v>194</v>
      </c>
      <c r="T3" s="144" t="s">
        <v>74</v>
      </c>
      <c r="U3" s="14"/>
      <c r="V3" s="144" t="s">
        <v>226</v>
      </c>
      <c r="W3" s="144" t="s">
        <v>227</v>
      </c>
      <c r="X3" s="144" t="s">
        <v>224</v>
      </c>
      <c r="Y3" s="144" t="s">
        <v>225</v>
      </c>
      <c r="Z3" s="144" t="s">
        <v>243</v>
      </c>
      <c r="AA3" s="144" t="s">
        <v>244</v>
      </c>
      <c r="AB3" s="182" t="s">
        <v>237</v>
      </c>
      <c r="AC3" s="9"/>
      <c r="AD3" s="144" t="s">
        <v>226</v>
      </c>
      <c r="AE3" s="144" t="s">
        <v>227</v>
      </c>
      <c r="AF3" s="144" t="s">
        <v>224</v>
      </c>
      <c r="AG3" s="144" t="s">
        <v>225</v>
      </c>
      <c r="AH3" s="144" t="s">
        <v>243</v>
      </c>
      <c r="AI3" s="144" t="s">
        <v>244</v>
      </c>
      <c r="AJ3" s="182" t="s">
        <v>237</v>
      </c>
      <c r="AK3" s="9"/>
      <c r="AL3" s="144" t="s">
        <v>226</v>
      </c>
      <c r="AM3" s="144" t="s">
        <v>227</v>
      </c>
      <c r="AN3" s="144" t="s">
        <v>224</v>
      </c>
      <c r="AO3" s="144" t="s">
        <v>225</v>
      </c>
      <c r="AP3" s="182" t="s">
        <v>237</v>
      </c>
      <c r="AQ3" s="2"/>
      <c r="AR3" s="144" t="s">
        <v>226</v>
      </c>
      <c r="AS3" s="144" t="s">
        <v>227</v>
      </c>
      <c r="AT3" s="144" t="s">
        <v>224</v>
      </c>
      <c r="AU3" s="144" t="s">
        <v>225</v>
      </c>
      <c r="AV3" s="182" t="s">
        <v>237</v>
      </c>
      <c r="AW3" s="14"/>
      <c r="AX3" s="144" t="s">
        <v>180</v>
      </c>
      <c r="AY3" s="144" t="s">
        <v>127</v>
      </c>
      <c r="AZ3" s="144" t="s">
        <v>128</v>
      </c>
      <c r="BA3" s="9"/>
      <c r="BB3" s="144" t="s">
        <v>123</v>
      </c>
      <c r="BC3" s="144" t="s">
        <v>181</v>
      </c>
      <c r="BD3" s="144" t="s">
        <v>182</v>
      </c>
      <c r="BE3" s="9"/>
    </row>
    <row r="4" spans="1:57">
      <c r="A4" s="6" t="s">
        <v>55</v>
      </c>
      <c r="B4" s="6" t="s">
        <v>55</v>
      </c>
      <c r="C4" s="6" t="s">
        <v>55</v>
      </c>
      <c r="D4" s="94" t="s">
        <v>129</v>
      </c>
      <c r="E4" s="188" t="s">
        <v>55</v>
      </c>
      <c r="F4" s="6" t="s">
        <v>55</v>
      </c>
      <c r="G4" s="97" t="s">
        <v>153</v>
      </c>
      <c r="H4" s="97" t="s">
        <v>153</v>
      </c>
      <c r="I4" s="97" t="s">
        <v>153</v>
      </c>
      <c r="J4" s="97" t="s">
        <v>153</v>
      </c>
      <c r="K4" s="97" t="s">
        <v>153</v>
      </c>
      <c r="L4" s="97" t="s">
        <v>153</v>
      </c>
      <c r="M4" s="97" t="s">
        <v>153</v>
      </c>
      <c r="N4" s="97" t="s">
        <v>153</v>
      </c>
      <c r="O4" s="97" t="s">
        <v>153</v>
      </c>
      <c r="P4" s="97" t="s">
        <v>153</v>
      </c>
      <c r="Q4" s="100"/>
      <c r="R4" s="98" t="s">
        <v>56</v>
      </c>
      <c r="S4" s="98" t="s">
        <v>56</v>
      </c>
      <c r="T4" s="98" t="s">
        <v>56</v>
      </c>
      <c r="U4" s="13"/>
      <c r="V4" s="98" t="s">
        <v>56</v>
      </c>
      <c r="W4" s="98" t="s">
        <v>56</v>
      </c>
      <c r="X4" s="98" t="s">
        <v>56</v>
      </c>
      <c r="Y4" s="98" t="s">
        <v>56</v>
      </c>
      <c r="Z4" s="98" t="s">
        <v>56</v>
      </c>
      <c r="AA4" s="98" t="s">
        <v>56</v>
      </c>
      <c r="AB4" s="98" t="s">
        <v>56</v>
      </c>
      <c r="AC4" s="5"/>
      <c r="AD4" s="98" t="s">
        <v>56</v>
      </c>
      <c r="AE4" s="98" t="s">
        <v>56</v>
      </c>
      <c r="AF4" s="98" t="s">
        <v>56</v>
      </c>
      <c r="AG4" s="98" t="s">
        <v>56</v>
      </c>
      <c r="AH4" s="98" t="s">
        <v>56</v>
      </c>
      <c r="AI4" s="98" t="s">
        <v>56</v>
      </c>
      <c r="AJ4" s="98" t="s">
        <v>56</v>
      </c>
      <c r="AK4" s="5"/>
      <c r="AL4" s="99" t="s">
        <v>56</v>
      </c>
      <c r="AM4" s="99" t="s">
        <v>56</v>
      </c>
      <c r="AN4" s="99" t="s">
        <v>56</v>
      </c>
      <c r="AO4" s="99" t="s">
        <v>56</v>
      </c>
      <c r="AP4" s="99" t="s">
        <v>56</v>
      </c>
      <c r="AQ4" s="5"/>
      <c r="AR4" s="99" t="s">
        <v>56</v>
      </c>
      <c r="AS4" s="99" t="s">
        <v>56</v>
      </c>
      <c r="AT4" s="99" t="s">
        <v>56</v>
      </c>
      <c r="AU4" s="99" t="s">
        <v>56</v>
      </c>
      <c r="AV4" s="99" t="s">
        <v>56</v>
      </c>
      <c r="AW4" s="13"/>
      <c r="AX4" s="178" t="s">
        <v>56</v>
      </c>
      <c r="AY4" s="178" t="s">
        <v>56</v>
      </c>
      <c r="AZ4" s="178" t="s">
        <v>56</v>
      </c>
      <c r="BA4" s="101"/>
      <c r="BB4" s="178" t="s">
        <v>56</v>
      </c>
      <c r="BC4" s="178" t="s">
        <v>56</v>
      </c>
      <c r="BD4" s="178" t="s">
        <v>56</v>
      </c>
      <c r="BE4" s="6"/>
    </row>
    <row r="5" spans="1:57">
      <c r="A5" s="103" t="s">
        <v>131</v>
      </c>
      <c r="B5" s="210" t="s">
        <v>114</v>
      </c>
      <c r="C5" s="210">
        <v>2014</v>
      </c>
      <c r="D5" s="211">
        <v>20</v>
      </c>
      <c r="E5" s="410" t="s">
        <v>369</v>
      </c>
      <c r="F5" s="210" t="s">
        <v>53</v>
      </c>
      <c r="G5" s="212">
        <f>IF(OR(ISBLANK($B5),ISBLANK($C5)),"",INDEX('TRU Ops &amp; Costs'!$D$4:$D$74,MATCH($B5&amp;$C5,'TRU Ops &amp; Costs'!$P$4:$P$74,0))/0.7457)</f>
        <v>25.479415314469623</v>
      </c>
      <c r="H5" s="213">
        <f>IF(OR(ISBLANK($B5),ISBLANK($C5)),"",INDEX('TRU Ops &amp; Costs'!$E$4:$E$74,MATCH($B5&amp;$C5,'TRU Ops &amp; Costs'!$P$4:$P$74,0)))</f>
        <v>0.51</v>
      </c>
      <c r="I5" s="212">
        <f>IF(OR(ISBLANK($B5),ISBLANK($C5)),"",INDEX('TRU Ops &amp; Costs'!$F$4:$F$74,MATCH($B5&amp;$C5,'TRU Ops &amp; Costs'!$P$4:$P$74,0)))</f>
        <v>2201</v>
      </c>
      <c r="J5" s="214">
        <f>IF(OR(ISBLANK($B5),ISBLANK($C5)),"",INDEX('TRU Ops &amp; Costs'!$G$4:$G$74,MATCH($B5&amp;$C5,'TRU Ops &amp; Costs'!$P$4:$P$74,0)))</f>
        <v>0.53</v>
      </c>
      <c r="K5" s="212">
        <f>IF(OR(ISBLANK($B5),ISBLANK($C5)),"",$I5*$J5)</f>
        <v>1166.53</v>
      </c>
      <c r="L5" s="215">
        <f>IF(ISBLANK($F5),"",INDEX('Diesel Fuel Prices'!$D$5:$D$31,MATCH($F5,'Diesel Fuel Prices'!$B$5:$B$31,0))*References!$B$38/References!$B$37)</f>
        <v>3.0672142862702061</v>
      </c>
      <c r="M5" s="215">
        <f>IF(ISBLANK($F5),"",VLOOKUP($F5,'Electricity Prices'!$B$4:$F$31,5,FALSE)*References!$B$38/References!$B$37)</f>
        <v>9.4861661064340852E-2</v>
      </c>
      <c r="N5" s="216">
        <f>IF(OR(ISBLANK($B5),ISBLANK($C5)),"",INDEX('TRU Ops &amp; Costs'!$I$4:$I$74,MATCH($B5&amp;$C5,'TRU Ops &amp; Costs'!$P$4:$P$74,0)))</f>
        <v>4561.8433884083697</v>
      </c>
      <c r="O5" s="216">
        <f>IF(OR(ISBLANK($B5),ISBLANK($C5)),"",IF(E5="Yard",INDEX('TRU Ops &amp; Costs'!$J$4:$J$74,MATCH($B5&amp;$C5,'TRU Ops &amp; Costs'!$P$4:$P$74,0)),INDEX('TRU Ops &amp; Costs'!$K$4:$K$74,MATCH($B5&amp;$C5,'TRU Ops &amp; Costs'!$P$4:$P$74,0))))</f>
        <v>7818.9003276609228</v>
      </c>
      <c r="P5" s="216">
        <f>IF(OR(ISBLANK($B5),ISBLANK($C5)),"",$K5*INDEX('TRU Ops &amp; Costs'!$M$4:$M$74,MATCH($B5&amp;$C5,'TRU Ops &amp; Costs'!$P$4:$P$74,0))*-INDEX('TRU Ops &amp; Costs'!$L$4:$L$74,MATCH($B5&amp;$C5,'TRU Ops &amp; Costs'!$P$4:$P$74,0)))</f>
        <v>250.35366448890071</v>
      </c>
      <c r="Q5" s="212"/>
      <c r="R5" s="217">
        <f>IF(OR(ISBLANK($B5),ISBLANK($C5),ISBLANK($D5)),"",$D5*$G5*$H5*$K5)</f>
        <v>303169.52393724013</v>
      </c>
      <c r="S5" s="217">
        <f t="shared" ref="S5:S40" si="0">IF(OR(ISBLANK($B5),ISBLANK($C5),ISBLANK($D5)),"",R5/EfficiencyImprovement)</f>
        <v>117899.2593089267</v>
      </c>
      <c r="T5" s="218">
        <f>IF(ISBLANK($F5),"",INDEX('eGRID2018 Subregion'!$J$7:$J$33,MATCH($F5,RegionGEN,0)))</f>
        <v>4.8044463575380503E-2</v>
      </c>
      <c r="U5" s="212"/>
      <c r="V5" s="219">
        <f>IF(OR(ISBLANK($B5),ISBLANK($C5),$R5=""),"",ROUND($R5*INDEX('Diesel TRU Emission Factors'!$D$6:$D$76,MATCH($B5&amp;$C5,'Diesel TRU Emission Factors'!$R$6:$R$77,0))*GramsToMT,4))</f>
        <v>1.5481</v>
      </c>
      <c r="W5" s="219">
        <f>IF(OR(ISBLANK($B5),ISBLANK($C5),$R5=""),"",ROUND($R5*INDEX('Diesel TRU Emission Factors'!$E$6:$E$76,MATCH($B5&amp;$C5,'Diesel TRU Emission Factors'!$R$6:$R$77,0))*GramsToMT,4))</f>
        <v>8.9999999999999998E-4</v>
      </c>
      <c r="X5" s="219">
        <f>IF(OR(ISBLANK($B5),ISBLANK($C5),$R5=""),"",ROUND($R5*INDEX('Diesel TRU Emission Factors'!$H$6:$H$76,MATCH($B5&amp;$C5,'Diesel TRU Emission Factors'!$R$6:$R$77,0))*GramsToMT,4))</f>
        <v>7.9299999999999995E-2</v>
      </c>
      <c r="Y5" s="220">
        <f>IF(OR(ISBLANK($B5),ISBLANK($C5),$R5=""),"",ROUND($R5*INDEX('Diesel TRU Emission Factors'!$F$6:$F$76,MATCH($B5&amp;$C5,'Diesel TRU Emission Factors'!$R$6:$R$77,0))*GramsToMT,1))</f>
        <v>239.6</v>
      </c>
      <c r="Z5" s="220">
        <f>IF(OR(ISBLANK($B5),ISBLANK($C5),$R5=""),"",$R5*INDEX('Diesel TRU Emission Factors'!$G$6:$G$76,MATCH($B5&amp;$C5,'Diesel TRU Emission Factors'!$R$6:$R$77,0))*GramsToMT)</f>
        <v>1.300203524208645E-2</v>
      </c>
      <c r="AA5" s="221">
        <f>IF(ISBLANK(F5),"",R5*GalTokWh*'Diesel TRU Emission Factors'!$P$4/1000000)</f>
        <v>3.847221258763577E-3</v>
      </c>
      <c r="AB5" s="221">
        <f>IF(ISBLANK($F5),"",ROUND(Y5*References!$B$28+Z5*References!$B$29+AA5*References!$B$30,1))</f>
        <v>241.1</v>
      </c>
      <c r="AC5" s="222"/>
      <c r="AD5" s="219">
        <f>IF(OR(ISBLANK($F5),$S5="",$T5=""),"",ROUND($S5*(1+$T5)*INDEX('eGRID2018 Subregion'!$C$7:$C$33,MATCH($F5,RegionGEN,0))*GramsToMT,4))</f>
        <v>4.0899999999999999E-2</v>
      </c>
      <c r="AE5" s="219">
        <f>IF(OR(ISBLANK($F5),$S5="",$T5=""),"",ROUND($S5*(1+$T5)*INDEX('eGRID2018 Subregion'!$D$7:$D$33,MATCH($F5,RegionGEN,0))*GramsToMT,4))</f>
        <v>1.47E-2</v>
      </c>
      <c r="AF5" s="219">
        <f>IF(OR(ISBLANK($F5),$S5="",$T5=""),"",ROUND($S5*(1+$T5)*INDEX('eGRID2018 Subregion'!$I$7:$I$33,MATCH($F5,RegionGEN,0))*GramsToMT,4))</f>
        <v>4.4000000000000003E-3</v>
      </c>
      <c r="AG5" s="220">
        <f>IF(OR(ISBLANK($F5),$S5="",$T5=""),"",ROUND($S5*(1+$T5)*INDEX('eGRID2018 Subregion'!$E$7:$E$33,MATCH($F5,RegionGEN,0))*GramsToMT,1))</f>
        <v>57.3</v>
      </c>
      <c r="AH5" s="220">
        <f>IF(OR(ISBLANK($F5),$S5="",$T5=""),"",$S5*(1+$T5)*INDEX('eGRID2018 Subregion'!$F$7:$F$33,MATCH($F5,RegionGEN,0))*GramsToMT)</f>
        <v>4.3247283092425568E-3</v>
      </c>
      <c r="AI5" s="220">
        <f>IF(OR(ISBLANK($F5),$S5="",$T5=""),"",$S5*(1+$T5)*INDEX('eGRID2018 Subregion'!$G$7:$G$33,MATCH($F5,RegionGEN,0))*GramsToMT)</f>
        <v>6.178183298917938E-4</v>
      </c>
      <c r="AJ5" s="220">
        <f>IF(ISBLANK($F5),"",ROUND(AG5*References!$B$28+AH5*References!$B$29+AI5*References!$B$30,1))</f>
        <v>57.6</v>
      </c>
      <c r="AK5" s="222"/>
      <c r="AL5" s="219">
        <f t="shared" ref="AL5:AL40" si="1">IF(OR($V5="",$AD5=""),"",ROUND($AD5-$V5,4))</f>
        <v>-1.5072000000000001</v>
      </c>
      <c r="AM5" s="219">
        <f t="shared" ref="AM5:AM40" si="2">IF(OR($W5="",$AE5=""),"",ROUND($AE5-$W5,4))</f>
        <v>1.38E-2</v>
      </c>
      <c r="AN5" s="219">
        <f t="shared" ref="AN5:AN40" si="3">IF(OR($X5="",$AF5=""),"",ROUND($AF5-$X5,4))</f>
        <v>-7.4899999999999994E-2</v>
      </c>
      <c r="AO5" s="220">
        <f t="shared" ref="AO5:AO40" si="4">IF(OR($Y5="",$AG5=""),"",ROUND($AG5-$Y5,1))</f>
        <v>-182.3</v>
      </c>
      <c r="AP5" s="220">
        <f t="shared" ref="AP5:AP40" si="5">IF(OR($AB5="",$AJ5=""),"",ROUND($AJ5-$AB5,1))</f>
        <v>-183.5</v>
      </c>
      <c r="AQ5" s="223"/>
      <c r="AR5" s="224">
        <f t="shared" ref="AR5:AR40" si="6">IF(OR($V5="",$AL5="",$V5=0),"",ROUND($AL5/$V5,2))</f>
        <v>-0.97</v>
      </c>
      <c r="AS5" s="224">
        <f>IF(OR($W5="",$AM5="",$W5=0),"", $AM5/$W5)</f>
        <v>15.333333333333334</v>
      </c>
      <c r="AT5" s="224">
        <f t="shared" ref="AT5:AT40" si="7">IF(OR($X5="",$AN5="",$X5=0),"",ROUND($AN5/$X5,2))</f>
        <v>-0.94</v>
      </c>
      <c r="AU5" s="224">
        <f t="shared" ref="AU5:AU40" si="8">IF(OR($Y5="",$AO5="",$Y5=0),"",ROUND($AO5/$Y5,2))</f>
        <v>-0.76</v>
      </c>
      <c r="AV5" s="224">
        <f t="shared" ref="AV5:AV40" si="9">IF(OR($AB5="",$AP5="",$AB5=0),"",ROUND($AP5/$AB5,2))</f>
        <v>-0.76</v>
      </c>
      <c r="AW5" s="212"/>
      <c r="AX5" s="301">
        <f t="shared" ref="AX5:AX40" si="10">IF(OR(ISBLANK($D5),$N5=""),"",$D5*$N5)</f>
        <v>91236.867768167402</v>
      </c>
      <c r="AY5" s="301">
        <f t="shared" ref="AY5:AY40" si="11">IF(OR(ISBLANK($D5),$O5=""),"",$D5*$O5)</f>
        <v>156378.00655321847</v>
      </c>
      <c r="AZ5" s="301">
        <f>IF(OR($AX5="",$AY5=""),"",$AX5+$AY5)</f>
        <v>247614.87432138587</v>
      </c>
      <c r="BA5" s="222"/>
      <c r="BB5" s="301">
        <f t="shared" ref="BB5:BB40" si="12">IF(OR(ISBLANK($D5),$P5=""),"",$D5*$P5)</f>
        <v>5007.0732897780144</v>
      </c>
      <c r="BC5" s="301">
        <f>IF(OR($R5="",$L5="",$M5="",$S5="",$T5=""),"",($R5*$L5*GalTokWh)-($S5*$M5*(1+$T5)))</f>
        <v>13385.464562608591</v>
      </c>
      <c r="BD5" s="301">
        <f>IF(OR($BB5="",$BC5=""),"",$BB5+$BC5)</f>
        <v>18392.537852386606</v>
      </c>
      <c r="BE5" s="5"/>
    </row>
    <row r="6" spans="1:57">
      <c r="A6" s="105" t="s">
        <v>131</v>
      </c>
      <c r="B6" s="225" t="s">
        <v>115</v>
      </c>
      <c r="C6" s="225">
        <v>2007</v>
      </c>
      <c r="D6" s="226">
        <v>5</v>
      </c>
      <c r="E6" s="411" t="s">
        <v>368</v>
      </c>
      <c r="F6" s="225" t="s">
        <v>7</v>
      </c>
      <c r="G6" s="212">
        <f>IF(OR(ISBLANK($B6),ISBLANK($C6)),"",INDEX('TRU Ops &amp; Costs'!$D$4:$D$74,MATCH($B6&amp;$C6,'TRU Ops &amp; Costs'!$P$4:$P$74,0))/0.7457)</f>
        <v>40.230655759688879</v>
      </c>
      <c r="H6" s="213">
        <f>IF(OR(ISBLANK($B6),ISBLANK($C6)),"",INDEX('TRU Ops &amp; Costs'!$E$4:$E$74,MATCH($B6&amp;$C6,'TRU Ops &amp; Costs'!$P$4:$P$74,0)))</f>
        <v>0.46</v>
      </c>
      <c r="I6" s="212">
        <f>IF(OR(ISBLANK($B6),ISBLANK($C6)),"",INDEX('TRU Ops &amp; Costs'!$F$4:$F$74,MATCH($B6&amp;$C6,'TRU Ops &amp; Costs'!$P$4:$P$74,0)))</f>
        <v>2201</v>
      </c>
      <c r="J6" s="214">
        <f>IF(OR(ISBLANK($B6),ISBLANK($C6)),"",INDEX('TRU Ops &amp; Costs'!$G$4:$G$74,MATCH($B6&amp;$C6,'TRU Ops &amp; Costs'!$P$4:$P$74,0)))</f>
        <v>0.53</v>
      </c>
      <c r="K6" s="212">
        <f t="shared" ref="K6:K40" si="13">IF(OR(ISBLANK($B6),ISBLANK($C6)),"",$I6*$J6)</f>
        <v>1166.53</v>
      </c>
      <c r="L6" s="215">
        <f>IF(ISBLANK($F6),"",INDEX('Diesel Fuel Prices'!$D$5:$D$31,MATCH($F6,'Diesel Fuel Prices'!$B$5:$B$31,0))*References!$B$38/References!$B$37)</f>
        <v>2.8573949348961376</v>
      </c>
      <c r="M6" s="215">
        <f>IF(ISBLANK($F6),"",VLOOKUP($F6,'Electricity Prices'!$B$4:$F$31,5,FALSE)*References!$B$38/References!$B$37)</f>
        <v>8.1660127734628773E-2</v>
      </c>
      <c r="N6" s="216">
        <f>IF(OR(ISBLANK($B6),ISBLANK($C6)),"",INDEX('TRU Ops &amp; Costs'!$I$4:$I$74,MATCH($B6&amp;$C6,'TRU Ops &amp; Costs'!$P$4:$P$74,0)))</f>
        <v>4561.8433884083697</v>
      </c>
      <c r="O6" s="216">
        <f>IF(OR(ISBLANK($B6),ISBLANK($C6)),"",IF(E6="Yard",INDEX('TRU Ops &amp; Costs'!$J$4:$J$74,MATCH($B6&amp;$C6,'TRU Ops &amp; Costs'!$P$4:$P$74,0)),INDEX('TRU Ops &amp; Costs'!$K$4:$K$74,MATCH($B6&amp;$C6,'TRU Ops &amp; Costs'!$P$4:$P$74,0))))</f>
        <v>9140.4046083923458</v>
      </c>
      <c r="P6" s="216">
        <f>IF(OR(ISBLANK($B6),ISBLANK($C6)),"",$K6*INDEX('TRU Ops &amp; Costs'!$M$4:$M$74,MATCH($B6&amp;$C6,'TRU Ops &amp; Costs'!$P$4:$P$74,0))*-INDEX('TRU Ops &amp; Costs'!$L$4:$L$74,MATCH($B6&amp;$C6,'TRU Ops &amp; Costs'!$P$4:$P$74,0)))</f>
        <v>250.35366448890071</v>
      </c>
      <c r="Q6" s="212"/>
      <c r="R6" s="227">
        <f>IF(OR(ISBLANK($B6),ISBLANK($C6),ISBLANK($D6)),"",$D6*$G6*$H6*$K6)</f>
        <v>107939.6137857047</v>
      </c>
      <c r="S6" s="227">
        <f t="shared" si="0"/>
        <v>41976.516472218493</v>
      </c>
      <c r="T6" s="228">
        <f>IF(ISBLANK($F6),"",INDEX('eGRID2018 Subregion'!$J$7:$J$33,MATCH($F6,RegionGEN,0)))</f>
        <v>4.8710581507916302E-2</v>
      </c>
      <c r="U6" s="212"/>
      <c r="V6" s="229">
        <f>IF(OR(ISBLANK($B6),ISBLANK($C6),$R6=""),"",ROUND($R6*INDEX('Diesel TRU Emission Factors'!$D$6:$D$76,MATCH($B6&amp;$C6,'Diesel TRU Emission Factors'!$R$6:$R$77,0))*GramsToMT,4))</f>
        <v>0.69079999999999997</v>
      </c>
      <c r="W6" s="229">
        <f>IF(OR(ISBLANK($B6),ISBLANK($C6),$R6=""),"",ROUND($R6*INDEX('Diesel TRU Emission Factors'!$E$6:$E$76,MATCH($B6&amp;$C6,'Diesel TRU Emission Factors'!$R$6:$R$77,0))*GramsToMT,4))</f>
        <v>2.9999999999999997E-4</v>
      </c>
      <c r="X6" s="229">
        <f>IF(OR(ISBLANK($B6),ISBLANK($C6),$R6=""),"",ROUND($R6*INDEX('Diesel TRU Emission Factors'!$H$6:$H$76,MATCH($B6&amp;$C6,'Diesel TRU Emission Factors'!$R$6:$R$77,0))*GramsToMT,4))</f>
        <v>6.2199999999999998E-2</v>
      </c>
      <c r="Y6" s="230">
        <f>IF(OR(ISBLANK($B6),ISBLANK($C6),$R6=""),"",ROUND($R6*INDEX('Diesel TRU Emission Factors'!$F$6:$F$76,MATCH($B6&amp;$C6,'Diesel TRU Emission Factors'!$R$6:$R$77,0))*GramsToMT,1))</f>
        <v>85.3</v>
      </c>
      <c r="Z6" s="230">
        <f>IF(OR(ISBLANK($B6),ISBLANK($C6),$R6=""),"",$R6*INDEX('Diesel TRU Emission Factors'!$G$6:$G$76,MATCH($B6&amp;$C6,'Diesel TRU Emission Factors'!$R$6:$R$77,0))*GramsToMT)</f>
        <v>4.1890344885845889E-3</v>
      </c>
      <c r="AA6" s="231">
        <f>IF(ISBLANK(F6),"",R6*GalTokWh*'Diesel TRU Emission Factors'!$P$4/1000000)</f>
        <v>1.3697536989405925E-3</v>
      </c>
      <c r="AB6" s="231">
        <f>IF(ISBLANK($F6),"",ROUND(Y6*References!$B$28+Z6*References!$B$29+AA6*References!$B$30,1))</f>
        <v>85.8</v>
      </c>
      <c r="AC6" s="222"/>
      <c r="AD6" s="229">
        <f>IF(OR(ISBLANK($F6),$S6="",$T6=""),"",ROUND($S6*(1+$T6)*INDEX('eGRID2018 Subregion'!$C$7:$C$33,MATCH($F6,RegionGEN,0))*GramsToMT,4))</f>
        <v>1.09E-2</v>
      </c>
      <c r="AE6" s="229">
        <f>IF(OR(ISBLANK($F6),$S6="",$T6=""),"",ROUND($S6*(1+$T6)*INDEX('eGRID2018 Subregion'!$D$7:$D$33,MATCH($F6,RegionGEN,0))*GramsToMT,4))</f>
        <v>1.66E-2</v>
      </c>
      <c r="AF6" s="229">
        <f>IF(OR(ISBLANK($F6),$S6="",$T6=""),"",ROUND($S6*(1+$T6)*INDEX('eGRID2018 Subregion'!$I$7:$I$33,MATCH($F6,RegionGEN,0))*GramsToMT,4))</f>
        <v>8.9999999999999998E-4</v>
      </c>
      <c r="AG6" s="230">
        <f>IF(OR(ISBLANK($F6),$S6="",$T6=""),"",ROUND($S6*(1+$T6)*INDEX('eGRID2018 Subregion'!$E$7:$E$33,MATCH($F6,RegionGEN,0))*GramsToMT,1))</f>
        <v>18.600000000000001</v>
      </c>
      <c r="AH6" s="230">
        <f>IF(OR(ISBLANK($F6),$S6="",$T6=""),"",$S6*(1+$T6)*INDEX('eGRID2018 Subregion'!$F$7:$F$33,MATCH($F6,RegionGEN,0))*GramsToMT)</f>
        <v>1.3206365099777064E-3</v>
      </c>
      <c r="AI6" s="230">
        <f>IF(OR(ISBLANK($F6),$S6="",$T6=""),"",$S6*(1+$T6)*INDEX('eGRID2018 Subregion'!$G$7:$G$33,MATCH($F6,RegionGEN,0))*GramsToMT)</f>
        <v>1.7608486799702752E-4</v>
      </c>
      <c r="AJ6" s="230">
        <f>IF(ISBLANK($F6),"",ROUND(AG6*References!$B$28+AH6*References!$B$29+AI6*References!$B$30,1))</f>
        <v>18.7</v>
      </c>
      <c r="AK6" s="222"/>
      <c r="AL6" s="229">
        <f t="shared" si="1"/>
        <v>-0.67989999999999995</v>
      </c>
      <c r="AM6" s="229">
        <f t="shared" si="2"/>
        <v>1.6299999999999999E-2</v>
      </c>
      <c r="AN6" s="229">
        <f t="shared" si="3"/>
        <v>-6.13E-2</v>
      </c>
      <c r="AO6" s="230">
        <f t="shared" si="4"/>
        <v>-66.7</v>
      </c>
      <c r="AP6" s="230">
        <f t="shared" si="5"/>
        <v>-67.099999999999994</v>
      </c>
      <c r="AQ6" s="223"/>
      <c r="AR6" s="232">
        <f t="shared" si="6"/>
        <v>-0.98</v>
      </c>
      <c r="AS6" s="232">
        <f t="shared" ref="AS6" si="14">IF(OR(W6="",AM6="",W6=0),"", AM6/W6)</f>
        <v>54.333333333333336</v>
      </c>
      <c r="AT6" s="232">
        <f t="shared" si="7"/>
        <v>-0.99</v>
      </c>
      <c r="AU6" s="232">
        <f t="shared" si="8"/>
        <v>-0.78</v>
      </c>
      <c r="AV6" s="232">
        <f t="shared" si="9"/>
        <v>-0.78</v>
      </c>
      <c r="AW6" s="212"/>
      <c r="AX6" s="300">
        <f t="shared" si="10"/>
        <v>22809.21694204185</v>
      </c>
      <c r="AY6" s="300">
        <f t="shared" si="11"/>
        <v>45702.023041961729</v>
      </c>
      <c r="AZ6" s="300">
        <f t="shared" ref="AZ6:AZ40" si="15">IF(OR($AX6="",$AY6=""),"",$AX6+$AY6)</f>
        <v>68511.23998400358</v>
      </c>
      <c r="BA6" s="222"/>
      <c r="BB6" s="300">
        <f t="shared" si="12"/>
        <v>1251.7683224445036</v>
      </c>
      <c r="BC6" s="300">
        <f t="shared" ref="BC6:BC40" si="16">IF(OR($R6="",$L6="",$M6="",$S6="",$T6=""),"",($R6*$L6*GalTokWh)-($S6*$M6*(1+$T6)))</f>
        <v>4732.7266508666544</v>
      </c>
      <c r="BD6" s="300">
        <f t="shared" ref="BD6:BD40" si="17">IF(OR($BB6="",$BC6=""),"",$BB6+$BC6)</f>
        <v>5984.494973311158</v>
      </c>
      <c r="BE6" s="5"/>
    </row>
    <row r="7" spans="1:57">
      <c r="A7" s="103" t="s">
        <v>131</v>
      </c>
      <c r="B7" s="210" t="s">
        <v>116</v>
      </c>
      <c r="C7" s="299">
        <v>2012</v>
      </c>
      <c r="D7" s="211">
        <v>10</v>
      </c>
      <c r="E7" s="410" t="s">
        <v>369</v>
      </c>
      <c r="F7" s="210" t="s">
        <v>31</v>
      </c>
      <c r="G7" s="212">
        <f>IF(OR(ISBLANK($B7),ISBLANK($C7)),"",INDEX('TRU Ops &amp; Costs'!$D$4:$D$74,MATCH($B7&amp;$C7,'TRU Ops &amp; Costs'!$P$4:$P$74,0))/0.7457)</f>
        <v>16.092262303875554</v>
      </c>
      <c r="H7" s="213">
        <f>IF(OR(ISBLANK($B7),ISBLANK($C7)),"",INDEX('TRU Ops &amp; Costs'!$E$4:$E$74,MATCH($B7&amp;$C7,'TRU Ops &amp; Costs'!$P$4:$P$74,0)))</f>
        <v>0.56000000000000005</v>
      </c>
      <c r="I7" s="212">
        <f>IF(OR(ISBLANK($B7),ISBLANK($C7)),"",INDEX('TRU Ops &amp; Costs'!$F$4:$F$74,MATCH($B7&amp;$C7,'TRU Ops &amp; Costs'!$P$4:$P$74,0)))</f>
        <v>1360</v>
      </c>
      <c r="J7" s="214">
        <f>IF(OR(ISBLANK($B7),ISBLANK($C7)),"",INDEX('TRU Ops &amp; Costs'!$G$4:$G$74,MATCH($B7&amp;$C7,'TRU Ops &amp; Costs'!$P$4:$P$74,0)))</f>
        <v>0.5</v>
      </c>
      <c r="K7" s="212">
        <f t="shared" si="13"/>
        <v>680</v>
      </c>
      <c r="L7" s="215">
        <f>IF(ISBLANK($F7),"",INDEX('Diesel Fuel Prices'!$D$5:$D$31,MATCH($F7,'Diesel Fuel Prices'!$B$5:$B$31,0))*References!$B$38/References!$B$37)</f>
        <v>2.9901791620942202</v>
      </c>
      <c r="M7" s="215">
        <f>IF(ISBLANK($F7),"",VLOOKUP($F7,'Electricity Prices'!$B$4:$F$31,5,FALSE)*References!$B$38/References!$B$37)</f>
        <v>0.1007855058159846</v>
      </c>
      <c r="N7" s="216">
        <f>IF(OR(ISBLANK($B7),ISBLANK($C7)),"",INDEX('TRU Ops &amp; Costs'!$I$4:$I$74,MATCH($B7&amp;$C7,'TRU Ops &amp; Costs'!$P$4:$P$74,0)))</f>
        <v>601.33390119928504</v>
      </c>
      <c r="O7" s="216">
        <f>IF(OR(ISBLANK($B7),ISBLANK($C7)),"",IF(E7="Yard",INDEX('TRU Ops &amp; Costs'!$J$4:$J$74,MATCH($B7&amp;$C7,'TRU Ops &amp; Costs'!$P$4:$P$74,0)),INDEX('TRU Ops &amp; Costs'!$K$4:$K$74,MATCH($B7&amp;$C7,'TRU Ops &amp; Costs'!$P$4:$P$74,0))))</f>
        <v>4221</v>
      </c>
      <c r="P7" s="216">
        <f>IF(OR(ISBLANK($B7),ISBLANK($C7)),"",$K7*INDEX('TRU Ops &amp; Costs'!$M$4:$M$74,MATCH($B7&amp;$C7,'TRU Ops &amp; Costs'!$P$4:$P$74,0))*-INDEX('TRU Ops &amp; Costs'!$L$4:$L$74,MATCH($B7&amp;$C7,'TRU Ops &amp; Costs'!$P$4:$P$74,0)))</f>
        <v>40.185693121524643</v>
      </c>
      <c r="Q7" s="212"/>
      <c r="R7" s="233">
        <f t="shared" ref="R7:R40" si="18">IF(OR(ISBLANK($B7),ISBLANK($C7),ISBLANK($D7)),"",$D7*$G7*$H7*$K7)</f>
        <v>61279.334853158114</v>
      </c>
      <c r="S7" s="217">
        <f t="shared" si="0"/>
        <v>23830.852442894822</v>
      </c>
      <c r="T7" s="218">
        <f>IF(ISBLANK($F7),"",INDEX('eGRID2018 Subregion'!$J$7:$J$33,MATCH($F7,RegionGEN,0)))</f>
        <v>4.8819734408505198E-2</v>
      </c>
      <c r="U7" s="212"/>
      <c r="V7" s="219">
        <f>IF(OR(ISBLANK($B7),ISBLANK($C7),$R7=""),"",ROUND($R7*INDEX('Diesel TRU Emission Factors'!$D$6:$D$76,MATCH($B7&amp;$C7,'Diesel TRU Emission Factors'!$R$6:$R$77,0))*GramsToMT,4))</f>
        <v>0.31840000000000002</v>
      </c>
      <c r="W7" s="219">
        <f>IF(OR(ISBLANK($B7),ISBLANK($C7),$R7=""),"",ROUND($R7*INDEX('Diesel TRU Emission Factors'!$E$6:$E$76,MATCH($B7&amp;$C7,'Diesel TRU Emission Factors'!$R$6:$R$77,0))*GramsToMT,4))</f>
        <v>2.0000000000000001E-4</v>
      </c>
      <c r="X7" s="219">
        <f>IF(OR(ISBLANK($B7),ISBLANK($C7),$R7=""),"",ROUND($R7*INDEX('Diesel TRU Emission Factors'!$H$6:$H$76,MATCH($B7&amp;$C7,'Diesel TRU Emission Factors'!$R$6:$R$77,0))*GramsToMT,4))</f>
        <v>1.7299999999999999E-2</v>
      </c>
      <c r="Y7" s="220">
        <f>IF(OR(ISBLANK($B7),ISBLANK($C7),$R7=""),"",ROUND($R7*INDEX('Diesel TRU Emission Factors'!$F$6:$F$76,MATCH($B7&amp;$C7,'Diesel TRU Emission Factors'!$R$6:$R$77,0))*GramsToMT,1))</f>
        <v>48.4</v>
      </c>
      <c r="Z7" s="220">
        <f>IF(OR(ISBLANK($B7),ISBLANK($C7),$R7=""),"",$R7*INDEX('Diesel TRU Emission Factors'!$G$6:$G$76,MATCH($B7&amp;$C7,'Diesel TRU Emission Factors'!$R$6:$R$77,0))*GramsToMT)</f>
        <v>3.3352894727587054E-3</v>
      </c>
      <c r="AA7" s="221">
        <f>IF(ISBLANK(F7),"",R7*GalTokWh*'Diesel TRU Emission Factors'!$P$4/1000000)</f>
        <v>7.7763475928657635E-4</v>
      </c>
      <c r="AB7" s="221">
        <f>IF(ISBLANK($F7),"",ROUND(Y7*References!$B$28+Z7*References!$B$29+AA7*References!$B$30,1))</f>
        <v>48.7</v>
      </c>
      <c r="AC7" s="222"/>
      <c r="AD7" s="219">
        <f>IF(OR(ISBLANK($F7),$S7="",$T7=""),"",ROUND($S7*(1+$T7)*INDEX('eGRID2018 Subregion'!$C$7:$C$33,MATCH($F7,RegionGEN,0))*GramsToMT,4))</f>
        <v>9.2999999999999992E-3</v>
      </c>
      <c r="AE7" s="219">
        <f>IF(OR(ISBLANK($F7),$S7="",$T7=""),"",ROUND($S7*(1+$T7)*INDEX('eGRID2018 Subregion'!$D$7:$D$33,MATCH($F7,RegionGEN,0))*GramsToMT,4))</f>
        <v>1.0500000000000001E-2</v>
      </c>
      <c r="AF7" s="219">
        <f>IF(OR(ISBLANK($F7),$S7="",$T7=""),"",ROUND($S7*(1+$T7)*INDEX('eGRID2018 Subregion'!$I$7:$I$33,MATCH($F7,RegionGEN,0))*GramsToMT,4))</f>
        <v>1.1999999999999999E-3</v>
      </c>
      <c r="AG7" s="220">
        <f>IF(OR(ISBLANK($F7),$S7="",$T7=""),"",ROUND($S7*(1+$T7)*INDEX('eGRID2018 Subregion'!$E$7:$E$33,MATCH($F7,RegionGEN,0))*GramsToMT,1))</f>
        <v>13.2</v>
      </c>
      <c r="AH7" s="220">
        <f>IF(OR(ISBLANK($F7),$S7="",$T7=""),"",$S7*(1+$T7)*INDEX('eGRID2018 Subregion'!$F$7:$F$33,MATCH($F7,RegionGEN,0))*GramsToMT)</f>
        <v>1.3246962214839169E-3</v>
      </c>
      <c r="AI7" s="220">
        <f>IF(OR(ISBLANK($F7),$S7="",$T7=""),"",$S7*(1+$T7)*INDEX('eGRID2018 Subregion'!$G$7:$G$33,MATCH($F7,RegionGEN,0))*GramsToMT)</f>
        <v>1.9995414663908184E-4</v>
      </c>
      <c r="AJ7" s="220">
        <f>IF(ISBLANK($F7),"",ROUND(AG7*References!$B$28+AH7*References!$B$29+AI7*References!$B$30,1))</f>
        <v>13.3</v>
      </c>
      <c r="AK7" s="222"/>
      <c r="AL7" s="219">
        <f t="shared" si="1"/>
        <v>-0.30909999999999999</v>
      </c>
      <c r="AM7" s="219">
        <f t="shared" si="2"/>
        <v>1.03E-2</v>
      </c>
      <c r="AN7" s="219">
        <f t="shared" si="3"/>
        <v>-1.61E-2</v>
      </c>
      <c r="AO7" s="220">
        <f t="shared" si="4"/>
        <v>-35.200000000000003</v>
      </c>
      <c r="AP7" s="220">
        <f t="shared" si="5"/>
        <v>-35.4</v>
      </c>
      <c r="AQ7" s="223"/>
      <c r="AR7" s="224">
        <f t="shared" si="6"/>
        <v>-0.97</v>
      </c>
      <c r="AS7" s="224">
        <f>IF(OR($W7="",$AM7="",$W7=0),"", $AM7/$W7)</f>
        <v>51.5</v>
      </c>
      <c r="AT7" s="224">
        <f t="shared" si="7"/>
        <v>-0.93</v>
      </c>
      <c r="AU7" s="224">
        <f t="shared" si="8"/>
        <v>-0.73</v>
      </c>
      <c r="AV7" s="224">
        <f t="shared" si="9"/>
        <v>-0.73</v>
      </c>
      <c r="AW7" s="212"/>
      <c r="AX7" s="301">
        <f t="shared" si="10"/>
        <v>6013.3390119928499</v>
      </c>
      <c r="AY7" s="301">
        <f t="shared" si="11"/>
        <v>42210</v>
      </c>
      <c r="AZ7" s="301">
        <f t="shared" si="15"/>
        <v>48223.339011992852</v>
      </c>
      <c r="BA7" s="222"/>
      <c r="BB7" s="301">
        <f t="shared" si="12"/>
        <v>401.85693121524645</v>
      </c>
      <c r="BC7" s="301">
        <f t="shared" si="16"/>
        <v>2428.3171577845742</v>
      </c>
      <c r="BD7" s="301">
        <f t="shared" si="17"/>
        <v>2830.1740889998205</v>
      </c>
      <c r="BE7" s="5"/>
    </row>
    <row r="8" spans="1:57">
      <c r="A8" s="105" t="s">
        <v>131</v>
      </c>
      <c r="B8" s="225"/>
      <c r="C8" s="225"/>
      <c r="D8" s="226"/>
      <c r="E8" s="411"/>
      <c r="F8" s="225"/>
      <c r="G8" s="212" t="str">
        <f>IF(OR(ISBLANK($B8),ISBLANK($C8)),"",INDEX('TRU Ops &amp; Costs'!$D$4:$D$74,MATCH($B8&amp;$C8,'TRU Ops &amp; Costs'!$P$4:$P$74,0))/0.7457)</f>
        <v/>
      </c>
      <c r="H8" s="213" t="str">
        <f>IF(OR(ISBLANK($B8),ISBLANK($C8)),"",INDEX('TRU Ops &amp; Costs'!$E$4:$E$74,MATCH($B8&amp;$C8,'TRU Ops &amp; Costs'!$P$4:$P$74,0)))</f>
        <v/>
      </c>
      <c r="I8" s="212" t="str">
        <f>IF(OR(ISBLANK($B8),ISBLANK($C8)),"",INDEX('TRU Ops &amp; Costs'!$F$4:$F$74,MATCH($B8&amp;$C8,'TRU Ops &amp; Costs'!$P$4:$P$74,0)))</f>
        <v/>
      </c>
      <c r="J8" s="214" t="str">
        <f>IF(OR(ISBLANK($B8),ISBLANK($C8)),"",INDEX('TRU Ops &amp; Costs'!$G$4:$G$74,MATCH($B8&amp;$C8,'TRU Ops &amp; Costs'!$P$4:$P$74,0)))</f>
        <v/>
      </c>
      <c r="K8" s="212" t="str">
        <f t="shared" si="13"/>
        <v/>
      </c>
      <c r="L8" s="215" t="str">
        <f>IF(ISBLANK($F8),"",INDEX('Diesel Fuel Prices'!$D$5:$D$31,MATCH($F8,'Diesel Fuel Prices'!$B$5:$B$31,0))*References!$B$38/References!$B$37)</f>
        <v/>
      </c>
      <c r="M8" s="215" t="str">
        <f>IF(ISBLANK($F8),"",VLOOKUP($F8,'Electricity Prices'!$B$4:$F$31,5,FALSE)*References!$B$38/References!$B$37)</f>
        <v/>
      </c>
      <c r="N8" s="216" t="str">
        <f>IF(OR(ISBLANK($B8),ISBLANK($C8)),"",INDEX('TRU Ops &amp; Costs'!$I$4:$I$74,MATCH($B8&amp;$C8,'TRU Ops &amp; Costs'!$P$4:$P$74,0)))</f>
        <v/>
      </c>
      <c r="O8" s="216" t="str">
        <f>IF(OR(ISBLANK($B8),ISBLANK($C8)),"",IF(E8="Yard",INDEX('TRU Ops &amp; Costs'!$J$4:$J$74,MATCH($B8&amp;$C8,'TRU Ops &amp; Costs'!$P$4:$P$74,0)),INDEX('TRU Ops &amp; Costs'!$K$4:$K$74,MATCH($B8&amp;$C8,'TRU Ops &amp; Costs'!$P$4:$P$74,0))))</f>
        <v/>
      </c>
      <c r="P8" s="216" t="str">
        <f>IF(OR(ISBLANK($B8),ISBLANK($C8)),"",$K8*INDEX('TRU Ops &amp; Costs'!$M$4:$M$74,MATCH($B8&amp;$C8,'TRU Ops &amp; Costs'!$P$4:$P$74,0))*-INDEX('TRU Ops &amp; Costs'!$L$4:$L$74,MATCH($B8&amp;$C8,'TRU Ops &amp; Costs'!$P$4:$P$74,0)))</f>
        <v/>
      </c>
      <c r="Q8" s="212"/>
      <c r="R8" s="234" t="str">
        <f t="shared" si="18"/>
        <v/>
      </c>
      <c r="S8" s="227" t="str">
        <f t="shared" si="0"/>
        <v/>
      </c>
      <c r="T8" s="228" t="str">
        <f>IF(ISBLANK($F8),"",INDEX('eGRID2018 Subregion'!$J$7:$J$33,MATCH($F8,RegionGEN,0)))</f>
        <v/>
      </c>
      <c r="U8" s="212"/>
      <c r="V8" s="229" t="str">
        <f>IF(OR(ISBLANK($B8),ISBLANK($C8),$R8=""),"",ROUND($R8*INDEX('Diesel TRU Emission Factors'!$D$6:$D$76,MATCH($B8&amp;$C8,'Diesel TRU Emission Factors'!$R$6:$R$77,0))*GramsToMT,4))</f>
        <v/>
      </c>
      <c r="W8" s="229" t="str">
        <f>IF(OR(ISBLANK($B8),ISBLANK($C8),$R8=""),"",ROUND($R8*INDEX('Diesel TRU Emission Factors'!$E$6:$E$76,MATCH($B8&amp;$C8,'Diesel TRU Emission Factors'!$R$6:$R$77,0))*GramsToMT,4))</f>
        <v/>
      </c>
      <c r="X8" s="229" t="str">
        <f>IF(OR(ISBLANK($B8),ISBLANK($C8),$R8=""),"",ROUND($R8*INDEX('Diesel TRU Emission Factors'!$H$6:$H$76,MATCH($B8&amp;$C8,'Diesel TRU Emission Factors'!$R$6:$R$77,0))*GramsToMT,4))</f>
        <v/>
      </c>
      <c r="Y8" s="230" t="str">
        <f>IF(OR(ISBLANK($B8),ISBLANK($C8),$R8=""),"",ROUND($R8*INDEX('Diesel TRU Emission Factors'!$F$6:$F$76,MATCH($B8&amp;$C8,'Diesel TRU Emission Factors'!$R$6:$R$77,0))*GramsToMT,1))</f>
        <v/>
      </c>
      <c r="Z8" s="230" t="str">
        <f>IF(OR(ISBLANK($B8),ISBLANK($C8),$R8=""),"",$R8*INDEX('Diesel TRU Emission Factors'!$G$6:$G$76,MATCH($B8&amp;$C8,'Diesel TRU Emission Factors'!$R$6:$R$77,0))*GramsToMT)</f>
        <v/>
      </c>
      <c r="AA8" s="231" t="str">
        <f>IF(ISBLANK(F8),"",R8*GalTokWh*'Diesel TRU Emission Factors'!$P$4/1000000)</f>
        <v/>
      </c>
      <c r="AB8" s="231" t="str">
        <f>IF(ISBLANK($F8),"",ROUND(Y8*References!$B$28+Z8*References!$B$29+AA8*References!$B$30,1))</f>
        <v/>
      </c>
      <c r="AC8" s="222"/>
      <c r="AD8" s="229" t="str">
        <f>IF(OR(ISBLANK($F8),$S8="",$T8=""),"",ROUND($S8*(1+$T8)*INDEX('eGRID2018 Subregion'!$C$7:$C$33,MATCH($F8,RegionGEN,0))*GramsToMT,4))</f>
        <v/>
      </c>
      <c r="AE8" s="229" t="str">
        <f>IF(OR(ISBLANK($F8),$S8="",$T8=""),"",ROUND($S8*(1+$T8)*INDEX('eGRID2018 Subregion'!$D$7:$D$33,MATCH($F8,RegionGEN,0))*GramsToMT,4))</f>
        <v/>
      </c>
      <c r="AF8" s="229" t="str">
        <f>IF(OR(ISBLANK($F8),$S8="",$T8=""),"",ROUND($S8*(1+$T8)*INDEX('eGRID2018 Subregion'!$I$7:$I$33,MATCH($F8,RegionGEN,0))*GramsToMT,4))</f>
        <v/>
      </c>
      <c r="AG8" s="230" t="str">
        <f>IF(OR(ISBLANK($F8),$S8="",$T8=""),"",ROUND($S8*(1+$T8)*INDEX('eGRID2018 Subregion'!$E$7:$E$33,MATCH($F8,RegionGEN,0))*GramsToMT,1))</f>
        <v/>
      </c>
      <c r="AH8" s="230" t="str">
        <f>IF(OR(ISBLANK($F8),$S8="",$T8=""),"",$S8*(1+$T8)*INDEX('eGRID2018 Subregion'!$F$7:$F$33,MATCH($F8,RegionGEN,0))*GramsToMT)</f>
        <v/>
      </c>
      <c r="AI8" s="230" t="str">
        <f>IF(OR(ISBLANK($F8),$S8="",$T8=""),"",$S8*(1+$T8)*INDEX('eGRID2018 Subregion'!$G$7:$G$33,MATCH($F8,RegionGEN,0))*GramsToMT)</f>
        <v/>
      </c>
      <c r="AJ8" s="230" t="str">
        <f>IF(ISBLANK($F8),"",ROUND(AG8*References!$B$28+AH8*References!$B$29+AI8*References!$B$30,1))</f>
        <v/>
      </c>
      <c r="AK8" s="222"/>
      <c r="AL8" s="229" t="str">
        <f t="shared" si="1"/>
        <v/>
      </c>
      <c r="AM8" s="229" t="str">
        <f t="shared" si="2"/>
        <v/>
      </c>
      <c r="AN8" s="229" t="str">
        <f t="shared" si="3"/>
        <v/>
      </c>
      <c r="AO8" s="230" t="str">
        <f t="shared" si="4"/>
        <v/>
      </c>
      <c r="AP8" s="230" t="str">
        <f t="shared" si="5"/>
        <v/>
      </c>
      <c r="AQ8" s="223"/>
      <c r="AR8" s="232" t="str">
        <f t="shared" si="6"/>
        <v/>
      </c>
      <c r="AS8" s="232" t="str">
        <f t="shared" ref="AS8" si="19">IF(OR(W8="",AM8="",W8=0),"", AM8/W8)</f>
        <v/>
      </c>
      <c r="AT8" s="232" t="str">
        <f t="shared" si="7"/>
        <v/>
      </c>
      <c r="AU8" s="232" t="str">
        <f t="shared" si="8"/>
        <v/>
      </c>
      <c r="AV8" s="232" t="str">
        <f t="shared" si="9"/>
        <v/>
      </c>
      <c r="AW8" s="212"/>
      <c r="AX8" s="300" t="str">
        <f t="shared" si="10"/>
        <v/>
      </c>
      <c r="AY8" s="300" t="str">
        <f t="shared" si="11"/>
        <v/>
      </c>
      <c r="AZ8" s="300" t="str">
        <f t="shared" si="15"/>
        <v/>
      </c>
      <c r="BA8" s="222"/>
      <c r="BB8" s="300" t="str">
        <f t="shared" si="12"/>
        <v/>
      </c>
      <c r="BC8" s="300" t="str">
        <f t="shared" si="16"/>
        <v/>
      </c>
      <c r="BD8" s="300" t="str">
        <f t="shared" si="17"/>
        <v/>
      </c>
      <c r="BE8" s="5"/>
    </row>
    <row r="9" spans="1:57">
      <c r="A9" s="103" t="s">
        <v>131</v>
      </c>
      <c r="B9" s="210"/>
      <c r="C9" s="210"/>
      <c r="D9" s="211"/>
      <c r="E9" s="410"/>
      <c r="F9" s="210"/>
      <c r="G9" s="212" t="str">
        <f>IF(OR(ISBLANK($B9),ISBLANK($C9)),"",INDEX('TRU Ops &amp; Costs'!$D$4:$D$74,MATCH($B9&amp;$C9,'TRU Ops &amp; Costs'!$P$4:$P$74,0))/0.7457)</f>
        <v/>
      </c>
      <c r="H9" s="213" t="str">
        <f>IF(OR(ISBLANK($B9),ISBLANK($C9)),"",INDEX('TRU Ops &amp; Costs'!$E$4:$E$74,MATCH($B9&amp;$C9,'TRU Ops &amp; Costs'!$P$4:$P$74,0)))</f>
        <v/>
      </c>
      <c r="I9" s="212" t="str">
        <f>IF(OR(ISBLANK($B9),ISBLANK($C9)),"",INDEX('TRU Ops &amp; Costs'!$F$4:$F$74,MATCH($B9&amp;$C9,'TRU Ops &amp; Costs'!$P$4:$P$74,0)))</f>
        <v/>
      </c>
      <c r="J9" s="214" t="str">
        <f>IF(OR(ISBLANK($B9),ISBLANK($C9)),"",INDEX('TRU Ops &amp; Costs'!$G$4:$G$74,MATCH($B9&amp;$C9,'TRU Ops &amp; Costs'!$P$4:$P$74,0)))</f>
        <v/>
      </c>
      <c r="K9" s="212" t="str">
        <f t="shared" si="13"/>
        <v/>
      </c>
      <c r="L9" s="215" t="str">
        <f>IF(ISBLANK($F9),"",INDEX('Diesel Fuel Prices'!$D$5:$D$31,MATCH($F9,'Diesel Fuel Prices'!$B$5:$B$31,0))*References!$B$38/References!$B$37)</f>
        <v/>
      </c>
      <c r="M9" s="215" t="str">
        <f>IF(ISBLANK($F9),"",VLOOKUP($F9,'Electricity Prices'!$B$4:$F$31,5,FALSE)*References!$B$38/References!$B$37)</f>
        <v/>
      </c>
      <c r="N9" s="216" t="str">
        <f>IF(OR(ISBLANK($B9),ISBLANK($C9)),"",INDEX('TRU Ops &amp; Costs'!$I$4:$I$74,MATCH($B9&amp;$C9,'TRU Ops &amp; Costs'!$P$4:$P$74,0)))</f>
        <v/>
      </c>
      <c r="O9" s="216" t="str">
        <f>IF(OR(ISBLANK($B9),ISBLANK($C9)),"",IF(E9="Yard",INDEX('TRU Ops &amp; Costs'!$J$4:$J$74,MATCH($B9&amp;$C9,'TRU Ops &amp; Costs'!$P$4:$P$74,0)),INDEX('TRU Ops &amp; Costs'!$K$4:$K$74,MATCH($B9&amp;$C9,'TRU Ops &amp; Costs'!$P$4:$P$74,0))))</f>
        <v/>
      </c>
      <c r="P9" s="216" t="str">
        <f>IF(OR(ISBLANK($B9),ISBLANK($C9)),"",$K9*INDEX('TRU Ops &amp; Costs'!$M$4:$M$74,MATCH($B9&amp;$C9,'TRU Ops &amp; Costs'!$P$4:$P$74,0))*-INDEX('TRU Ops &amp; Costs'!$L$4:$L$74,MATCH($B9&amp;$C9,'TRU Ops &amp; Costs'!$P$4:$P$74,0)))</f>
        <v/>
      </c>
      <c r="Q9" s="212"/>
      <c r="R9" s="233" t="str">
        <f t="shared" si="18"/>
        <v/>
      </c>
      <c r="S9" s="217" t="str">
        <f t="shared" si="0"/>
        <v/>
      </c>
      <c r="T9" s="218" t="str">
        <f>IF(ISBLANK($F9),"",INDEX('eGRID2018 Subregion'!$J$7:$J$33,MATCH($F9,RegionGEN,0)))</f>
        <v/>
      </c>
      <c r="U9" s="212"/>
      <c r="V9" s="219" t="str">
        <f>IF(OR(ISBLANK($B9),ISBLANK($C9),$R9=""),"",ROUND($R9*INDEX('Diesel TRU Emission Factors'!$D$6:$D$76,MATCH($B9&amp;$C9,'Diesel TRU Emission Factors'!$R$6:$R$77,0))*GramsToMT,4))</f>
        <v/>
      </c>
      <c r="W9" s="219" t="str">
        <f>IF(OR(ISBLANK($B9),ISBLANK($C9),$R9=""),"",ROUND($R9*INDEX('Diesel TRU Emission Factors'!$E$6:$E$76,MATCH($B9&amp;$C9,'Diesel TRU Emission Factors'!$R$6:$R$77,0))*GramsToMT,4))</f>
        <v/>
      </c>
      <c r="X9" s="219" t="str">
        <f>IF(OR(ISBLANK($B9),ISBLANK($C9),$R9=""),"",ROUND($R9*INDEX('Diesel TRU Emission Factors'!$H$6:$H$76,MATCH($B9&amp;$C9,'Diesel TRU Emission Factors'!$R$6:$R$77,0))*GramsToMT,4))</f>
        <v/>
      </c>
      <c r="Y9" s="220" t="str">
        <f>IF(OR(ISBLANK($B9),ISBLANK($C9),$R9=""),"",ROUND($R9*INDEX('Diesel TRU Emission Factors'!$F$6:$F$76,MATCH($B9&amp;$C9,'Diesel TRU Emission Factors'!$R$6:$R$77,0))*GramsToMT,1))</f>
        <v/>
      </c>
      <c r="Z9" s="220" t="str">
        <f>IF(OR(ISBLANK($B9),ISBLANK($C9),$R9=""),"",$R9*INDEX('Diesel TRU Emission Factors'!$G$6:$G$76,MATCH($B9&amp;$C9,'Diesel TRU Emission Factors'!$R$6:$R$77,0))*GramsToMT)</f>
        <v/>
      </c>
      <c r="AA9" s="221" t="str">
        <f>IF(ISBLANK(F9),"",R9*GalTokWh*'Diesel TRU Emission Factors'!$P$4/1000000)</f>
        <v/>
      </c>
      <c r="AB9" s="221" t="str">
        <f>IF(ISBLANK($F9),"",ROUND(Y9*References!$B$28+Z9*References!$B$29+AA9*References!$B$30,1))</f>
        <v/>
      </c>
      <c r="AC9" s="222"/>
      <c r="AD9" s="219" t="str">
        <f>IF(OR(ISBLANK($F9),$S9="",$T9=""),"",ROUND($S9*(1+$T9)*INDEX('eGRID2018 Subregion'!$C$7:$C$33,MATCH($F9,RegionGEN,0))*GramsToMT,4))</f>
        <v/>
      </c>
      <c r="AE9" s="219" t="str">
        <f>IF(OR(ISBLANK($F9),$S9="",$T9=""),"",ROUND($S9*(1+$T9)*INDEX('eGRID2018 Subregion'!$D$7:$D$33,MATCH($F9,RegionGEN,0))*GramsToMT,4))</f>
        <v/>
      </c>
      <c r="AF9" s="219" t="str">
        <f>IF(OR(ISBLANK($F9),$S9="",$T9=""),"",ROUND($S9*(1+$T9)*INDEX('eGRID2018 Subregion'!$I$7:$I$33,MATCH($F9,RegionGEN,0))*GramsToMT,4))</f>
        <v/>
      </c>
      <c r="AG9" s="220" t="str">
        <f>IF(OR(ISBLANK($F9),$S9="",$T9=""),"",ROUND($S9*(1+$T9)*INDEX('eGRID2018 Subregion'!$E$7:$E$33,MATCH($F9,RegionGEN,0))*GramsToMT,1))</f>
        <v/>
      </c>
      <c r="AH9" s="220" t="str">
        <f>IF(OR(ISBLANK($F9),$S9="",$T9=""),"",$S9*(1+$T9)*INDEX('eGRID2018 Subregion'!$F$7:$F$33,MATCH($F9,RegionGEN,0))*GramsToMT)</f>
        <v/>
      </c>
      <c r="AI9" s="220" t="str">
        <f>IF(OR(ISBLANK($F9),$S9="",$T9=""),"",$S9*(1+$T9)*INDEX('eGRID2018 Subregion'!$G$7:$G$33,MATCH($F9,RegionGEN,0))*GramsToMT)</f>
        <v/>
      </c>
      <c r="AJ9" s="220" t="str">
        <f>IF(ISBLANK($F9),"",ROUND(AG9*References!$B$28+AH9*References!$B$29+AI9*References!$B$30,1))</f>
        <v/>
      </c>
      <c r="AK9" s="222"/>
      <c r="AL9" s="219" t="str">
        <f t="shared" si="1"/>
        <v/>
      </c>
      <c r="AM9" s="219" t="str">
        <f t="shared" si="2"/>
        <v/>
      </c>
      <c r="AN9" s="219" t="str">
        <f t="shared" si="3"/>
        <v/>
      </c>
      <c r="AO9" s="220" t="str">
        <f t="shared" si="4"/>
        <v/>
      </c>
      <c r="AP9" s="220" t="str">
        <f t="shared" si="5"/>
        <v/>
      </c>
      <c r="AQ9" s="223"/>
      <c r="AR9" s="224" t="str">
        <f t="shared" si="6"/>
        <v/>
      </c>
      <c r="AS9" s="224" t="str">
        <f>IF(OR($W9="",$AM9="",$W9=0),"", $AM9/$W9)</f>
        <v/>
      </c>
      <c r="AT9" s="224" t="str">
        <f t="shared" si="7"/>
        <v/>
      </c>
      <c r="AU9" s="224" t="str">
        <f t="shared" si="8"/>
        <v/>
      </c>
      <c r="AV9" s="224" t="str">
        <f t="shared" si="9"/>
        <v/>
      </c>
      <c r="AW9" s="212"/>
      <c r="AX9" s="301" t="str">
        <f t="shared" si="10"/>
        <v/>
      </c>
      <c r="AY9" s="301" t="str">
        <f t="shared" si="11"/>
        <v/>
      </c>
      <c r="AZ9" s="301" t="str">
        <f t="shared" si="15"/>
        <v/>
      </c>
      <c r="BA9" s="222"/>
      <c r="BB9" s="301" t="str">
        <f t="shared" si="12"/>
        <v/>
      </c>
      <c r="BC9" s="301" t="str">
        <f t="shared" si="16"/>
        <v/>
      </c>
      <c r="BD9" s="301" t="str">
        <f t="shared" si="17"/>
        <v/>
      </c>
      <c r="BE9" s="5"/>
    </row>
    <row r="10" spans="1:57">
      <c r="A10" s="105" t="s">
        <v>131</v>
      </c>
      <c r="B10" s="225"/>
      <c r="C10" s="225"/>
      <c r="D10" s="226"/>
      <c r="E10" s="411"/>
      <c r="F10" s="225"/>
      <c r="G10" s="212" t="str">
        <f>IF(OR(ISBLANK($B10),ISBLANK($C10)),"",INDEX('TRU Ops &amp; Costs'!$D$4:$D$74,MATCH($B10&amp;$C10,'TRU Ops &amp; Costs'!$P$4:$P$74,0))/0.7457)</f>
        <v/>
      </c>
      <c r="H10" s="213" t="str">
        <f>IF(OR(ISBLANK($B10),ISBLANK($C10)),"",INDEX('TRU Ops &amp; Costs'!$E$4:$E$74,MATCH($B10&amp;$C10,'TRU Ops &amp; Costs'!$P$4:$P$74,0)))</f>
        <v/>
      </c>
      <c r="I10" s="212" t="str">
        <f>IF(OR(ISBLANK($B10),ISBLANK($C10)),"",INDEX('TRU Ops &amp; Costs'!$F$4:$F$74,MATCH($B10&amp;$C10,'TRU Ops &amp; Costs'!$P$4:$P$74,0)))</f>
        <v/>
      </c>
      <c r="J10" s="214" t="str">
        <f>IF(OR(ISBLANK($B10),ISBLANK($C10)),"",INDEX('TRU Ops &amp; Costs'!$G$4:$G$74,MATCH($B10&amp;$C10,'TRU Ops &amp; Costs'!$P$4:$P$74,0)))</f>
        <v/>
      </c>
      <c r="K10" s="212" t="str">
        <f t="shared" si="13"/>
        <v/>
      </c>
      <c r="L10" s="215" t="str">
        <f>IF(ISBLANK($F10),"",INDEX('Diesel Fuel Prices'!$D$5:$D$31,MATCH($F10,'Diesel Fuel Prices'!$B$5:$B$31,0))*References!$B$38/References!$B$37)</f>
        <v/>
      </c>
      <c r="M10" s="215" t="str">
        <f>IF(ISBLANK($F10),"",VLOOKUP($F10,'Electricity Prices'!$B$4:$F$31,5,FALSE)*References!$B$38/References!$B$37)</f>
        <v/>
      </c>
      <c r="N10" s="216" t="str">
        <f>IF(OR(ISBLANK($B10),ISBLANK($C10)),"",INDEX('TRU Ops &amp; Costs'!$I$4:$I$74,MATCH($B10&amp;$C10,'TRU Ops &amp; Costs'!$P$4:$P$74,0)))</f>
        <v/>
      </c>
      <c r="O10" s="216" t="str">
        <f>IF(OR(ISBLANK($B10),ISBLANK($C10)),"",IF(E10="Yard",INDEX('TRU Ops &amp; Costs'!$J$4:$J$74,MATCH($B10&amp;$C10,'TRU Ops &amp; Costs'!$P$4:$P$74,0)),INDEX('TRU Ops &amp; Costs'!$K$4:$K$74,MATCH($B10&amp;$C10,'TRU Ops &amp; Costs'!$P$4:$P$74,0))))</f>
        <v/>
      </c>
      <c r="P10" s="216" t="str">
        <f>IF(OR(ISBLANK($B10),ISBLANK($C10)),"",$K10*INDEX('TRU Ops &amp; Costs'!$M$4:$M$74,MATCH($B10&amp;$C10,'TRU Ops &amp; Costs'!$P$4:$P$74,0))*-INDEX('TRU Ops &amp; Costs'!$L$4:$L$74,MATCH($B10&amp;$C10,'TRU Ops &amp; Costs'!$P$4:$P$74,0)))</f>
        <v/>
      </c>
      <c r="Q10" s="212"/>
      <c r="R10" s="234" t="str">
        <f t="shared" si="18"/>
        <v/>
      </c>
      <c r="S10" s="227" t="str">
        <f t="shared" si="0"/>
        <v/>
      </c>
      <c r="T10" s="228" t="str">
        <f>IF(ISBLANK($F10),"",INDEX('eGRID2018 Subregion'!$J$7:$J$33,MATCH($F10,RegionGEN,0)))</f>
        <v/>
      </c>
      <c r="U10" s="212"/>
      <c r="V10" s="229" t="str">
        <f>IF(OR(ISBLANK($B10),ISBLANK($C10),$R10=""),"",ROUND($R10*INDEX('Diesel TRU Emission Factors'!$D$6:$D$76,MATCH($B10&amp;$C10,'Diesel TRU Emission Factors'!$R$6:$R$77,0))*GramsToMT,4))</f>
        <v/>
      </c>
      <c r="W10" s="229" t="str">
        <f>IF(OR(ISBLANK($B10),ISBLANK($C10),$R10=""),"",ROUND($R10*INDEX('Diesel TRU Emission Factors'!$E$6:$E$76,MATCH($B10&amp;$C10,'Diesel TRU Emission Factors'!$R$6:$R$77,0))*GramsToMT,4))</f>
        <v/>
      </c>
      <c r="X10" s="229" t="str">
        <f>IF(OR(ISBLANK($B10),ISBLANK($C10),$R10=""),"",ROUND($R10*INDEX('Diesel TRU Emission Factors'!$H$6:$H$76,MATCH($B10&amp;$C10,'Diesel TRU Emission Factors'!$R$6:$R$77,0))*GramsToMT,4))</f>
        <v/>
      </c>
      <c r="Y10" s="230" t="str">
        <f>IF(OR(ISBLANK($B10),ISBLANK($C10),$R10=""),"",ROUND($R10*INDEX('Diesel TRU Emission Factors'!$F$6:$F$76,MATCH($B10&amp;$C10,'Diesel TRU Emission Factors'!$R$6:$R$77,0))*GramsToMT,1))</f>
        <v/>
      </c>
      <c r="Z10" s="230" t="str">
        <f>IF(OR(ISBLANK($B10),ISBLANK($C10),$R10=""),"",$R10*INDEX('Diesel TRU Emission Factors'!$G$6:$G$76,MATCH($B10&amp;$C10,'Diesel TRU Emission Factors'!$R$6:$R$77,0))*GramsToMT)</f>
        <v/>
      </c>
      <c r="AA10" s="231" t="str">
        <f>IF(ISBLANK(F10),"",R10*GalTokWh*'Diesel TRU Emission Factors'!$P$4/1000000)</f>
        <v/>
      </c>
      <c r="AB10" s="231" t="str">
        <f>IF(ISBLANK($F10),"",ROUND(Y10*References!$B$28+Z10*References!$B$29+AA10*References!$B$30,1))</f>
        <v/>
      </c>
      <c r="AC10" s="222"/>
      <c r="AD10" s="229" t="str">
        <f>IF(OR(ISBLANK($F10),$S10="",$T10=""),"",ROUND($S10*(1+$T10)*INDEX('eGRID2018 Subregion'!$C$7:$C$33,MATCH($F10,RegionGEN,0))*GramsToMT,4))</f>
        <v/>
      </c>
      <c r="AE10" s="229" t="str">
        <f>IF(OR(ISBLANK($F10),$S10="",$T10=""),"",ROUND($S10*(1+$T10)*INDEX('eGRID2018 Subregion'!$D$7:$D$33,MATCH($F10,RegionGEN,0))*GramsToMT,4))</f>
        <v/>
      </c>
      <c r="AF10" s="229" t="str">
        <f>IF(OR(ISBLANK($F10),$S10="",$T10=""),"",ROUND($S10*(1+$T10)*INDEX('eGRID2018 Subregion'!$I$7:$I$33,MATCH($F10,RegionGEN,0))*GramsToMT,4))</f>
        <v/>
      </c>
      <c r="AG10" s="230" t="str">
        <f>IF(OR(ISBLANK($F10),$S10="",$T10=""),"",ROUND($S10*(1+$T10)*INDEX('eGRID2018 Subregion'!$E$7:$E$33,MATCH($F10,RegionGEN,0))*GramsToMT,1))</f>
        <v/>
      </c>
      <c r="AH10" s="230" t="str">
        <f>IF(OR(ISBLANK($F10),$S10="",$T10=""),"",$S10*(1+$T10)*INDEX('eGRID2018 Subregion'!$F$7:$F$33,MATCH($F10,RegionGEN,0))*GramsToMT)</f>
        <v/>
      </c>
      <c r="AI10" s="230" t="str">
        <f>IF(OR(ISBLANK($F10),$S10="",$T10=""),"",$S10*(1+$T10)*INDEX('eGRID2018 Subregion'!$G$7:$G$33,MATCH($F10,RegionGEN,0))*GramsToMT)</f>
        <v/>
      </c>
      <c r="AJ10" s="230" t="str">
        <f>IF(ISBLANK($F10),"",ROUND(AG10*References!$B$28+AH10*References!$B$29+AI10*References!$B$30,1))</f>
        <v/>
      </c>
      <c r="AK10" s="222"/>
      <c r="AL10" s="229" t="str">
        <f t="shared" si="1"/>
        <v/>
      </c>
      <c r="AM10" s="229" t="str">
        <f t="shared" si="2"/>
        <v/>
      </c>
      <c r="AN10" s="229" t="str">
        <f t="shared" si="3"/>
        <v/>
      </c>
      <c r="AO10" s="230" t="str">
        <f t="shared" si="4"/>
        <v/>
      </c>
      <c r="AP10" s="230" t="str">
        <f t="shared" si="5"/>
        <v/>
      </c>
      <c r="AQ10" s="223"/>
      <c r="AR10" s="232" t="str">
        <f t="shared" si="6"/>
        <v/>
      </c>
      <c r="AS10" s="232" t="str">
        <f t="shared" ref="AS10" si="20">IF(OR(W10="",AM10="",W10=0),"", AM10/W10)</f>
        <v/>
      </c>
      <c r="AT10" s="232" t="str">
        <f t="shared" si="7"/>
        <v/>
      </c>
      <c r="AU10" s="232" t="str">
        <f t="shared" si="8"/>
        <v/>
      </c>
      <c r="AV10" s="232" t="str">
        <f t="shared" si="9"/>
        <v/>
      </c>
      <c r="AW10" s="212"/>
      <c r="AX10" s="300" t="str">
        <f t="shared" si="10"/>
        <v/>
      </c>
      <c r="AY10" s="300" t="str">
        <f t="shared" si="11"/>
        <v/>
      </c>
      <c r="AZ10" s="300" t="str">
        <f t="shared" si="15"/>
        <v/>
      </c>
      <c r="BA10" s="222"/>
      <c r="BB10" s="300" t="str">
        <f t="shared" si="12"/>
        <v/>
      </c>
      <c r="BC10" s="300" t="str">
        <f t="shared" si="16"/>
        <v/>
      </c>
      <c r="BD10" s="300" t="str">
        <f t="shared" si="17"/>
        <v/>
      </c>
      <c r="BE10" s="5"/>
    </row>
    <row r="11" spans="1:57">
      <c r="A11" s="103" t="s">
        <v>131</v>
      </c>
      <c r="B11" s="210"/>
      <c r="C11" s="210"/>
      <c r="D11" s="211"/>
      <c r="E11" s="410"/>
      <c r="F11" s="210"/>
      <c r="G11" s="212" t="str">
        <f>IF(OR(ISBLANK($B11),ISBLANK($C11)),"",INDEX('TRU Ops &amp; Costs'!$D$4:$D$74,MATCH($B11&amp;$C11,'TRU Ops &amp; Costs'!$P$4:$P$74,0))/0.7457)</f>
        <v/>
      </c>
      <c r="H11" s="213" t="str">
        <f>IF(OR(ISBLANK($B11),ISBLANK($C11)),"",INDEX('TRU Ops &amp; Costs'!$E$4:$E$74,MATCH($B11&amp;$C11,'TRU Ops &amp; Costs'!$P$4:$P$74,0)))</f>
        <v/>
      </c>
      <c r="I11" s="212" t="str">
        <f>IF(OR(ISBLANK($B11),ISBLANK($C11)),"",INDEX('TRU Ops &amp; Costs'!$F$4:$F$74,MATCH($B11&amp;$C11,'TRU Ops &amp; Costs'!$P$4:$P$74,0)))</f>
        <v/>
      </c>
      <c r="J11" s="214" t="str">
        <f>IF(OR(ISBLANK($B11),ISBLANK($C11)),"",INDEX('TRU Ops &amp; Costs'!$G$4:$G$74,MATCH($B11&amp;$C11,'TRU Ops &amp; Costs'!$P$4:$P$74,0)))</f>
        <v/>
      </c>
      <c r="K11" s="212" t="str">
        <f t="shared" si="13"/>
        <v/>
      </c>
      <c r="L11" s="215" t="str">
        <f>IF(ISBLANK($F11),"",INDEX('Diesel Fuel Prices'!$D$5:$D$31,MATCH($F11,'Diesel Fuel Prices'!$B$5:$B$31,0))*References!$B$38/References!$B$37)</f>
        <v/>
      </c>
      <c r="M11" s="215" t="str">
        <f>IF(ISBLANK($F11),"",VLOOKUP($F11,'Electricity Prices'!$B$4:$F$31,5,FALSE)*References!$B$38/References!$B$37)</f>
        <v/>
      </c>
      <c r="N11" s="216" t="str">
        <f>IF(OR(ISBLANK($B11),ISBLANK($C11)),"",INDEX('TRU Ops &amp; Costs'!$I$4:$I$74,MATCH($B11&amp;$C11,'TRU Ops &amp; Costs'!$P$4:$P$74,0)))</f>
        <v/>
      </c>
      <c r="O11" s="216" t="str">
        <f>IF(OR(ISBLANK($B11),ISBLANK($C11)),"",IF(E11="Yard",INDEX('TRU Ops &amp; Costs'!$J$4:$J$74,MATCH($B11&amp;$C11,'TRU Ops &amp; Costs'!$P$4:$P$74,0)),INDEX('TRU Ops &amp; Costs'!$K$4:$K$74,MATCH($B11&amp;$C11,'TRU Ops &amp; Costs'!$P$4:$P$74,0))))</f>
        <v/>
      </c>
      <c r="P11" s="216" t="str">
        <f>IF(OR(ISBLANK($B11),ISBLANK($C11)),"",$K11*INDEX('TRU Ops &amp; Costs'!$M$4:$M$74,MATCH($B11&amp;$C11,'TRU Ops &amp; Costs'!$P$4:$P$74,0))*-INDEX('TRU Ops &amp; Costs'!$L$4:$L$74,MATCH($B11&amp;$C11,'TRU Ops &amp; Costs'!$P$4:$P$74,0)))</f>
        <v/>
      </c>
      <c r="Q11" s="212"/>
      <c r="R11" s="233" t="str">
        <f t="shared" si="18"/>
        <v/>
      </c>
      <c r="S11" s="217" t="str">
        <f t="shared" si="0"/>
        <v/>
      </c>
      <c r="T11" s="218" t="str">
        <f>IF(ISBLANK($F11),"",INDEX('eGRID2018 Subregion'!$J$7:$J$33,MATCH($F11,RegionGEN,0)))</f>
        <v/>
      </c>
      <c r="U11" s="212"/>
      <c r="V11" s="219" t="str">
        <f>IF(OR(ISBLANK($B11),ISBLANK($C11),$R11=""),"",ROUND($R11*INDEX('Diesel TRU Emission Factors'!$D$6:$D$76,MATCH($B11&amp;$C11,'Diesel TRU Emission Factors'!$R$6:$R$77,0))*GramsToMT,4))</f>
        <v/>
      </c>
      <c r="W11" s="219" t="str">
        <f>IF(OR(ISBLANK($B11),ISBLANK($C11),$R11=""),"",ROUND($R11*INDEX('Diesel TRU Emission Factors'!$E$6:$E$76,MATCH($B11&amp;$C11,'Diesel TRU Emission Factors'!$R$6:$R$77,0))*GramsToMT,4))</f>
        <v/>
      </c>
      <c r="X11" s="219" t="str">
        <f>IF(OR(ISBLANK($B11),ISBLANK($C11),$R11=""),"",ROUND($R11*INDEX('Diesel TRU Emission Factors'!$H$6:$H$76,MATCH($B11&amp;$C11,'Diesel TRU Emission Factors'!$R$6:$R$77,0))*GramsToMT,4))</f>
        <v/>
      </c>
      <c r="Y11" s="220" t="str">
        <f>IF(OR(ISBLANK($B11),ISBLANK($C11),$R11=""),"",ROUND($R11*INDEX('Diesel TRU Emission Factors'!$F$6:$F$76,MATCH($B11&amp;$C11,'Diesel TRU Emission Factors'!$R$6:$R$77,0))*GramsToMT,1))</f>
        <v/>
      </c>
      <c r="Z11" s="220" t="str">
        <f>IF(OR(ISBLANK($B11),ISBLANK($C11),$R11=""),"",$R11*INDEX('Diesel TRU Emission Factors'!$G$6:$G$76,MATCH($B11&amp;$C11,'Diesel TRU Emission Factors'!$R$6:$R$77,0))*GramsToMT)</f>
        <v/>
      </c>
      <c r="AA11" s="221" t="str">
        <f>IF(ISBLANK(F11),"",R11*GalTokWh*'Diesel TRU Emission Factors'!$P$4/1000000)</f>
        <v/>
      </c>
      <c r="AB11" s="221" t="str">
        <f>IF(ISBLANK($F11),"",ROUND(Y11*References!$B$28+Z11*References!$B$29+AA11*References!$B$30,1))</f>
        <v/>
      </c>
      <c r="AC11" s="222"/>
      <c r="AD11" s="219" t="str">
        <f>IF(OR(ISBLANK($F11),$S11="",$T11=""),"",ROUND($S11*(1+$T11)*INDEX('eGRID2018 Subregion'!$C$7:$C$33,MATCH($F11,RegionGEN,0))*GramsToMT,4))</f>
        <v/>
      </c>
      <c r="AE11" s="219" t="str">
        <f>IF(OR(ISBLANK($F11),$S11="",$T11=""),"",ROUND($S11*(1+$T11)*INDEX('eGRID2018 Subregion'!$D$7:$D$33,MATCH($F11,RegionGEN,0))*GramsToMT,4))</f>
        <v/>
      </c>
      <c r="AF11" s="219" t="str">
        <f>IF(OR(ISBLANK($F11),$S11="",$T11=""),"",ROUND($S11*(1+$T11)*INDEX('eGRID2018 Subregion'!$I$7:$I$33,MATCH($F11,RegionGEN,0))*GramsToMT,4))</f>
        <v/>
      </c>
      <c r="AG11" s="220" t="str">
        <f>IF(OR(ISBLANK($F11),$S11="",$T11=""),"",ROUND($S11*(1+$T11)*INDEX('eGRID2018 Subregion'!$E$7:$E$33,MATCH($F11,RegionGEN,0))*GramsToMT,1))</f>
        <v/>
      </c>
      <c r="AH11" s="220" t="str">
        <f>IF(OR(ISBLANK($F11),$S11="",$T11=""),"",$S11*(1+$T11)*INDEX('eGRID2018 Subregion'!$F$7:$F$33,MATCH($F11,RegionGEN,0))*GramsToMT)</f>
        <v/>
      </c>
      <c r="AI11" s="220" t="str">
        <f>IF(OR(ISBLANK($F11),$S11="",$T11=""),"",$S11*(1+$T11)*INDEX('eGRID2018 Subregion'!$G$7:$G$33,MATCH($F11,RegionGEN,0))*GramsToMT)</f>
        <v/>
      </c>
      <c r="AJ11" s="220" t="str">
        <f>IF(ISBLANK($F11),"",ROUND(AG11*References!$B$28+AH11*References!$B$29+AI11*References!$B$30,1))</f>
        <v/>
      </c>
      <c r="AK11" s="222"/>
      <c r="AL11" s="219" t="str">
        <f t="shared" si="1"/>
        <v/>
      </c>
      <c r="AM11" s="219" t="str">
        <f t="shared" si="2"/>
        <v/>
      </c>
      <c r="AN11" s="219" t="str">
        <f t="shared" si="3"/>
        <v/>
      </c>
      <c r="AO11" s="220" t="str">
        <f t="shared" si="4"/>
        <v/>
      </c>
      <c r="AP11" s="220" t="str">
        <f t="shared" si="5"/>
        <v/>
      </c>
      <c r="AQ11" s="223"/>
      <c r="AR11" s="224" t="str">
        <f t="shared" si="6"/>
        <v/>
      </c>
      <c r="AS11" s="224" t="str">
        <f>IF(OR($W11="",$AM11="",$W11=0),"", $AM11/$W11)</f>
        <v/>
      </c>
      <c r="AT11" s="224" t="str">
        <f t="shared" si="7"/>
        <v/>
      </c>
      <c r="AU11" s="224" t="str">
        <f t="shared" si="8"/>
        <v/>
      </c>
      <c r="AV11" s="224" t="str">
        <f t="shared" si="9"/>
        <v/>
      </c>
      <c r="AW11" s="212"/>
      <c r="AX11" s="301" t="str">
        <f t="shared" si="10"/>
        <v/>
      </c>
      <c r="AY11" s="301" t="str">
        <f t="shared" si="11"/>
        <v/>
      </c>
      <c r="AZ11" s="301" t="str">
        <f t="shared" si="15"/>
        <v/>
      </c>
      <c r="BA11" s="222"/>
      <c r="BB11" s="301" t="str">
        <f t="shared" si="12"/>
        <v/>
      </c>
      <c r="BC11" s="301" t="str">
        <f t="shared" si="16"/>
        <v/>
      </c>
      <c r="BD11" s="301" t="str">
        <f t="shared" si="17"/>
        <v/>
      </c>
      <c r="BE11" s="5"/>
    </row>
    <row r="12" spans="1:57">
      <c r="A12" s="105"/>
      <c r="B12" s="225"/>
      <c r="C12" s="225"/>
      <c r="D12" s="226"/>
      <c r="E12" s="411"/>
      <c r="F12" s="225"/>
      <c r="G12" s="212" t="str">
        <f>IF(OR(ISBLANK($B12),ISBLANK($C12)),"",INDEX('TRU Ops &amp; Costs'!$D$4:$D$74,MATCH($B12&amp;$C12,'TRU Ops &amp; Costs'!$P$4:$P$74,0))/0.7457)</f>
        <v/>
      </c>
      <c r="H12" s="213" t="str">
        <f>IF(OR(ISBLANK($B12),ISBLANK($C12)),"",INDEX('TRU Ops &amp; Costs'!$E$4:$E$74,MATCH($B12&amp;$C12,'TRU Ops &amp; Costs'!$P$4:$P$74,0)))</f>
        <v/>
      </c>
      <c r="I12" s="212" t="str">
        <f>IF(OR(ISBLANK($B12),ISBLANK($C12)),"",INDEX('TRU Ops &amp; Costs'!$F$4:$F$74,MATCH($B12&amp;$C12,'TRU Ops &amp; Costs'!$P$4:$P$74,0)))</f>
        <v/>
      </c>
      <c r="J12" s="214" t="str">
        <f>IF(OR(ISBLANK($B12),ISBLANK($C12)),"",INDEX('TRU Ops &amp; Costs'!$G$4:$G$74,MATCH($B12&amp;$C12,'TRU Ops &amp; Costs'!$P$4:$P$74,0)))</f>
        <v/>
      </c>
      <c r="K12" s="212" t="str">
        <f t="shared" si="13"/>
        <v/>
      </c>
      <c r="L12" s="215" t="str">
        <f>IF(ISBLANK($F12),"",INDEX('Diesel Fuel Prices'!$D$5:$D$31,MATCH($F12,'Diesel Fuel Prices'!$B$5:$B$31,0))*References!$B$38/References!$B$37)</f>
        <v/>
      </c>
      <c r="M12" s="215" t="str">
        <f>IF(ISBLANK($F12),"",VLOOKUP($F12,'Electricity Prices'!$B$4:$F$31,5,FALSE)*References!$B$38/References!$B$37)</f>
        <v/>
      </c>
      <c r="N12" s="216" t="str">
        <f>IF(OR(ISBLANK($B12),ISBLANK($C12)),"",INDEX('TRU Ops &amp; Costs'!$I$4:$I$74,MATCH($B12&amp;$C12,'TRU Ops &amp; Costs'!$P$4:$P$74,0)))</f>
        <v/>
      </c>
      <c r="O12" s="216" t="str">
        <f>IF(OR(ISBLANK($B12),ISBLANK($C12)),"",IF(E12="Yard",INDEX('TRU Ops &amp; Costs'!$J$4:$J$74,MATCH($B12&amp;$C12,'TRU Ops &amp; Costs'!$P$4:$P$74,0)),INDEX('TRU Ops &amp; Costs'!$K$4:$K$74,MATCH($B12&amp;$C12,'TRU Ops &amp; Costs'!$P$4:$P$74,0))))</f>
        <v/>
      </c>
      <c r="P12" s="216" t="str">
        <f>IF(OR(ISBLANK($B12),ISBLANK($C12)),"",$K12*INDEX('TRU Ops &amp; Costs'!$M$4:$M$74,MATCH($B12&amp;$C12,'TRU Ops &amp; Costs'!$P$4:$P$74,0))*-INDEX('TRU Ops &amp; Costs'!$L$4:$L$74,MATCH($B12&amp;$C12,'TRU Ops &amp; Costs'!$P$4:$P$74,0)))</f>
        <v/>
      </c>
      <c r="Q12" s="212"/>
      <c r="R12" s="234" t="str">
        <f t="shared" si="18"/>
        <v/>
      </c>
      <c r="S12" s="227" t="str">
        <f t="shared" si="0"/>
        <v/>
      </c>
      <c r="T12" s="228" t="str">
        <f>IF(ISBLANK($F12),"",INDEX('eGRID2018 Subregion'!$J$7:$J$33,MATCH($F12,RegionGEN,0)))</f>
        <v/>
      </c>
      <c r="U12" s="212"/>
      <c r="V12" s="229" t="str">
        <f>IF(OR(ISBLANK($B12),ISBLANK($C12),$R12=""),"",ROUND($R12*INDEX('Diesel TRU Emission Factors'!$D$6:$D$76,MATCH($B12&amp;$C12,'Diesel TRU Emission Factors'!$R$6:$R$77,0))*GramsToMT,4))</f>
        <v/>
      </c>
      <c r="W12" s="229" t="str">
        <f>IF(OR(ISBLANK($B12),ISBLANK($C12),$R12=""),"",ROUND($R12*INDEX('Diesel TRU Emission Factors'!$E$6:$E$76,MATCH($B12&amp;$C12,'Diesel TRU Emission Factors'!$R$6:$R$77,0))*GramsToMT,4))</f>
        <v/>
      </c>
      <c r="X12" s="229" t="str">
        <f>IF(OR(ISBLANK($B12),ISBLANK($C12),$R12=""),"",ROUND($R12*INDEX('Diesel TRU Emission Factors'!$H$6:$H$76,MATCH($B12&amp;$C12,'Diesel TRU Emission Factors'!$R$6:$R$77,0))*GramsToMT,4))</f>
        <v/>
      </c>
      <c r="Y12" s="230" t="str">
        <f>IF(OR(ISBLANK($B12),ISBLANK($C12),$R12=""),"",ROUND($R12*INDEX('Diesel TRU Emission Factors'!$F$6:$F$76,MATCH($B12&amp;$C12,'Diesel TRU Emission Factors'!$R$6:$R$77,0))*GramsToMT,1))</f>
        <v/>
      </c>
      <c r="Z12" s="230" t="str">
        <f>IF(OR(ISBLANK($B12),ISBLANK($C12),$R12=""),"",$R12*INDEX('Diesel TRU Emission Factors'!$G$6:$G$76,MATCH($B12&amp;$C12,'Diesel TRU Emission Factors'!$R$6:$R$77,0))*GramsToMT)</f>
        <v/>
      </c>
      <c r="AA12" s="231" t="str">
        <f>IF(ISBLANK(F12),"",R12*GalTokWh*'Diesel TRU Emission Factors'!$P$4/1000000)</f>
        <v/>
      </c>
      <c r="AB12" s="231" t="str">
        <f>IF(ISBLANK($F12),"",ROUND(Y12*References!$B$28+Z12*References!$B$29+AA12*References!$B$30,1))</f>
        <v/>
      </c>
      <c r="AC12" s="222"/>
      <c r="AD12" s="229" t="str">
        <f>IF(OR(ISBLANK($F12),$S12="",$T12=""),"",ROUND($S12*(1+$T12)*INDEX('eGRID2018 Subregion'!$C$7:$C$33,MATCH($F12,RegionGEN,0))*GramsToMT,4))</f>
        <v/>
      </c>
      <c r="AE12" s="229" t="str">
        <f>IF(OR(ISBLANK($F12),$S12="",$T12=""),"",ROUND($S12*(1+$T12)*INDEX('eGRID2018 Subregion'!$D$7:$D$33,MATCH($F12,RegionGEN,0))*GramsToMT,4))</f>
        <v/>
      </c>
      <c r="AF12" s="229" t="str">
        <f>IF(OR(ISBLANK($F12),$S12="",$T12=""),"",ROUND($S12*(1+$T12)*INDEX('eGRID2018 Subregion'!$I$7:$I$33,MATCH($F12,RegionGEN,0))*GramsToMT,4))</f>
        <v/>
      </c>
      <c r="AG12" s="230" t="str">
        <f>IF(OR(ISBLANK($F12),$S12="",$T12=""),"",ROUND($S12*(1+$T12)*INDEX('eGRID2018 Subregion'!$E$7:$E$33,MATCH($F12,RegionGEN,0))*GramsToMT,1))</f>
        <v/>
      </c>
      <c r="AH12" s="230" t="str">
        <f>IF(OR(ISBLANK($F12),$S12="",$T12=""),"",$S12*(1+$T12)*INDEX('eGRID2018 Subregion'!$F$7:$F$33,MATCH($F12,RegionGEN,0))*GramsToMT)</f>
        <v/>
      </c>
      <c r="AI12" s="230" t="str">
        <f>IF(OR(ISBLANK($F12),$S12="",$T12=""),"",$S12*(1+$T12)*INDEX('eGRID2018 Subregion'!$G$7:$G$33,MATCH($F12,RegionGEN,0))*GramsToMT)</f>
        <v/>
      </c>
      <c r="AJ12" s="230" t="str">
        <f>IF(ISBLANK($F12),"",ROUND(AG12*References!$B$28+AH12*References!$B$29+AI12*References!$B$30,1))</f>
        <v/>
      </c>
      <c r="AK12" s="222"/>
      <c r="AL12" s="229" t="str">
        <f t="shared" si="1"/>
        <v/>
      </c>
      <c r="AM12" s="229" t="str">
        <f t="shared" si="2"/>
        <v/>
      </c>
      <c r="AN12" s="229" t="str">
        <f t="shared" si="3"/>
        <v/>
      </c>
      <c r="AO12" s="230" t="str">
        <f t="shared" si="4"/>
        <v/>
      </c>
      <c r="AP12" s="230" t="str">
        <f t="shared" si="5"/>
        <v/>
      </c>
      <c r="AQ12" s="223"/>
      <c r="AR12" s="232" t="str">
        <f t="shared" si="6"/>
        <v/>
      </c>
      <c r="AS12" s="232" t="str">
        <f t="shared" ref="AS12" si="21">IF(OR(W12="",AM12="",W12=0),"", AM12/W12)</f>
        <v/>
      </c>
      <c r="AT12" s="232" t="str">
        <f t="shared" si="7"/>
        <v/>
      </c>
      <c r="AU12" s="232" t="str">
        <f t="shared" si="8"/>
        <v/>
      </c>
      <c r="AV12" s="232" t="str">
        <f t="shared" si="9"/>
        <v/>
      </c>
      <c r="AW12" s="212"/>
      <c r="AX12" s="300" t="str">
        <f t="shared" si="10"/>
        <v/>
      </c>
      <c r="AY12" s="300" t="str">
        <f t="shared" si="11"/>
        <v/>
      </c>
      <c r="AZ12" s="300" t="str">
        <f t="shared" si="15"/>
        <v/>
      </c>
      <c r="BA12" s="222"/>
      <c r="BB12" s="300" t="str">
        <f t="shared" si="12"/>
        <v/>
      </c>
      <c r="BC12" s="300" t="str">
        <f t="shared" si="16"/>
        <v/>
      </c>
      <c r="BD12" s="300" t="str">
        <f t="shared" si="17"/>
        <v/>
      </c>
      <c r="BE12" s="5"/>
    </row>
    <row r="13" spans="1:57">
      <c r="A13" s="103"/>
      <c r="B13" s="210"/>
      <c r="C13" s="210"/>
      <c r="D13" s="211"/>
      <c r="E13" s="410"/>
      <c r="F13" s="210"/>
      <c r="G13" s="212" t="str">
        <f>IF(OR(ISBLANK($B13),ISBLANK($C13)),"",INDEX('TRU Ops &amp; Costs'!$D$4:$D$74,MATCH($B13&amp;$C13,'TRU Ops &amp; Costs'!$P$4:$P$74,0))/0.7457)</f>
        <v/>
      </c>
      <c r="H13" s="213" t="str">
        <f>IF(OR(ISBLANK($B13),ISBLANK($C13)),"",INDEX('TRU Ops &amp; Costs'!$E$4:$E$74,MATCH($B13&amp;$C13,'TRU Ops &amp; Costs'!$P$4:$P$74,0)))</f>
        <v/>
      </c>
      <c r="I13" s="212" t="str">
        <f>IF(OR(ISBLANK($B13),ISBLANK($C13)),"",INDEX('TRU Ops &amp; Costs'!$F$4:$F$74,MATCH($B13&amp;$C13,'TRU Ops &amp; Costs'!$P$4:$P$74,0)))</f>
        <v/>
      </c>
      <c r="J13" s="214" t="str">
        <f>IF(OR(ISBLANK($B13),ISBLANK($C13)),"",INDEX('TRU Ops &amp; Costs'!$G$4:$G$74,MATCH($B13&amp;$C13,'TRU Ops &amp; Costs'!$P$4:$P$74,0)))</f>
        <v/>
      </c>
      <c r="K13" s="212" t="str">
        <f t="shared" si="13"/>
        <v/>
      </c>
      <c r="L13" s="215" t="str">
        <f>IF(ISBLANK($F13),"",INDEX('Diesel Fuel Prices'!$D$5:$D$31,MATCH($F13,'Diesel Fuel Prices'!$B$5:$B$31,0))*References!$B$38/References!$B$37)</f>
        <v/>
      </c>
      <c r="M13" s="215" t="str">
        <f>IF(ISBLANK($F13),"",VLOOKUP($F13,'Electricity Prices'!$B$4:$F$31,5,FALSE)*References!$B$38/References!$B$37)</f>
        <v/>
      </c>
      <c r="N13" s="216" t="str">
        <f>IF(OR(ISBLANK($B13),ISBLANK($C13)),"",INDEX('TRU Ops &amp; Costs'!$I$4:$I$74,MATCH($B13&amp;$C13,'TRU Ops &amp; Costs'!$P$4:$P$74,0)))</f>
        <v/>
      </c>
      <c r="O13" s="216" t="str">
        <f>IF(OR(ISBLANK($B13),ISBLANK($C13)),"",IF(E13="Yard",INDEX('TRU Ops &amp; Costs'!$J$4:$J$74,MATCH($B13&amp;$C13,'TRU Ops &amp; Costs'!$P$4:$P$74,0)),INDEX('TRU Ops &amp; Costs'!$K$4:$K$74,MATCH($B13&amp;$C13,'TRU Ops &amp; Costs'!$P$4:$P$74,0))))</f>
        <v/>
      </c>
      <c r="P13" s="216" t="str">
        <f>IF(OR(ISBLANK($B13),ISBLANK($C13)),"",$K13*INDEX('TRU Ops &amp; Costs'!$M$4:$M$74,MATCH($B13&amp;$C13,'TRU Ops &amp; Costs'!$P$4:$P$74,0))*-INDEX('TRU Ops &amp; Costs'!$L$4:$L$74,MATCH($B13&amp;$C13,'TRU Ops &amp; Costs'!$P$4:$P$74,0)))</f>
        <v/>
      </c>
      <c r="Q13" s="212"/>
      <c r="R13" s="233" t="str">
        <f t="shared" si="18"/>
        <v/>
      </c>
      <c r="S13" s="217" t="str">
        <f t="shared" si="0"/>
        <v/>
      </c>
      <c r="T13" s="218" t="str">
        <f>IF(ISBLANK($F13),"",INDEX('eGRID2018 Subregion'!$J$7:$J$33,MATCH($F13,RegionGEN,0)))</f>
        <v/>
      </c>
      <c r="U13" s="212"/>
      <c r="V13" s="219" t="str">
        <f>IF(OR(ISBLANK($B13),ISBLANK($C13),$R13=""),"",ROUND($R13*INDEX('Diesel TRU Emission Factors'!$D$6:$D$76,MATCH($B13&amp;$C13,'Diesel TRU Emission Factors'!$R$6:$R$77,0))*GramsToMT,4))</f>
        <v/>
      </c>
      <c r="W13" s="219" t="str">
        <f>IF(OR(ISBLANK($B13),ISBLANK($C13),$R13=""),"",ROUND($R13*INDEX('Diesel TRU Emission Factors'!$E$6:$E$76,MATCH($B13&amp;$C13,'Diesel TRU Emission Factors'!$R$6:$R$77,0))*GramsToMT,4))</f>
        <v/>
      </c>
      <c r="X13" s="219" t="str">
        <f>IF(OR(ISBLANK($B13),ISBLANK($C13),$R13=""),"",ROUND($R13*INDEX('Diesel TRU Emission Factors'!$H$6:$H$76,MATCH($B13&amp;$C13,'Diesel TRU Emission Factors'!$R$6:$R$77,0))*GramsToMT,4))</f>
        <v/>
      </c>
      <c r="Y13" s="220" t="str">
        <f>IF(OR(ISBLANK($B13),ISBLANK($C13),$R13=""),"",ROUND($R13*INDEX('Diesel TRU Emission Factors'!$F$6:$F$76,MATCH($B13&amp;$C13,'Diesel TRU Emission Factors'!$R$6:$R$77,0))*GramsToMT,1))</f>
        <v/>
      </c>
      <c r="Z13" s="220" t="str">
        <f>IF(OR(ISBLANK($B13),ISBLANK($C13),$R13=""),"",$R13*INDEX('Diesel TRU Emission Factors'!$G$6:$G$76,MATCH($B13&amp;$C13,'Diesel TRU Emission Factors'!$R$6:$R$77,0))*GramsToMT)</f>
        <v/>
      </c>
      <c r="AA13" s="221" t="str">
        <f>IF(ISBLANK(F13),"",R13*GalTokWh*'Diesel TRU Emission Factors'!$P$4/1000000)</f>
        <v/>
      </c>
      <c r="AB13" s="221" t="str">
        <f>IF(ISBLANK($F13),"",ROUND(Y13*References!$B$28+Z13*References!$B$29+AA13*References!$B$30,1))</f>
        <v/>
      </c>
      <c r="AC13" s="222"/>
      <c r="AD13" s="219" t="str">
        <f>IF(OR(ISBLANK($F13),$S13="",$T13=""),"",ROUND($S13*(1+$T13)*INDEX('eGRID2018 Subregion'!$C$7:$C$33,MATCH($F13,RegionGEN,0))*GramsToMT,4))</f>
        <v/>
      </c>
      <c r="AE13" s="219" t="str">
        <f>IF(OR(ISBLANK($F13),$S13="",$T13=""),"",ROUND($S13*(1+$T13)*INDEX('eGRID2018 Subregion'!$D$7:$D$33,MATCH($F13,RegionGEN,0))*GramsToMT,4))</f>
        <v/>
      </c>
      <c r="AF13" s="219" t="str">
        <f>IF(OR(ISBLANK($F13),$S13="",$T13=""),"",ROUND($S13*(1+$T13)*INDEX('eGRID2018 Subregion'!$I$7:$I$33,MATCH($F13,RegionGEN,0))*GramsToMT,4))</f>
        <v/>
      </c>
      <c r="AG13" s="220" t="str">
        <f>IF(OR(ISBLANK($F13),$S13="",$T13=""),"",ROUND($S13*(1+$T13)*INDEX('eGRID2018 Subregion'!$E$7:$E$33,MATCH($F13,RegionGEN,0))*GramsToMT,1))</f>
        <v/>
      </c>
      <c r="AH13" s="220" t="str">
        <f>IF(OR(ISBLANK($F13),$S13="",$T13=""),"",$S13*(1+$T13)*INDEX('eGRID2018 Subregion'!$F$7:$F$33,MATCH($F13,RegionGEN,0))*GramsToMT)</f>
        <v/>
      </c>
      <c r="AI13" s="220" t="str">
        <f>IF(OR(ISBLANK($F13),$S13="",$T13=""),"",$S13*(1+$T13)*INDEX('eGRID2018 Subregion'!$G$7:$G$33,MATCH($F13,RegionGEN,0))*GramsToMT)</f>
        <v/>
      </c>
      <c r="AJ13" s="220" t="str">
        <f>IF(ISBLANK($F13),"",ROUND(AG13*References!$B$28+AH13*References!$B$29+AI13*References!$B$30,1))</f>
        <v/>
      </c>
      <c r="AK13" s="222"/>
      <c r="AL13" s="219" t="str">
        <f t="shared" si="1"/>
        <v/>
      </c>
      <c r="AM13" s="219" t="str">
        <f t="shared" si="2"/>
        <v/>
      </c>
      <c r="AN13" s="219" t="str">
        <f t="shared" si="3"/>
        <v/>
      </c>
      <c r="AO13" s="220" t="str">
        <f t="shared" si="4"/>
        <v/>
      </c>
      <c r="AP13" s="220" t="str">
        <f t="shared" si="5"/>
        <v/>
      </c>
      <c r="AQ13" s="223"/>
      <c r="AR13" s="224" t="str">
        <f t="shared" si="6"/>
        <v/>
      </c>
      <c r="AS13" s="224" t="str">
        <f>IF(OR($W13="",$AM13="",$W13=0),"", $AM13/$W13)</f>
        <v/>
      </c>
      <c r="AT13" s="224" t="str">
        <f t="shared" si="7"/>
        <v/>
      </c>
      <c r="AU13" s="224" t="str">
        <f t="shared" si="8"/>
        <v/>
      </c>
      <c r="AV13" s="224" t="str">
        <f t="shared" si="9"/>
        <v/>
      </c>
      <c r="AW13" s="212"/>
      <c r="AX13" s="301" t="str">
        <f t="shared" si="10"/>
        <v/>
      </c>
      <c r="AY13" s="301" t="str">
        <f t="shared" si="11"/>
        <v/>
      </c>
      <c r="AZ13" s="301" t="str">
        <f t="shared" si="15"/>
        <v/>
      </c>
      <c r="BA13" s="222"/>
      <c r="BB13" s="301" t="str">
        <f t="shared" si="12"/>
        <v/>
      </c>
      <c r="BC13" s="301" t="str">
        <f t="shared" si="16"/>
        <v/>
      </c>
      <c r="BD13" s="301" t="str">
        <f t="shared" si="17"/>
        <v/>
      </c>
      <c r="BE13" s="5"/>
    </row>
    <row r="14" spans="1:57">
      <c r="A14" s="105"/>
      <c r="B14" s="225"/>
      <c r="C14" s="225"/>
      <c r="D14" s="226"/>
      <c r="E14" s="411"/>
      <c r="F14" s="225"/>
      <c r="G14" s="212" t="str">
        <f>IF(OR(ISBLANK($B14),ISBLANK($C14)),"",INDEX('TRU Ops &amp; Costs'!$D$4:$D$74,MATCH($B14&amp;$C14,'TRU Ops &amp; Costs'!$P$4:$P$74,0))/0.7457)</f>
        <v/>
      </c>
      <c r="H14" s="213" t="str">
        <f>IF(OR(ISBLANK($B14),ISBLANK($C14)),"",INDEX('TRU Ops &amp; Costs'!$E$4:$E$74,MATCH($B14&amp;$C14,'TRU Ops &amp; Costs'!$P$4:$P$74,0)))</f>
        <v/>
      </c>
      <c r="I14" s="212" t="str">
        <f>IF(OR(ISBLANK($B14),ISBLANK($C14)),"",INDEX('TRU Ops &amp; Costs'!$F$4:$F$74,MATCH($B14&amp;$C14,'TRU Ops &amp; Costs'!$P$4:$P$74,0)))</f>
        <v/>
      </c>
      <c r="J14" s="214" t="str">
        <f>IF(OR(ISBLANK($B14),ISBLANK($C14)),"",INDEX('TRU Ops &amp; Costs'!$G$4:$G$74,MATCH($B14&amp;$C14,'TRU Ops &amp; Costs'!$P$4:$P$74,0)))</f>
        <v/>
      </c>
      <c r="K14" s="212" t="str">
        <f t="shared" si="13"/>
        <v/>
      </c>
      <c r="L14" s="215" t="str">
        <f>IF(ISBLANK($F14),"",INDEX('Diesel Fuel Prices'!$D$5:$D$31,MATCH($F14,'Diesel Fuel Prices'!$B$5:$B$31,0))*References!$B$38/References!$B$37)</f>
        <v/>
      </c>
      <c r="M14" s="215" t="str">
        <f>IF(ISBLANK($F14),"",VLOOKUP($F14,'Electricity Prices'!$B$4:$F$31,5,FALSE)*References!$B$38/References!$B$37)</f>
        <v/>
      </c>
      <c r="N14" s="216" t="str">
        <f>IF(OR(ISBLANK($B14),ISBLANK($C14)),"",INDEX('TRU Ops &amp; Costs'!$I$4:$I$74,MATCH($B14&amp;$C14,'TRU Ops &amp; Costs'!$P$4:$P$74,0)))</f>
        <v/>
      </c>
      <c r="O14" s="216" t="str">
        <f>IF(OR(ISBLANK($B14),ISBLANK($C14)),"",IF(E14="Yard",INDEX('TRU Ops &amp; Costs'!$J$4:$J$74,MATCH($B14&amp;$C14,'TRU Ops &amp; Costs'!$P$4:$P$74,0)),INDEX('TRU Ops &amp; Costs'!$K$4:$K$74,MATCH($B14&amp;$C14,'TRU Ops &amp; Costs'!$P$4:$P$74,0))))</f>
        <v/>
      </c>
      <c r="P14" s="216" t="str">
        <f>IF(OR(ISBLANK($B14),ISBLANK($C14)),"",$K14*INDEX('TRU Ops &amp; Costs'!$M$4:$M$74,MATCH($B14&amp;$C14,'TRU Ops &amp; Costs'!$P$4:$P$74,0))*-INDEX('TRU Ops &amp; Costs'!$L$4:$L$74,MATCH($B14&amp;$C14,'TRU Ops &amp; Costs'!$P$4:$P$74,0)))</f>
        <v/>
      </c>
      <c r="Q14" s="212"/>
      <c r="R14" s="234" t="str">
        <f t="shared" si="18"/>
        <v/>
      </c>
      <c r="S14" s="227" t="str">
        <f t="shared" si="0"/>
        <v/>
      </c>
      <c r="T14" s="228" t="str">
        <f>IF(ISBLANK($F14),"",INDEX('eGRID2018 Subregion'!$J$7:$J$33,MATCH($F14,RegionGEN,0)))</f>
        <v/>
      </c>
      <c r="U14" s="212"/>
      <c r="V14" s="229" t="str">
        <f>IF(OR(ISBLANK($B14),ISBLANK($C14),$R14=""),"",ROUND($R14*INDEX('Diesel TRU Emission Factors'!$D$6:$D$76,MATCH($B14&amp;$C14,'Diesel TRU Emission Factors'!$R$6:$R$77,0))*GramsToMT,4))</f>
        <v/>
      </c>
      <c r="W14" s="229" t="str">
        <f>IF(OR(ISBLANK($B14),ISBLANK($C14),$R14=""),"",ROUND($R14*INDEX('Diesel TRU Emission Factors'!$E$6:$E$76,MATCH($B14&amp;$C14,'Diesel TRU Emission Factors'!$R$6:$R$77,0))*GramsToMT,4))</f>
        <v/>
      </c>
      <c r="X14" s="229" t="str">
        <f>IF(OR(ISBLANK($B14),ISBLANK($C14),$R14=""),"",ROUND($R14*INDEX('Diesel TRU Emission Factors'!$H$6:$H$76,MATCH($B14&amp;$C14,'Diesel TRU Emission Factors'!$R$6:$R$77,0))*GramsToMT,4))</f>
        <v/>
      </c>
      <c r="Y14" s="230" t="str">
        <f>IF(OR(ISBLANK($B14),ISBLANK($C14),$R14=""),"",ROUND($R14*INDEX('Diesel TRU Emission Factors'!$F$6:$F$76,MATCH($B14&amp;$C14,'Diesel TRU Emission Factors'!$R$6:$R$77,0))*GramsToMT,1))</f>
        <v/>
      </c>
      <c r="Z14" s="230" t="str">
        <f>IF(OR(ISBLANK($B14),ISBLANK($C14),$R14=""),"",$R14*INDEX('Diesel TRU Emission Factors'!$G$6:$G$76,MATCH($B14&amp;$C14,'Diesel TRU Emission Factors'!$R$6:$R$77,0))*GramsToMT)</f>
        <v/>
      </c>
      <c r="AA14" s="231" t="str">
        <f>IF(ISBLANK(F14),"",R14*GalTokWh*'Diesel TRU Emission Factors'!$P$4/1000000)</f>
        <v/>
      </c>
      <c r="AB14" s="231" t="str">
        <f>IF(ISBLANK($F14),"",ROUND(Y14*References!$B$28+Z14*References!$B$29+AA14*References!$B$30,1))</f>
        <v/>
      </c>
      <c r="AC14" s="222"/>
      <c r="AD14" s="229" t="str">
        <f>IF(OR(ISBLANK($F14),$S14="",$T14=""),"",ROUND($S14*(1+$T14)*INDEX('eGRID2018 Subregion'!$C$7:$C$33,MATCH($F14,RegionGEN,0))*GramsToMT,4))</f>
        <v/>
      </c>
      <c r="AE14" s="229" t="str">
        <f>IF(OR(ISBLANK($F14),$S14="",$T14=""),"",ROUND($S14*(1+$T14)*INDEX('eGRID2018 Subregion'!$D$7:$D$33,MATCH($F14,RegionGEN,0))*GramsToMT,4))</f>
        <v/>
      </c>
      <c r="AF14" s="229" t="str">
        <f>IF(OR(ISBLANK($F14),$S14="",$T14=""),"",ROUND($S14*(1+$T14)*INDEX('eGRID2018 Subregion'!$I$7:$I$33,MATCH($F14,RegionGEN,0))*GramsToMT,4))</f>
        <v/>
      </c>
      <c r="AG14" s="230" t="str">
        <f>IF(OR(ISBLANK($F14),$S14="",$T14=""),"",ROUND($S14*(1+$T14)*INDEX('eGRID2018 Subregion'!$E$7:$E$33,MATCH($F14,RegionGEN,0))*GramsToMT,1))</f>
        <v/>
      </c>
      <c r="AH14" s="230" t="str">
        <f>IF(OR(ISBLANK($F14),$S14="",$T14=""),"",$S14*(1+$T14)*INDEX('eGRID2018 Subregion'!$F$7:$F$33,MATCH($F14,RegionGEN,0))*GramsToMT)</f>
        <v/>
      </c>
      <c r="AI14" s="230" t="str">
        <f>IF(OR(ISBLANK($F14),$S14="",$T14=""),"",$S14*(1+$T14)*INDEX('eGRID2018 Subregion'!$G$7:$G$33,MATCH($F14,RegionGEN,0))*GramsToMT)</f>
        <v/>
      </c>
      <c r="AJ14" s="230" t="str">
        <f>IF(ISBLANK($F14),"",ROUND(AG14*References!$B$28+AH14*References!$B$29+AI14*References!$B$30,1))</f>
        <v/>
      </c>
      <c r="AK14" s="222"/>
      <c r="AL14" s="229" t="str">
        <f t="shared" si="1"/>
        <v/>
      </c>
      <c r="AM14" s="229" t="str">
        <f t="shared" si="2"/>
        <v/>
      </c>
      <c r="AN14" s="229" t="str">
        <f t="shared" si="3"/>
        <v/>
      </c>
      <c r="AO14" s="230" t="str">
        <f t="shared" si="4"/>
        <v/>
      </c>
      <c r="AP14" s="230" t="str">
        <f t="shared" si="5"/>
        <v/>
      </c>
      <c r="AQ14" s="223"/>
      <c r="AR14" s="232" t="str">
        <f t="shared" si="6"/>
        <v/>
      </c>
      <c r="AS14" s="232" t="str">
        <f t="shared" ref="AS14" si="22">IF(OR(W14="",AM14="",W14=0),"", AM14/W14)</f>
        <v/>
      </c>
      <c r="AT14" s="232" t="str">
        <f t="shared" si="7"/>
        <v/>
      </c>
      <c r="AU14" s="232" t="str">
        <f t="shared" si="8"/>
        <v/>
      </c>
      <c r="AV14" s="232" t="str">
        <f t="shared" si="9"/>
        <v/>
      </c>
      <c r="AW14" s="212"/>
      <c r="AX14" s="300" t="str">
        <f t="shared" si="10"/>
        <v/>
      </c>
      <c r="AY14" s="300" t="str">
        <f t="shared" si="11"/>
        <v/>
      </c>
      <c r="AZ14" s="300" t="str">
        <f t="shared" si="15"/>
        <v/>
      </c>
      <c r="BA14" s="222"/>
      <c r="BB14" s="300" t="str">
        <f t="shared" si="12"/>
        <v/>
      </c>
      <c r="BC14" s="300" t="str">
        <f t="shared" si="16"/>
        <v/>
      </c>
      <c r="BD14" s="300" t="str">
        <f t="shared" si="17"/>
        <v/>
      </c>
      <c r="BE14" s="5"/>
    </row>
    <row r="15" spans="1:57">
      <c r="A15" s="103"/>
      <c r="B15" s="210"/>
      <c r="C15" s="210"/>
      <c r="D15" s="211"/>
      <c r="E15" s="410"/>
      <c r="F15" s="210"/>
      <c r="G15" s="212" t="str">
        <f>IF(OR(ISBLANK($B15),ISBLANK($C15)),"",INDEX('TRU Ops &amp; Costs'!$D$4:$D$74,MATCH($B15&amp;$C15,'TRU Ops &amp; Costs'!$P$4:$P$74,0))/0.7457)</f>
        <v/>
      </c>
      <c r="H15" s="213" t="str">
        <f>IF(OR(ISBLANK($B15),ISBLANK($C15)),"",INDEX('TRU Ops &amp; Costs'!$E$4:$E$74,MATCH($B15&amp;$C15,'TRU Ops &amp; Costs'!$P$4:$P$74,0)))</f>
        <v/>
      </c>
      <c r="I15" s="212" t="str">
        <f>IF(OR(ISBLANK($B15),ISBLANK($C15)),"",INDEX('TRU Ops &amp; Costs'!$F$4:$F$74,MATCH($B15&amp;$C15,'TRU Ops &amp; Costs'!$P$4:$P$74,0)))</f>
        <v/>
      </c>
      <c r="J15" s="214" t="str">
        <f>IF(OR(ISBLANK($B15),ISBLANK($C15)),"",INDEX('TRU Ops &amp; Costs'!$G$4:$G$74,MATCH($B15&amp;$C15,'TRU Ops &amp; Costs'!$P$4:$P$74,0)))</f>
        <v/>
      </c>
      <c r="K15" s="212" t="str">
        <f t="shared" si="13"/>
        <v/>
      </c>
      <c r="L15" s="215" t="str">
        <f>IF(ISBLANK($F15),"",INDEX('Diesel Fuel Prices'!$D$5:$D$31,MATCH($F15,'Diesel Fuel Prices'!$B$5:$B$31,0))*References!$B$38/References!$B$37)</f>
        <v/>
      </c>
      <c r="M15" s="215" t="str">
        <f>IF(ISBLANK($F15),"",VLOOKUP($F15,'Electricity Prices'!$B$4:$F$31,5,FALSE)*References!$B$38/References!$B$37)</f>
        <v/>
      </c>
      <c r="N15" s="216" t="str">
        <f>IF(OR(ISBLANK($B15),ISBLANK($C15)),"",INDEX('TRU Ops &amp; Costs'!$I$4:$I$74,MATCH($B15&amp;$C15,'TRU Ops &amp; Costs'!$P$4:$P$74,0)))</f>
        <v/>
      </c>
      <c r="O15" s="216" t="str">
        <f>IF(OR(ISBLANK($B15),ISBLANK($C15)),"",IF(E15="Yard",INDEX('TRU Ops &amp; Costs'!$J$4:$J$74,MATCH($B15&amp;$C15,'TRU Ops &amp; Costs'!$P$4:$P$74,0)),INDEX('TRU Ops &amp; Costs'!$K$4:$K$74,MATCH($B15&amp;$C15,'TRU Ops &amp; Costs'!$P$4:$P$74,0))))</f>
        <v/>
      </c>
      <c r="P15" s="216" t="str">
        <f>IF(OR(ISBLANK($B15),ISBLANK($C15)),"",$K15*INDEX('TRU Ops &amp; Costs'!$M$4:$M$74,MATCH($B15&amp;$C15,'TRU Ops &amp; Costs'!$P$4:$P$74,0))*-INDEX('TRU Ops &amp; Costs'!$L$4:$L$74,MATCH($B15&amp;$C15,'TRU Ops &amp; Costs'!$P$4:$P$74,0)))</f>
        <v/>
      </c>
      <c r="Q15" s="212"/>
      <c r="R15" s="233" t="str">
        <f t="shared" si="18"/>
        <v/>
      </c>
      <c r="S15" s="217" t="str">
        <f t="shared" si="0"/>
        <v/>
      </c>
      <c r="T15" s="218" t="str">
        <f>IF(ISBLANK($F15),"",INDEX('eGRID2018 Subregion'!$J$7:$J$33,MATCH($F15,RegionGEN,0)))</f>
        <v/>
      </c>
      <c r="U15" s="212"/>
      <c r="V15" s="219" t="str">
        <f>IF(OR(ISBLANK($B15),ISBLANK($C15),$R15=""),"",ROUND($R15*INDEX('Diesel TRU Emission Factors'!$D$6:$D$76,MATCH($B15&amp;$C15,'Diesel TRU Emission Factors'!$R$6:$R$77,0))*GramsToMT,4))</f>
        <v/>
      </c>
      <c r="W15" s="219" t="str">
        <f>IF(OR(ISBLANK($B15),ISBLANK($C15),$R15=""),"",ROUND($R15*INDEX('Diesel TRU Emission Factors'!$E$6:$E$76,MATCH($B15&amp;$C15,'Diesel TRU Emission Factors'!$R$6:$R$77,0))*GramsToMT,4))</f>
        <v/>
      </c>
      <c r="X15" s="219" t="str">
        <f>IF(OR(ISBLANK($B15),ISBLANK($C15),$R15=""),"",ROUND($R15*INDEX('Diesel TRU Emission Factors'!$H$6:$H$76,MATCH($B15&amp;$C15,'Diesel TRU Emission Factors'!$R$6:$R$77,0))*GramsToMT,4))</f>
        <v/>
      </c>
      <c r="Y15" s="220" t="str">
        <f>IF(OR(ISBLANK($B15),ISBLANK($C15),$R15=""),"",ROUND($R15*INDEX('Diesel TRU Emission Factors'!$F$6:$F$76,MATCH($B15&amp;$C15,'Diesel TRU Emission Factors'!$R$6:$R$77,0))*GramsToMT,1))</f>
        <v/>
      </c>
      <c r="Z15" s="220" t="str">
        <f>IF(OR(ISBLANK($B15),ISBLANK($C15),$R15=""),"",$R15*INDEX('Diesel TRU Emission Factors'!$G$6:$G$76,MATCH($B15&amp;$C15,'Diesel TRU Emission Factors'!$R$6:$R$77,0))*GramsToMT)</f>
        <v/>
      </c>
      <c r="AA15" s="221" t="str">
        <f>IF(ISBLANK(F15),"",R15*GalTokWh*'Diesel TRU Emission Factors'!$P$4/1000000)</f>
        <v/>
      </c>
      <c r="AB15" s="221" t="str">
        <f>IF(ISBLANK($F15),"",ROUND(Y15*References!$B$28+Z15*References!$B$29+AA15*References!$B$30,1))</f>
        <v/>
      </c>
      <c r="AC15" s="222"/>
      <c r="AD15" s="219" t="str">
        <f>IF(OR(ISBLANK($F15),$S15="",$T15=""),"",ROUND($S15*(1+$T15)*INDEX('eGRID2018 Subregion'!$C$7:$C$33,MATCH($F15,RegionGEN,0))*GramsToMT,4))</f>
        <v/>
      </c>
      <c r="AE15" s="219" t="str">
        <f>IF(OR(ISBLANK($F15),$S15="",$T15=""),"",ROUND($S15*(1+$T15)*INDEX('eGRID2018 Subregion'!$D$7:$D$33,MATCH($F15,RegionGEN,0))*GramsToMT,4))</f>
        <v/>
      </c>
      <c r="AF15" s="219" t="str">
        <f>IF(OR(ISBLANK($F15),$S15="",$T15=""),"",ROUND($S15*(1+$T15)*INDEX('eGRID2018 Subregion'!$I$7:$I$33,MATCH($F15,RegionGEN,0))*GramsToMT,4))</f>
        <v/>
      </c>
      <c r="AG15" s="220" t="str">
        <f>IF(OR(ISBLANK($F15),$S15="",$T15=""),"",ROUND($S15*(1+$T15)*INDEX('eGRID2018 Subregion'!$E$7:$E$33,MATCH($F15,RegionGEN,0))*GramsToMT,1))</f>
        <v/>
      </c>
      <c r="AH15" s="220" t="str">
        <f>IF(OR(ISBLANK($F15),$S15="",$T15=""),"",$S15*(1+$T15)*INDEX('eGRID2018 Subregion'!$F$7:$F$33,MATCH($F15,RegionGEN,0))*GramsToMT)</f>
        <v/>
      </c>
      <c r="AI15" s="220" t="str">
        <f>IF(OR(ISBLANK($F15),$S15="",$T15=""),"",$S15*(1+$T15)*INDEX('eGRID2018 Subregion'!$G$7:$G$33,MATCH($F15,RegionGEN,0))*GramsToMT)</f>
        <v/>
      </c>
      <c r="AJ15" s="220" t="str">
        <f>IF(ISBLANK($F15),"",ROUND(AG15*References!$B$28+AH15*References!$B$29+AI15*References!$B$30,1))</f>
        <v/>
      </c>
      <c r="AK15" s="222"/>
      <c r="AL15" s="219" t="str">
        <f t="shared" si="1"/>
        <v/>
      </c>
      <c r="AM15" s="219" t="str">
        <f t="shared" si="2"/>
        <v/>
      </c>
      <c r="AN15" s="219" t="str">
        <f t="shared" si="3"/>
        <v/>
      </c>
      <c r="AO15" s="220" t="str">
        <f t="shared" si="4"/>
        <v/>
      </c>
      <c r="AP15" s="220" t="str">
        <f t="shared" si="5"/>
        <v/>
      </c>
      <c r="AQ15" s="223"/>
      <c r="AR15" s="224" t="str">
        <f t="shared" si="6"/>
        <v/>
      </c>
      <c r="AS15" s="224" t="str">
        <f>IF(OR($W15="",$AM15="",$W15=0),"", $AM15/$W15)</f>
        <v/>
      </c>
      <c r="AT15" s="224" t="str">
        <f t="shared" si="7"/>
        <v/>
      </c>
      <c r="AU15" s="224" t="str">
        <f t="shared" si="8"/>
        <v/>
      </c>
      <c r="AV15" s="224" t="str">
        <f t="shared" si="9"/>
        <v/>
      </c>
      <c r="AW15" s="212"/>
      <c r="AX15" s="301" t="str">
        <f t="shared" si="10"/>
        <v/>
      </c>
      <c r="AY15" s="301" t="str">
        <f t="shared" si="11"/>
        <v/>
      </c>
      <c r="AZ15" s="301" t="str">
        <f t="shared" si="15"/>
        <v/>
      </c>
      <c r="BA15" s="222"/>
      <c r="BB15" s="301" t="str">
        <f t="shared" si="12"/>
        <v/>
      </c>
      <c r="BC15" s="301" t="str">
        <f t="shared" si="16"/>
        <v/>
      </c>
      <c r="BD15" s="301" t="str">
        <f t="shared" si="17"/>
        <v/>
      </c>
      <c r="BE15" s="5"/>
    </row>
    <row r="16" spans="1:57">
      <c r="A16" s="105"/>
      <c r="B16" s="225"/>
      <c r="C16" s="225"/>
      <c r="D16" s="226"/>
      <c r="E16" s="411"/>
      <c r="F16" s="225"/>
      <c r="G16" s="212" t="str">
        <f>IF(OR(ISBLANK($B16),ISBLANK($C16)),"",INDEX('TRU Ops &amp; Costs'!$D$4:$D$74,MATCH($B16&amp;$C16,'TRU Ops &amp; Costs'!$P$4:$P$74,0))/0.7457)</f>
        <v/>
      </c>
      <c r="H16" s="213" t="str">
        <f>IF(OR(ISBLANK($B16),ISBLANK($C16)),"",INDEX('TRU Ops &amp; Costs'!$E$4:$E$74,MATCH($B16&amp;$C16,'TRU Ops &amp; Costs'!$P$4:$P$74,0)))</f>
        <v/>
      </c>
      <c r="I16" s="212" t="str">
        <f>IF(OR(ISBLANK($B16),ISBLANK($C16)),"",INDEX('TRU Ops &amp; Costs'!$F$4:$F$74,MATCH($B16&amp;$C16,'TRU Ops &amp; Costs'!$P$4:$P$74,0)))</f>
        <v/>
      </c>
      <c r="J16" s="214" t="str">
        <f>IF(OR(ISBLANK($B16),ISBLANK($C16)),"",INDEX('TRU Ops &amp; Costs'!$G$4:$G$74,MATCH($B16&amp;$C16,'TRU Ops &amp; Costs'!$P$4:$P$74,0)))</f>
        <v/>
      </c>
      <c r="K16" s="212" t="str">
        <f t="shared" si="13"/>
        <v/>
      </c>
      <c r="L16" s="215" t="str">
        <f>IF(ISBLANK($F16),"",INDEX('Diesel Fuel Prices'!$D$5:$D$31,MATCH($F16,'Diesel Fuel Prices'!$B$5:$B$31,0))*References!$B$38/References!$B$37)</f>
        <v/>
      </c>
      <c r="M16" s="215" t="str">
        <f>IF(ISBLANK($F16),"",VLOOKUP($F16,'Electricity Prices'!$B$4:$F$31,5,FALSE)*References!$B$38/References!$B$37)</f>
        <v/>
      </c>
      <c r="N16" s="216" t="str">
        <f>IF(OR(ISBLANK($B16),ISBLANK($C16)),"",INDEX('TRU Ops &amp; Costs'!$I$4:$I$74,MATCH($B16&amp;$C16,'TRU Ops &amp; Costs'!$P$4:$P$74,0)))</f>
        <v/>
      </c>
      <c r="O16" s="216" t="str">
        <f>IF(OR(ISBLANK($B16),ISBLANK($C16)),"",IF(E16="Yard",INDEX('TRU Ops &amp; Costs'!$J$4:$J$74,MATCH($B16&amp;$C16,'TRU Ops &amp; Costs'!$P$4:$P$74,0)),INDEX('TRU Ops &amp; Costs'!$K$4:$K$74,MATCH($B16&amp;$C16,'TRU Ops &amp; Costs'!$P$4:$P$74,0))))</f>
        <v/>
      </c>
      <c r="P16" s="216" t="str">
        <f>IF(OR(ISBLANK($B16),ISBLANK($C16)),"",$K16*INDEX('TRU Ops &amp; Costs'!$M$4:$M$74,MATCH($B16&amp;$C16,'TRU Ops &amp; Costs'!$P$4:$P$74,0))*-INDEX('TRU Ops &amp; Costs'!$L$4:$L$74,MATCH($B16&amp;$C16,'TRU Ops &amp; Costs'!$P$4:$P$74,0)))</f>
        <v/>
      </c>
      <c r="Q16" s="212"/>
      <c r="R16" s="234" t="str">
        <f t="shared" si="18"/>
        <v/>
      </c>
      <c r="S16" s="227" t="str">
        <f t="shared" si="0"/>
        <v/>
      </c>
      <c r="T16" s="228" t="str">
        <f>IF(ISBLANK($F16),"",INDEX('eGRID2018 Subregion'!$J$7:$J$33,MATCH($F16,RegionGEN,0)))</f>
        <v/>
      </c>
      <c r="U16" s="212"/>
      <c r="V16" s="229" t="str">
        <f>IF(OR(ISBLANK($B16),ISBLANK($C16),$R16=""),"",ROUND($R16*INDEX('Diesel TRU Emission Factors'!$D$6:$D$76,MATCH($B16&amp;$C16,'Diesel TRU Emission Factors'!$R$6:$R$77,0))*GramsToMT,4))</f>
        <v/>
      </c>
      <c r="W16" s="229" t="str">
        <f>IF(OR(ISBLANK($B16),ISBLANK($C16),$R16=""),"",ROUND($R16*INDEX('Diesel TRU Emission Factors'!$E$6:$E$76,MATCH($B16&amp;$C16,'Diesel TRU Emission Factors'!$R$6:$R$77,0))*GramsToMT,4))</f>
        <v/>
      </c>
      <c r="X16" s="229" t="str">
        <f>IF(OR(ISBLANK($B16),ISBLANK($C16),$R16=""),"",ROUND($R16*INDEX('Diesel TRU Emission Factors'!$H$6:$H$76,MATCH($B16&amp;$C16,'Diesel TRU Emission Factors'!$R$6:$R$77,0))*GramsToMT,4))</f>
        <v/>
      </c>
      <c r="Y16" s="230" t="str">
        <f>IF(OR(ISBLANK($B16),ISBLANK($C16),$R16=""),"",ROUND($R16*INDEX('Diesel TRU Emission Factors'!$F$6:$F$76,MATCH($B16&amp;$C16,'Diesel TRU Emission Factors'!$R$6:$R$77,0))*GramsToMT,1))</f>
        <v/>
      </c>
      <c r="Z16" s="230" t="str">
        <f>IF(OR(ISBLANK($B16),ISBLANK($C16),$R16=""),"",$R16*INDEX('Diesel TRU Emission Factors'!$G$6:$G$76,MATCH($B16&amp;$C16,'Diesel TRU Emission Factors'!$R$6:$R$77,0))*GramsToMT)</f>
        <v/>
      </c>
      <c r="AA16" s="231" t="str">
        <f>IF(ISBLANK(F16),"",R16*GalTokWh*'Diesel TRU Emission Factors'!$P$4/1000000)</f>
        <v/>
      </c>
      <c r="AB16" s="231" t="str">
        <f>IF(ISBLANK($F16),"",ROUND(Y16*References!$B$28+Z16*References!$B$29+AA16*References!$B$30,1))</f>
        <v/>
      </c>
      <c r="AC16" s="222"/>
      <c r="AD16" s="229" t="str">
        <f>IF(OR(ISBLANK($F16),$S16="",$T16=""),"",ROUND($S16*(1+$T16)*INDEX('eGRID2018 Subregion'!$C$7:$C$33,MATCH($F16,RegionGEN,0))*GramsToMT,4))</f>
        <v/>
      </c>
      <c r="AE16" s="229" t="str">
        <f>IF(OR(ISBLANK($F16),$S16="",$T16=""),"",ROUND($S16*(1+$T16)*INDEX('eGRID2018 Subregion'!$D$7:$D$33,MATCH($F16,RegionGEN,0))*GramsToMT,4))</f>
        <v/>
      </c>
      <c r="AF16" s="229" t="str">
        <f>IF(OR(ISBLANK($F16),$S16="",$T16=""),"",ROUND($S16*(1+$T16)*INDEX('eGRID2018 Subregion'!$I$7:$I$33,MATCH($F16,RegionGEN,0))*GramsToMT,4))</f>
        <v/>
      </c>
      <c r="AG16" s="230" t="str">
        <f>IF(OR(ISBLANK($F16),$S16="",$T16=""),"",ROUND($S16*(1+$T16)*INDEX('eGRID2018 Subregion'!$E$7:$E$33,MATCH($F16,RegionGEN,0))*GramsToMT,1))</f>
        <v/>
      </c>
      <c r="AH16" s="230" t="str">
        <f>IF(OR(ISBLANK($F16),$S16="",$T16=""),"",$S16*(1+$T16)*INDEX('eGRID2018 Subregion'!$F$7:$F$33,MATCH($F16,RegionGEN,0))*GramsToMT)</f>
        <v/>
      </c>
      <c r="AI16" s="230" t="str">
        <f>IF(OR(ISBLANK($F16),$S16="",$T16=""),"",$S16*(1+$T16)*INDEX('eGRID2018 Subregion'!$G$7:$G$33,MATCH($F16,RegionGEN,0))*GramsToMT)</f>
        <v/>
      </c>
      <c r="AJ16" s="230" t="str">
        <f>IF(ISBLANK($F16),"",ROUND(AG16*References!$B$28+AH16*References!$B$29+AI16*References!$B$30,1))</f>
        <v/>
      </c>
      <c r="AK16" s="222"/>
      <c r="AL16" s="229" t="str">
        <f t="shared" si="1"/>
        <v/>
      </c>
      <c r="AM16" s="229" t="str">
        <f t="shared" si="2"/>
        <v/>
      </c>
      <c r="AN16" s="229" t="str">
        <f t="shared" si="3"/>
        <v/>
      </c>
      <c r="AO16" s="230" t="str">
        <f t="shared" si="4"/>
        <v/>
      </c>
      <c r="AP16" s="230" t="str">
        <f t="shared" si="5"/>
        <v/>
      </c>
      <c r="AQ16" s="223"/>
      <c r="AR16" s="232" t="str">
        <f t="shared" si="6"/>
        <v/>
      </c>
      <c r="AS16" s="232" t="str">
        <f t="shared" ref="AS16" si="23">IF(OR(W16="",AM16="",W16=0),"", AM16/W16)</f>
        <v/>
      </c>
      <c r="AT16" s="232" t="str">
        <f t="shared" si="7"/>
        <v/>
      </c>
      <c r="AU16" s="232" t="str">
        <f t="shared" si="8"/>
        <v/>
      </c>
      <c r="AV16" s="232" t="str">
        <f t="shared" si="9"/>
        <v/>
      </c>
      <c r="AW16" s="212"/>
      <c r="AX16" s="300" t="str">
        <f t="shared" si="10"/>
        <v/>
      </c>
      <c r="AY16" s="300" t="str">
        <f t="shared" si="11"/>
        <v/>
      </c>
      <c r="AZ16" s="300" t="str">
        <f t="shared" si="15"/>
        <v/>
      </c>
      <c r="BA16" s="222"/>
      <c r="BB16" s="300" t="str">
        <f t="shared" si="12"/>
        <v/>
      </c>
      <c r="BC16" s="300" t="str">
        <f t="shared" si="16"/>
        <v/>
      </c>
      <c r="BD16" s="300" t="str">
        <f t="shared" si="17"/>
        <v/>
      </c>
      <c r="BE16" s="5"/>
    </row>
    <row r="17" spans="1:57">
      <c r="A17" s="103"/>
      <c r="B17" s="210"/>
      <c r="C17" s="210"/>
      <c r="D17" s="211"/>
      <c r="E17" s="410"/>
      <c r="F17" s="210"/>
      <c r="G17" s="212" t="str">
        <f>IF(OR(ISBLANK($B17),ISBLANK($C17)),"",INDEX('TRU Ops &amp; Costs'!$D$4:$D$74,MATCH($B17&amp;$C17,'TRU Ops &amp; Costs'!$P$4:$P$74,0))/0.7457)</f>
        <v/>
      </c>
      <c r="H17" s="213" t="str">
        <f>IF(OR(ISBLANK($B17),ISBLANK($C17)),"",INDEX('TRU Ops &amp; Costs'!$E$4:$E$74,MATCH($B17&amp;$C17,'TRU Ops &amp; Costs'!$P$4:$P$74,0)))</f>
        <v/>
      </c>
      <c r="I17" s="212" t="str">
        <f>IF(OR(ISBLANK($B17),ISBLANK($C17)),"",INDEX('TRU Ops &amp; Costs'!$F$4:$F$74,MATCH($B17&amp;$C17,'TRU Ops &amp; Costs'!$P$4:$P$74,0)))</f>
        <v/>
      </c>
      <c r="J17" s="214" t="str">
        <f>IF(OR(ISBLANK($B17),ISBLANK($C17)),"",INDEX('TRU Ops &amp; Costs'!$G$4:$G$74,MATCH($B17&amp;$C17,'TRU Ops &amp; Costs'!$P$4:$P$74,0)))</f>
        <v/>
      </c>
      <c r="K17" s="212" t="str">
        <f t="shared" si="13"/>
        <v/>
      </c>
      <c r="L17" s="215" t="str">
        <f>IF(ISBLANK($F17),"",INDEX('Diesel Fuel Prices'!$D$5:$D$31,MATCH($F17,'Diesel Fuel Prices'!$B$5:$B$31,0))*References!$B$38/References!$B$37)</f>
        <v/>
      </c>
      <c r="M17" s="215" t="str">
        <f>IF(ISBLANK($F17),"",VLOOKUP($F17,'Electricity Prices'!$B$4:$F$31,5,FALSE)*References!$B$38/References!$B$37)</f>
        <v/>
      </c>
      <c r="N17" s="216" t="str">
        <f>IF(OR(ISBLANK($B17),ISBLANK($C17)),"",INDEX('TRU Ops &amp; Costs'!$I$4:$I$74,MATCH($B17&amp;$C17,'TRU Ops &amp; Costs'!$P$4:$P$74,0)))</f>
        <v/>
      </c>
      <c r="O17" s="216" t="str">
        <f>IF(OR(ISBLANK($B17),ISBLANK($C17)),"",IF(E17="Yard",INDEX('TRU Ops &amp; Costs'!$J$4:$J$74,MATCH($B17&amp;$C17,'TRU Ops &amp; Costs'!$P$4:$P$74,0)),INDEX('TRU Ops &amp; Costs'!$K$4:$K$74,MATCH($B17&amp;$C17,'TRU Ops &amp; Costs'!$P$4:$P$74,0))))</f>
        <v/>
      </c>
      <c r="P17" s="216" t="str">
        <f>IF(OR(ISBLANK($B17),ISBLANK($C17)),"",$K17*INDEX('TRU Ops &amp; Costs'!$M$4:$M$74,MATCH($B17&amp;$C17,'TRU Ops &amp; Costs'!$P$4:$P$74,0))*-INDEX('TRU Ops &amp; Costs'!$L$4:$L$74,MATCH($B17&amp;$C17,'TRU Ops &amp; Costs'!$P$4:$P$74,0)))</f>
        <v/>
      </c>
      <c r="Q17" s="212"/>
      <c r="R17" s="233" t="str">
        <f t="shared" si="18"/>
        <v/>
      </c>
      <c r="S17" s="217" t="str">
        <f t="shared" si="0"/>
        <v/>
      </c>
      <c r="T17" s="218" t="str">
        <f>IF(ISBLANK($F17),"",INDEX('eGRID2018 Subregion'!$J$7:$J$33,MATCH($F17,RegionGEN,0)))</f>
        <v/>
      </c>
      <c r="U17" s="212"/>
      <c r="V17" s="219" t="str">
        <f>IF(OR(ISBLANK($B17),ISBLANK($C17),$R17=""),"",ROUND($R17*INDEX('Diesel TRU Emission Factors'!$D$6:$D$76,MATCH($B17&amp;$C17,'Diesel TRU Emission Factors'!$R$6:$R$77,0))*GramsToMT,4))</f>
        <v/>
      </c>
      <c r="W17" s="219" t="str">
        <f>IF(OR(ISBLANK($B17),ISBLANK($C17),$R17=""),"",ROUND($R17*INDEX('Diesel TRU Emission Factors'!$E$6:$E$76,MATCH($B17&amp;$C17,'Diesel TRU Emission Factors'!$R$6:$R$77,0))*GramsToMT,4))</f>
        <v/>
      </c>
      <c r="X17" s="219" t="str">
        <f>IF(OR(ISBLANK($B17),ISBLANK($C17),$R17=""),"",ROUND($R17*INDEX('Diesel TRU Emission Factors'!$H$6:$H$76,MATCH($B17&amp;$C17,'Diesel TRU Emission Factors'!$R$6:$R$77,0))*GramsToMT,4))</f>
        <v/>
      </c>
      <c r="Y17" s="220" t="str">
        <f>IF(OR(ISBLANK($B17),ISBLANK($C17),$R17=""),"",ROUND($R17*INDEX('Diesel TRU Emission Factors'!$F$6:$F$76,MATCH($B17&amp;$C17,'Diesel TRU Emission Factors'!$R$6:$R$77,0))*GramsToMT,1))</f>
        <v/>
      </c>
      <c r="Z17" s="220" t="str">
        <f>IF(OR(ISBLANK($B17),ISBLANK($C17),$R17=""),"",$R17*INDEX('Diesel TRU Emission Factors'!$G$6:$G$76,MATCH($B17&amp;$C17,'Diesel TRU Emission Factors'!$R$6:$R$77,0))*GramsToMT)</f>
        <v/>
      </c>
      <c r="AA17" s="221" t="str">
        <f>IF(ISBLANK(F17),"",R17*GalTokWh*'Diesel TRU Emission Factors'!$P$4/1000000)</f>
        <v/>
      </c>
      <c r="AB17" s="221" t="str">
        <f>IF(ISBLANK($F17),"",ROUND(Y17*References!$B$28+Z17*References!$B$29+AA17*References!$B$30,1))</f>
        <v/>
      </c>
      <c r="AC17" s="222"/>
      <c r="AD17" s="219" t="str">
        <f>IF(OR(ISBLANK($F17),$S17="",$T17=""),"",ROUND($S17*(1+$T17)*INDEX('eGRID2018 Subregion'!$C$7:$C$33,MATCH($F17,RegionGEN,0))*GramsToMT,4))</f>
        <v/>
      </c>
      <c r="AE17" s="219" t="str">
        <f>IF(OR(ISBLANK($F17),$S17="",$T17=""),"",ROUND($S17*(1+$T17)*INDEX('eGRID2018 Subregion'!$D$7:$D$33,MATCH($F17,RegionGEN,0))*GramsToMT,4))</f>
        <v/>
      </c>
      <c r="AF17" s="219" t="str">
        <f>IF(OR(ISBLANK($F17),$S17="",$T17=""),"",ROUND($S17*(1+$T17)*INDEX('eGRID2018 Subregion'!$I$7:$I$33,MATCH($F17,RegionGEN,0))*GramsToMT,4))</f>
        <v/>
      </c>
      <c r="AG17" s="220" t="str">
        <f>IF(OR(ISBLANK($F17),$S17="",$T17=""),"",ROUND($S17*(1+$T17)*INDEX('eGRID2018 Subregion'!$E$7:$E$33,MATCH($F17,RegionGEN,0))*GramsToMT,1))</f>
        <v/>
      </c>
      <c r="AH17" s="220" t="str">
        <f>IF(OR(ISBLANK($F17),$S17="",$T17=""),"",$S17*(1+$T17)*INDEX('eGRID2018 Subregion'!$F$7:$F$33,MATCH($F17,RegionGEN,0))*GramsToMT)</f>
        <v/>
      </c>
      <c r="AI17" s="220" t="str">
        <f>IF(OR(ISBLANK($F17),$S17="",$T17=""),"",$S17*(1+$T17)*INDEX('eGRID2018 Subregion'!$G$7:$G$33,MATCH($F17,RegionGEN,0))*GramsToMT)</f>
        <v/>
      </c>
      <c r="AJ17" s="220" t="str">
        <f>IF(ISBLANK($F17),"",ROUND(AG17*References!$B$28+AH17*References!$B$29+AI17*References!$B$30,1))</f>
        <v/>
      </c>
      <c r="AK17" s="222"/>
      <c r="AL17" s="219" t="str">
        <f t="shared" si="1"/>
        <v/>
      </c>
      <c r="AM17" s="219" t="str">
        <f t="shared" si="2"/>
        <v/>
      </c>
      <c r="AN17" s="219" t="str">
        <f t="shared" si="3"/>
        <v/>
      </c>
      <c r="AO17" s="220" t="str">
        <f t="shared" si="4"/>
        <v/>
      </c>
      <c r="AP17" s="220" t="str">
        <f t="shared" si="5"/>
        <v/>
      </c>
      <c r="AQ17" s="223"/>
      <c r="AR17" s="224" t="str">
        <f t="shared" si="6"/>
        <v/>
      </c>
      <c r="AS17" s="224" t="str">
        <f>IF(OR($W17="",$AM17="",$W17=0),"", $AM17/$W17)</f>
        <v/>
      </c>
      <c r="AT17" s="224" t="str">
        <f t="shared" si="7"/>
        <v/>
      </c>
      <c r="AU17" s="224" t="str">
        <f t="shared" si="8"/>
        <v/>
      </c>
      <c r="AV17" s="224" t="str">
        <f t="shared" si="9"/>
        <v/>
      </c>
      <c r="AW17" s="212"/>
      <c r="AX17" s="301" t="str">
        <f t="shared" si="10"/>
        <v/>
      </c>
      <c r="AY17" s="301" t="str">
        <f t="shared" si="11"/>
        <v/>
      </c>
      <c r="AZ17" s="301" t="str">
        <f t="shared" si="15"/>
        <v/>
      </c>
      <c r="BA17" s="222"/>
      <c r="BB17" s="301" t="str">
        <f t="shared" si="12"/>
        <v/>
      </c>
      <c r="BC17" s="301" t="str">
        <f t="shared" si="16"/>
        <v/>
      </c>
      <c r="BD17" s="301" t="str">
        <f t="shared" si="17"/>
        <v/>
      </c>
      <c r="BE17" s="5"/>
    </row>
    <row r="18" spans="1:57">
      <c r="A18" s="105"/>
      <c r="B18" s="225"/>
      <c r="C18" s="225"/>
      <c r="D18" s="226"/>
      <c r="E18" s="411"/>
      <c r="F18" s="225"/>
      <c r="G18" s="212" t="str">
        <f>IF(OR(ISBLANK($B18),ISBLANK($C18)),"",INDEX('TRU Ops &amp; Costs'!$D$4:$D$74,MATCH($B18&amp;$C18,'TRU Ops &amp; Costs'!$P$4:$P$74,0))/0.7457)</f>
        <v/>
      </c>
      <c r="H18" s="213" t="str">
        <f>IF(OR(ISBLANK($B18),ISBLANK($C18)),"",INDEX('TRU Ops &amp; Costs'!$E$4:$E$74,MATCH($B18&amp;$C18,'TRU Ops &amp; Costs'!$P$4:$P$74,0)))</f>
        <v/>
      </c>
      <c r="I18" s="212" t="str">
        <f>IF(OR(ISBLANK($B18),ISBLANK($C18)),"",INDEX('TRU Ops &amp; Costs'!$F$4:$F$74,MATCH($B18&amp;$C18,'TRU Ops &amp; Costs'!$P$4:$P$74,0)))</f>
        <v/>
      </c>
      <c r="J18" s="214" t="str">
        <f>IF(OR(ISBLANK($B18),ISBLANK($C18)),"",INDEX('TRU Ops &amp; Costs'!$G$4:$G$74,MATCH($B18&amp;$C18,'TRU Ops &amp; Costs'!$P$4:$P$74,0)))</f>
        <v/>
      </c>
      <c r="K18" s="212" t="str">
        <f t="shared" si="13"/>
        <v/>
      </c>
      <c r="L18" s="215" t="str">
        <f>IF(ISBLANK($F18),"",INDEX('Diesel Fuel Prices'!$D$5:$D$31,MATCH($F18,'Diesel Fuel Prices'!$B$5:$B$31,0))*References!$B$38/References!$B$37)</f>
        <v/>
      </c>
      <c r="M18" s="215" t="str">
        <f>IF(ISBLANK($F18),"",VLOOKUP($F18,'Electricity Prices'!$B$4:$F$31,5,FALSE)*References!$B$38/References!$B$37)</f>
        <v/>
      </c>
      <c r="N18" s="216" t="str">
        <f>IF(OR(ISBLANK($B18),ISBLANK($C18)),"",INDEX('TRU Ops &amp; Costs'!$I$4:$I$74,MATCH($B18&amp;$C18,'TRU Ops &amp; Costs'!$P$4:$P$74,0)))</f>
        <v/>
      </c>
      <c r="O18" s="216" t="str">
        <f>IF(OR(ISBLANK($B18),ISBLANK($C18)),"",IF(E18="Yard",INDEX('TRU Ops &amp; Costs'!$J$4:$J$74,MATCH($B18&amp;$C18,'TRU Ops &amp; Costs'!$P$4:$P$74,0)),INDEX('TRU Ops &amp; Costs'!$K$4:$K$74,MATCH($B18&amp;$C18,'TRU Ops &amp; Costs'!$P$4:$P$74,0))))</f>
        <v/>
      </c>
      <c r="P18" s="216" t="str">
        <f>IF(OR(ISBLANK($B18),ISBLANK($C18)),"",$K18*INDEX('TRU Ops &amp; Costs'!$M$4:$M$74,MATCH($B18&amp;$C18,'TRU Ops &amp; Costs'!$P$4:$P$74,0))*-INDEX('TRU Ops &amp; Costs'!$L$4:$L$74,MATCH($B18&amp;$C18,'TRU Ops &amp; Costs'!$P$4:$P$74,0)))</f>
        <v/>
      </c>
      <c r="Q18" s="212"/>
      <c r="R18" s="234" t="str">
        <f t="shared" si="18"/>
        <v/>
      </c>
      <c r="S18" s="227" t="str">
        <f t="shared" si="0"/>
        <v/>
      </c>
      <c r="T18" s="228" t="str">
        <f>IF(ISBLANK($F18),"",INDEX('eGRID2018 Subregion'!$J$7:$J$33,MATCH($F18,RegionGEN,0)))</f>
        <v/>
      </c>
      <c r="U18" s="212"/>
      <c r="V18" s="229" t="str">
        <f>IF(OR(ISBLANK($B18),ISBLANK($C18),$R18=""),"",ROUND($R18*INDEX('Diesel TRU Emission Factors'!$D$6:$D$76,MATCH($B18&amp;$C18,'Diesel TRU Emission Factors'!$R$6:$R$77,0))*GramsToMT,4))</f>
        <v/>
      </c>
      <c r="W18" s="229" t="str">
        <f>IF(OR(ISBLANK($B18),ISBLANK($C18),$R18=""),"",ROUND($R18*INDEX('Diesel TRU Emission Factors'!$E$6:$E$76,MATCH($B18&amp;$C18,'Diesel TRU Emission Factors'!$R$6:$R$77,0))*GramsToMT,4))</f>
        <v/>
      </c>
      <c r="X18" s="229" t="str">
        <f>IF(OR(ISBLANK($B18),ISBLANK($C18),$R18=""),"",ROUND($R18*INDEX('Diesel TRU Emission Factors'!$H$6:$H$76,MATCH($B18&amp;$C18,'Diesel TRU Emission Factors'!$R$6:$R$77,0))*GramsToMT,4))</f>
        <v/>
      </c>
      <c r="Y18" s="230" t="str">
        <f>IF(OR(ISBLANK($B18),ISBLANK($C18),$R18=""),"",ROUND($R18*INDEX('Diesel TRU Emission Factors'!$F$6:$F$76,MATCH($B18&amp;$C18,'Diesel TRU Emission Factors'!$R$6:$R$77,0))*GramsToMT,1))</f>
        <v/>
      </c>
      <c r="Z18" s="230" t="str">
        <f>IF(OR(ISBLANK($B18),ISBLANK($C18),$R18=""),"",$R18*INDEX('Diesel TRU Emission Factors'!$G$6:$G$76,MATCH($B18&amp;$C18,'Diesel TRU Emission Factors'!$R$6:$R$77,0))*GramsToMT)</f>
        <v/>
      </c>
      <c r="AA18" s="231" t="str">
        <f>IF(ISBLANK(F18),"",R18*GalTokWh*'Diesel TRU Emission Factors'!$P$4/1000000)</f>
        <v/>
      </c>
      <c r="AB18" s="231" t="str">
        <f>IF(ISBLANK($F18),"",ROUND(Y18*References!$B$28+Z18*References!$B$29+AA18*References!$B$30,1))</f>
        <v/>
      </c>
      <c r="AC18" s="222"/>
      <c r="AD18" s="229" t="str">
        <f>IF(OR(ISBLANK($F18),$S18="",$T18=""),"",ROUND($S18*(1+$T18)*INDEX('eGRID2018 Subregion'!$C$7:$C$33,MATCH($F18,RegionGEN,0))*GramsToMT,4))</f>
        <v/>
      </c>
      <c r="AE18" s="229" t="str">
        <f>IF(OR(ISBLANK($F18),$S18="",$T18=""),"",ROUND($S18*(1+$T18)*INDEX('eGRID2018 Subregion'!$D$7:$D$33,MATCH($F18,RegionGEN,0))*GramsToMT,4))</f>
        <v/>
      </c>
      <c r="AF18" s="229" t="str">
        <f>IF(OR(ISBLANK($F18),$S18="",$T18=""),"",ROUND($S18*(1+$T18)*INDEX('eGRID2018 Subregion'!$I$7:$I$33,MATCH($F18,RegionGEN,0))*GramsToMT,4))</f>
        <v/>
      </c>
      <c r="AG18" s="230" t="str">
        <f>IF(OR(ISBLANK($F18),$S18="",$T18=""),"",ROUND($S18*(1+$T18)*INDEX('eGRID2018 Subregion'!$E$7:$E$33,MATCH($F18,RegionGEN,0))*GramsToMT,1))</f>
        <v/>
      </c>
      <c r="AH18" s="230" t="str">
        <f>IF(OR(ISBLANK($F18),$S18="",$T18=""),"",$S18*(1+$T18)*INDEX('eGRID2018 Subregion'!$F$7:$F$33,MATCH($F18,RegionGEN,0))*GramsToMT)</f>
        <v/>
      </c>
      <c r="AI18" s="230" t="str">
        <f>IF(OR(ISBLANK($F18),$S18="",$T18=""),"",$S18*(1+$T18)*INDEX('eGRID2018 Subregion'!$G$7:$G$33,MATCH($F18,RegionGEN,0))*GramsToMT)</f>
        <v/>
      </c>
      <c r="AJ18" s="230" t="str">
        <f>IF(ISBLANK($F18),"",ROUND(AG18*References!$B$28+AH18*References!$B$29+AI18*References!$B$30,1))</f>
        <v/>
      </c>
      <c r="AK18" s="222"/>
      <c r="AL18" s="229" t="str">
        <f t="shared" si="1"/>
        <v/>
      </c>
      <c r="AM18" s="229" t="str">
        <f t="shared" si="2"/>
        <v/>
      </c>
      <c r="AN18" s="229" t="str">
        <f t="shared" si="3"/>
        <v/>
      </c>
      <c r="AO18" s="230" t="str">
        <f t="shared" si="4"/>
        <v/>
      </c>
      <c r="AP18" s="230" t="str">
        <f t="shared" si="5"/>
        <v/>
      </c>
      <c r="AQ18" s="223"/>
      <c r="AR18" s="232" t="str">
        <f t="shared" si="6"/>
        <v/>
      </c>
      <c r="AS18" s="232" t="str">
        <f t="shared" ref="AS18" si="24">IF(OR(W18="",AM18="",W18=0),"", AM18/W18)</f>
        <v/>
      </c>
      <c r="AT18" s="232" t="str">
        <f t="shared" si="7"/>
        <v/>
      </c>
      <c r="AU18" s="232" t="str">
        <f t="shared" si="8"/>
        <v/>
      </c>
      <c r="AV18" s="232" t="str">
        <f t="shared" si="9"/>
        <v/>
      </c>
      <c r="AW18" s="212"/>
      <c r="AX18" s="300" t="str">
        <f t="shared" si="10"/>
        <v/>
      </c>
      <c r="AY18" s="300" t="str">
        <f t="shared" si="11"/>
        <v/>
      </c>
      <c r="AZ18" s="300" t="str">
        <f t="shared" si="15"/>
        <v/>
      </c>
      <c r="BA18" s="222"/>
      <c r="BB18" s="300" t="str">
        <f t="shared" si="12"/>
        <v/>
      </c>
      <c r="BC18" s="300" t="str">
        <f t="shared" si="16"/>
        <v/>
      </c>
      <c r="BD18" s="300" t="str">
        <f t="shared" si="17"/>
        <v/>
      </c>
      <c r="BE18" s="5"/>
    </row>
    <row r="19" spans="1:57">
      <c r="A19" s="103"/>
      <c r="B19" s="210"/>
      <c r="C19" s="210"/>
      <c r="D19" s="211"/>
      <c r="E19" s="410"/>
      <c r="F19" s="210"/>
      <c r="G19" s="212" t="str">
        <f>IF(OR(ISBLANK($B19),ISBLANK($C19)),"",INDEX('TRU Ops &amp; Costs'!$D$4:$D$74,MATCH($B19&amp;$C19,'TRU Ops &amp; Costs'!$P$4:$P$74,0))/0.7457)</f>
        <v/>
      </c>
      <c r="H19" s="213" t="str">
        <f>IF(OR(ISBLANK($B19),ISBLANK($C19)),"",INDEX('TRU Ops &amp; Costs'!$E$4:$E$74,MATCH($B19&amp;$C19,'TRU Ops &amp; Costs'!$P$4:$P$74,0)))</f>
        <v/>
      </c>
      <c r="I19" s="212" t="str">
        <f>IF(OR(ISBLANK($B19),ISBLANK($C19)),"",INDEX('TRU Ops &amp; Costs'!$F$4:$F$74,MATCH($B19&amp;$C19,'TRU Ops &amp; Costs'!$P$4:$P$74,0)))</f>
        <v/>
      </c>
      <c r="J19" s="214" t="str">
        <f>IF(OR(ISBLANK($B19),ISBLANK($C19)),"",INDEX('TRU Ops &amp; Costs'!$G$4:$G$74,MATCH($B19&amp;$C19,'TRU Ops &amp; Costs'!$P$4:$P$74,0)))</f>
        <v/>
      </c>
      <c r="K19" s="212" t="str">
        <f t="shared" si="13"/>
        <v/>
      </c>
      <c r="L19" s="215" t="str">
        <f>IF(ISBLANK($F19),"",INDEX('Diesel Fuel Prices'!$D$5:$D$31,MATCH($F19,'Diesel Fuel Prices'!$B$5:$B$31,0))*References!$B$38/References!$B$37)</f>
        <v/>
      </c>
      <c r="M19" s="215" t="str">
        <f>IF(ISBLANK($F19),"",VLOOKUP($F19,'Electricity Prices'!$B$4:$F$31,5,FALSE)*References!$B$38/References!$B$37)</f>
        <v/>
      </c>
      <c r="N19" s="216" t="str">
        <f>IF(OR(ISBLANK($B19),ISBLANK($C19)),"",INDEX('TRU Ops &amp; Costs'!$I$4:$I$74,MATCH($B19&amp;$C19,'TRU Ops &amp; Costs'!$P$4:$P$74,0)))</f>
        <v/>
      </c>
      <c r="O19" s="216" t="str">
        <f>IF(OR(ISBLANK($B19),ISBLANK($C19)),"",IF(E19="Yard",INDEX('TRU Ops &amp; Costs'!$J$4:$J$74,MATCH($B19&amp;$C19,'TRU Ops &amp; Costs'!$P$4:$P$74,0)),INDEX('TRU Ops &amp; Costs'!$K$4:$K$74,MATCH($B19&amp;$C19,'TRU Ops &amp; Costs'!$P$4:$P$74,0))))</f>
        <v/>
      </c>
      <c r="P19" s="216" t="str">
        <f>IF(OR(ISBLANK($B19),ISBLANK($C19)),"",$K19*INDEX('TRU Ops &amp; Costs'!$M$4:$M$74,MATCH($B19&amp;$C19,'TRU Ops &amp; Costs'!$P$4:$P$74,0))*-INDEX('TRU Ops &amp; Costs'!$L$4:$L$74,MATCH($B19&amp;$C19,'TRU Ops &amp; Costs'!$P$4:$P$74,0)))</f>
        <v/>
      </c>
      <c r="Q19" s="212"/>
      <c r="R19" s="233" t="str">
        <f t="shared" si="18"/>
        <v/>
      </c>
      <c r="S19" s="217" t="str">
        <f t="shared" si="0"/>
        <v/>
      </c>
      <c r="T19" s="218" t="str">
        <f>IF(ISBLANK($F19),"",INDEX('eGRID2018 Subregion'!$J$7:$J$33,MATCH($F19,RegionGEN,0)))</f>
        <v/>
      </c>
      <c r="U19" s="212"/>
      <c r="V19" s="219" t="str">
        <f>IF(OR(ISBLANK($B19),ISBLANK($C19),$R19=""),"",ROUND($R19*INDEX('Diesel TRU Emission Factors'!$D$6:$D$76,MATCH($B19&amp;$C19,'Diesel TRU Emission Factors'!$R$6:$R$77,0))*GramsToMT,4))</f>
        <v/>
      </c>
      <c r="W19" s="219" t="str">
        <f>IF(OR(ISBLANK($B19),ISBLANK($C19),$R19=""),"",ROUND($R19*INDEX('Diesel TRU Emission Factors'!$E$6:$E$76,MATCH($B19&amp;$C19,'Diesel TRU Emission Factors'!$R$6:$R$77,0))*GramsToMT,4))</f>
        <v/>
      </c>
      <c r="X19" s="219" t="str">
        <f>IF(OR(ISBLANK($B19),ISBLANK($C19),$R19=""),"",ROUND($R19*INDEX('Diesel TRU Emission Factors'!$H$6:$H$76,MATCH($B19&amp;$C19,'Diesel TRU Emission Factors'!$R$6:$R$77,0))*GramsToMT,4))</f>
        <v/>
      </c>
      <c r="Y19" s="220" t="str">
        <f>IF(OR(ISBLANK($B19),ISBLANK($C19),$R19=""),"",ROUND($R19*INDEX('Diesel TRU Emission Factors'!$F$6:$F$76,MATCH($B19&amp;$C19,'Diesel TRU Emission Factors'!$R$6:$R$77,0))*GramsToMT,1))</f>
        <v/>
      </c>
      <c r="Z19" s="220" t="str">
        <f>IF(OR(ISBLANK($B19),ISBLANK($C19),$R19=""),"",$R19*INDEX('Diesel TRU Emission Factors'!$G$6:$G$76,MATCH($B19&amp;$C19,'Diesel TRU Emission Factors'!$R$6:$R$77,0))*GramsToMT)</f>
        <v/>
      </c>
      <c r="AA19" s="221" t="str">
        <f>IF(ISBLANK(F19),"",R19*GalTokWh*'Diesel TRU Emission Factors'!$P$4/1000000)</f>
        <v/>
      </c>
      <c r="AB19" s="221" t="str">
        <f>IF(ISBLANK($F19),"",ROUND(Y19*References!$B$28+Z19*References!$B$29+AA19*References!$B$30,1))</f>
        <v/>
      </c>
      <c r="AC19" s="222"/>
      <c r="AD19" s="219" t="str">
        <f>IF(OR(ISBLANK($F19),$S19="",$T19=""),"",ROUND($S19*(1+$T19)*INDEX('eGRID2018 Subregion'!$C$7:$C$33,MATCH($F19,RegionGEN,0))*GramsToMT,4))</f>
        <v/>
      </c>
      <c r="AE19" s="219" t="str">
        <f>IF(OR(ISBLANK($F19),$S19="",$T19=""),"",ROUND($S19*(1+$T19)*INDEX('eGRID2018 Subregion'!$D$7:$D$33,MATCH($F19,RegionGEN,0))*GramsToMT,4))</f>
        <v/>
      </c>
      <c r="AF19" s="219" t="str">
        <f>IF(OR(ISBLANK($F19),$S19="",$T19=""),"",ROUND($S19*(1+$T19)*INDEX('eGRID2018 Subregion'!$I$7:$I$33,MATCH($F19,RegionGEN,0))*GramsToMT,4))</f>
        <v/>
      </c>
      <c r="AG19" s="220" t="str">
        <f>IF(OR(ISBLANK($F19),$S19="",$T19=""),"",ROUND($S19*(1+$T19)*INDEX('eGRID2018 Subregion'!$E$7:$E$33,MATCH($F19,RegionGEN,0))*GramsToMT,1))</f>
        <v/>
      </c>
      <c r="AH19" s="220" t="str">
        <f>IF(OR(ISBLANK($F19),$S19="",$T19=""),"",$S19*(1+$T19)*INDEX('eGRID2018 Subregion'!$F$7:$F$33,MATCH($F19,RegionGEN,0))*GramsToMT)</f>
        <v/>
      </c>
      <c r="AI19" s="220" t="str">
        <f>IF(OR(ISBLANK($F19),$S19="",$T19=""),"",$S19*(1+$T19)*INDEX('eGRID2018 Subregion'!$G$7:$G$33,MATCH($F19,RegionGEN,0))*GramsToMT)</f>
        <v/>
      </c>
      <c r="AJ19" s="220" t="str">
        <f>IF(ISBLANK($F19),"",ROUND(AG19*References!$B$28+AH19*References!$B$29+AI19*References!$B$30,1))</f>
        <v/>
      </c>
      <c r="AK19" s="222"/>
      <c r="AL19" s="219" t="str">
        <f t="shared" si="1"/>
        <v/>
      </c>
      <c r="AM19" s="219" t="str">
        <f t="shared" si="2"/>
        <v/>
      </c>
      <c r="AN19" s="219" t="str">
        <f t="shared" si="3"/>
        <v/>
      </c>
      <c r="AO19" s="220" t="str">
        <f t="shared" si="4"/>
        <v/>
      </c>
      <c r="AP19" s="220" t="str">
        <f t="shared" si="5"/>
        <v/>
      </c>
      <c r="AQ19" s="223"/>
      <c r="AR19" s="224" t="str">
        <f t="shared" si="6"/>
        <v/>
      </c>
      <c r="AS19" s="224" t="str">
        <f>IF(OR($W19="",$AM19="",$W19=0),"", $AM19/$W19)</f>
        <v/>
      </c>
      <c r="AT19" s="224" t="str">
        <f t="shared" si="7"/>
        <v/>
      </c>
      <c r="AU19" s="224" t="str">
        <f t="shared" si="8"/>
        <v/>
      </c>
      <c r="AV19" s="224" t="str">
        <f t="shared" si="9"/>
        <v/>
      </c>
      <c r="AW19" s="212"/>
      <c r="AX19" s="301" t="str">
        <f t="shared" si="10"/>
        <v/>
      </c>
      <c r="AY19" s="301" t="str">
        <f t="shared" si="11"/>
        <v/>
      </c>
      <c r="AZ19" s="301" t="str">
        <f t="shared" si="15"/>
        <v/>
      </c>
      <c r="BA19" s="222"/>
      <c r="BB19" s="301" t="str">
        <f t="shared" si="12"/>
        <v/>
      </c>
      <c r="BC19" s="301" t="str">
        <f t="shared" si="16"/>
        <v/>
      </c>
      <c r="BD19" s="301" t="str">
        <f t="shared" si="17"/>
        <v/>
      </c>
      <c r="BE19" s="5"/>
    </row>
    <row r="20" spans="1:57">
      <c r="A20" s="105"/>
      <c r="B20" s="225"/>
      <c r="C20" s="225"/>
      <c r="D20" s="226"/>
      <c r="E20" s="411"/>
      <c r="F20" s="225"/>
      <c r="G20" s="212" t="str">
        <f>IF(OR(ISBLANK($B20),ISBLANK($C20)),"",INDEX('TRU Ops &amp; Costs'!$D$4:$D$74,MATCH($B20&amp;$C20,'TRU Ops &amp; Costs'!$P$4:$P$74,0))/0.7457)</f>
        <v/>
      </c>
      <c r="H20" s="213" t="str">
        <f>IF(OR(ISBLANK($B20),ISBLANK($C20)),"",INDEX('TRU Ops &amp; Costs'!$E$4:$E$74,MATCH($B20&amp;$C20,'TRU Ops &amp; Costs'!$P$4:$P$74,0)))</f>
        <v/>
      </c>
      <c r="I20" s="212" t="str">
        <f>IF(OR(ISBLANK($B20),ISBLANK($C20)),"",INDEX('TRU Ops &amp; Costs'!$F$4:$F$74,MATCH($B20&amp;$C20,'TRU Ops &amp; Costs'!$P$4:$P$74,0)))</f>
        <v/>
      </c>
      <c r="J20" s="214" t="str">
        <f>IF(OR(ISBLANK($B20),ISBLANK($C20)),"",INDEX('TRU Ops &amp; Costs'!$G$4:$G$74,MATCH($B20&amp;$C20,'TRU Ops &amp; Costs'!$P$4:$P$74,0)))</f>
        <v/>
      </c>
      <c r="K20" s="212" t="str">
        <f t="shared" si="13"/>
        <v/>
      </c>
      <c r="L20" s="215" t="str">
        <f>IF(ISBLANK($F20),"",INDEX('Diesel Fuel Prices'!$D$5:$D$31,MATCH($F20,'Diesel Fuel Prices'!$B$5:$B$31,0))*References!$B$38/References!$B$37)</f>
        <v/>
      </c>
      <c r="M20" s="215" t="str">
        <f>IF(ISBLANK($F20),"",VLOOKUP($F20,'Electricity Prices'!$B$4:$F$31,5,FALSE)*References!$B$38/References!$B$37)</f>
        <v/>
      </c>
      <c r="N20" s="216" t="str">
        <f>IF(OR(ISBLANK($B20),ISBLANK($C20)),"",INDEX('TRU Ops &amp; Costs'!$I$4:$I$74,MATCH($B20&amp;$C20,'TRU Ops &amp; Costs'!$P$4:$P$74,0)))</f>
        <v/>
      </c>
      <c r="O20" s="216" t="str">
        <f>IF(OR(ISBLANK($B20),ISBLANK($C20)),"",IF(E20="Yard",INDEX('TRU Ops &amp; Costs'!$J$4:$J$74,MATCH($B20&amp;$C20,'TRU Ops &amp; Costs'!$P$4:$P$74,0)),INDEX('TRU Ops &amp; Costs'!$K$4:$K$74,MATCH($B20&amp;$C20,'TRU Ops &amp; Costs'!$P$4:$P$74,0))))</f>
        <v/>
      </c>
      <c r="P20" s="216" t="str">
        <f>IF(OR(ISBLANK($B20),ISBLANK($C20)),"",$K20*INDEX('TRU Ops &amp; Costs'!$M$4:$M$74,MATCH($B20&amp;$C20,'TRU Ops &amp; Costs'!$P$4:$P$74,0))*-INDEX('TRU Ops &amp; Costs'!$L$4:$L$74,MATCH($B20&amp;$C20,'TRU Ops &amp; Costs'!$P$4:$P$74,0)))</f>
        <v/>
      </c>
      <c r="Q20" s="212"/>
      <c r="R20" s="234" t="str">
        <f t="shared" si="18"/>
        <v/>
      </c>
      <c r="S20" s="227" t="str">
        <f t="shared" si="0"/>
        <v/>
      </c>
      <c r="T20" s="228" t="str">
        <f>IF(ISBLANK($F20),"",INDEX('eGRID2018 Subregion'!$J$7:$J$33,MATCH($F20,RegionGEN,0)))</f>
        <v/>
      </c>
      <c r="U20" s="212"/>
      <c r="V20" s="229" t="str">
        <f>IF(OR(ISBLANK($B20),ISBLANK($C20),$R20=""),"",ROUND($R20*INDEX('Diesel TRU Emission Factors'!$D$6:$D$76,MATCH($B20&amp;$C20,'Diesel TRU Emission Factors'!$R$6:$R$77,0))*GramsToMT,4))</f>
        <v/>
      </c>
      <c r="W20" s="229" t="str">
        <f>IF(OR(ISBLANK($B20),ISBLANK($C20),$R20=""),"",ROUND($R20*INDEX('Diesel TRU Emission Factors'!$E$6:$E$76,MATCH($B20&amp;$C20,'Diesel TRU Emission Factors'!$R$6:$R$77,0))*GramsToMT,4))</f>
        <v/>
      </c>
      <c r="X20" s="229" t="str">
        <f>IF(OR(ISBLANK($B20),ISBLANK($C20),$R20=""),"",ROUND($R20*INDEX('Diesel TRU Emission Factors'!$H$6:$H$76,MATCH($B20&amp;$C20,'Diesel TRU Emission Factors'!$R$6:$R$77,0))*GramsToMT,4))</f>
        <v/>
      </c>
      <c r="Y20" s="230" t="str">
        <f>IF(OR(ISBLANK($B20),ISBLANK($C20),$R20=""),"",ROUND($R20*INDEX('Diesel TRU Emission Factors'!$F$6:$F$76,MATCH($B20&amp;$C20,'Diesel TRU Emission Factors'!$R$6:$R$77,0))*GramsToMT,1))</f>
        <v/>
      </c>
      <c r="Z20" s="230" t="str">
        <f>IF(OR(ISBLANK($B20),ISBLANK($C20),$R20=""),"",$R20*INDEX('Diesel TRU Emission Factors'!$G$6:$G$76,MATCH($B20&amp;$C20,'Diesel TRU Emission Factors'!$R$6:$R$77,0))*GramsToMT)</f>
        <v/>
      </c>
      <c r="AA20" s="231" t="str">
        <f>IF(ISBLANK(F20),"",R20*GalTokWh*'Diesel TRU Emission Factors'!$P$4/1000000)</f>
        <v/>
      </c>
      <c r="AB20" s="231" t="str">
        <f>IF(ISBLANK($F20),"",ROUND(Y20*References!$B$28+Z20*References!$B$29+AA20*References!$B$30,1))</f>
        <v/>
      </c>
      <c r="AC20" s="222"/>
      <c r="AD20" s="229" t="str">
        <f>IF(OR(ISBLANK($F20),$S20="",$T20=""),"",ROUND($S20*(1+$T20)*INDEX('eGRID2018 Subregion'!$C$7:$C$33,MATCH($F20,RegionGEN,0))*GramsToMT,4))</f>
        <v/>
      </c>
      <c r="AE20" s="229" t="str">
        <f>IF(OR(ISBLANK($F20),$S20="",$T20=""),"",ROUND($S20*(1+$T20)*INDEX('eGRID2018 Subregion'!$D$7:$D$33,MATCH($F20,RegionGEN,0))*GramsToMT,4))</f>
        <v/>
      </c>
      <c r="AF20" s="229" t="str">
        <f>IF(OR(ISBLANK($F20),$S20="",$T20=""),"",ROUND($S20*(1+$T20)*INDEX('eGRID2018 Subregion'!$I$7:$I$33,MATCH($F20,RegionGEN,0))*GramsToMT,4))</f>
        <v/>
      </c>
      <c r="AG20" s="230" t="str">
        <f>IF(OR(ISBLANK($F20),$S20="",$T20=""),"",ROUND($S20*(1+$T20)*INDEX('eGRID2018 Subregion'!$E$7:$E$33,MATCH($F20,RegionGEN,0))*GramsToMT,1))</f>
        <v/>
      </c>
      <c r="AH20" s="230" t="str">
        <f>IF(OR(ISBLANK($F20),$S20="",$T20=""),"",$S20*(1+$T20)*INDEX('eGRID2018 Subregion'!$F$7:$F$33,MATCH($F20,RegionGEN,0))*GramsToMT)</f>
        <v/>
      </c>
      <c r="AI20" s="230" t="str">
        <f>IF(OR(ISBLANK($F20),$S20="",$T20=""),"",$S20*(1+$T20)*INDEX('eGRID2018 Subregion'!$G$7:$G$33,MATCH($F20,RegionGEN,0))*GramsToMT)</f>
        <v/>
      </c>
      <c r="AJ20" s="230" t="str">
        <f>IF(ISBLANK($F20),"",ROUND(AG20*References!$B$28+AH20*References!$B$29+AI20*References!$B$30,1))</f>
        <v/>
      </c>
      <c r="AK20" s="222"/>
      <c r="AL20" s="229" t="str">
        <f t="shared" si="1"/>
        <v/>
      </c>
      <c r="AM20" s="229" t="str">
        <f t="shared" si="2"/>
        <v/>
      </c>
      <c r="AN20" s="229" t="str">
        <f t="shared" si="3"/>
        <v/>
      </c>
      <c r="AO20" s="230" t="str">
        <f t="shared" si="4"/>
        <v/>
      </c>
      <c r="AP20" s="230" t="str">
        <f t="shared" si="5"/>
        <v/>
      </c>
      <c r="AQ20" s="223"/>
      <c r="AR20" s="232" t="str">
        <f t="shared" si="6"/>
        <v/>
      </c>
      <c r="AS20" s="232" t="str">
        <f t="shared" ref="AS20" si="25">IF(OR(W20="",AM20="",W20=0),"", AM20/W20)</f>
        <v/>
      </c>
      <c r="AT20" s="232" t="str">
        <f t="shared" si="7"/>
        <v/>
      </c>
      <c r="AU20" s="232" t="str">
        <f t="shared" si="8"/>
        <v/>
      </c>
      <c r="AV20" s="232" t="str">
        <f t="shared" si="9"/>
        <v/>
      </c>
      <c r="AW20" s="212"/>
      <c r="AX20" s="300" t="str">
        <f t="shared" si="10"/>
        <v/>
      </c>
      <c r="AY20" s="300" t="str">
        <f t="shared" si="11"/>
        <v/>
      </c>
      <c r="AZ20" s="300" t="str">
        <f t="shared" si="15"/>
        <v/>
      </c>
      <c r="BA20" s="222"/>
      <c r="BB20" s="300" t="str">
        <f t="shared" si="12"/>
        <v/>
      </c>
      <c r="BC20" s="300" t="str">
        <f t="shared" si="16"/>
        <v/>
      </c>
      <c r="BD20" s="300" t="str">
        <f t="shared" si="17"/>
        <v/>
      </c>
      <c r="BE20" s="5"/>
    </row>
    <row r="21" spans="1:57">
      <c r="A21" s="103"/>
      <c r="B21" s="210"/>
      <c r="C21" s="210"/>
      <c r="D21" s="211"/>
      <c r="E21" s="410"/>
      <c r="F21" s="210"/>
      <c r="G21" s="212" t="str">
        <f>IF(OR(ISBLANK($B21),ISBLANK($C21)),"",INDEX('TRU Ops &amp; Costs'!$D$4:$D$74,MATCH($B21&amp;$C21,'TRU Ops &amp; Costs'!$P$4:$P$74,0))/0.7457)</f>
        <v/>
      </c>
      <c r="H21" s="213" t="str">
        <f>IF(OR(ISBLANK($B21),ISBLANK($C21)),"",INDEX('TRU Ops &amp; Costs'!$E$4:$E$74,MATCH($B21&amp;$C21,'TRU Ops &amp; Costs'!$P$4:$P$74,0)))</f>
        <v/>
      </c>
      <c r="I21" s="212" t="str">
        <f>IF(OR(ISBLANK($B21),ISBLANK($C21)),"",INDEX('TRU Ops &amp; Costs'!$F$4:$F$74,MATCH($B21&amp;$C21,'TRU Ops &amp; Costs'!$P$4:$P$74,0)))</f>
        <v/>
      </c>
      <c r="J21" s="214" t="str">
        <f>IF(OR(ISBLANK($B21),ISBLANK($C21)),"",INDEX('TRU Ops &amp; Costs'!$G$4:$G$74,MATCH($B21&amp;$C21,'TRU Ops &amp; Costs'!$P$4:$P$74,0)))</f>
        <v/>
      </c>
      <c r="K21" s="212" t="str">
        <f t="shared" si="13"/>
        <v/>
      </c>
      <c r="L21" s="215" t="str">
        <f>IF(ISBLANK($F21),"",INDEX('Diesel Fuel Prices'!$D$5:$D$31,MATCH($F21,'Diesel Fuel Prices'!$B$5:$B$31,0))*References!$B$38/References!$B$37)</f>
        <v/>
      </c>
      <c r="M21" s="215" t="str">
        <f>IF(ISBLANK($F21),"",VLOOKUP($F21,'Electricity Prices'!$B$4:$F$31,5,FALSE)*References!$B$38/References!$B$37)</f>
        <v/>
      </c>
      <c r="N21" s="216" t="str">
        <f>IF(OR(ISBLANK($B21),ISBLANK($C21)),"",INDEX('TRU Ops &amp; Costs'!$I$4:$I$74,MATCH($B21&amp;$C21,'TRU Ops &amp; Costs'!$P$4:$P$74,0)))</f>
        <v/>
      </c>
      <c r="O21" s="216" t="str">
        <f>IF(OR(ISBLANK($B21),ISBLANK($C21)),"",IF(E21="Yard",INDEX('TRU Ops &amp; Costs'!$J$4:$J$74,MATCH($B21&amp;$C21,'TRU Ops &amp; Costs'!$P$4:$P$74,0)),INDEX('TRU Ops &amp; Costs'!$K$4:$K$74,MATCH($B21&amp;$C21,'TRU Ops &amp; Costs'!$P$4:$P$74,0))))</f>
        <v/>
      </c>
      <c r="P21" s="216" t="str">
        <f>IF(OR(ISBLANK($B21),ISBLANK($C21)),"",$K21*INDEX('TRU Ops &amp; Costs'!$M$4:$M$74,MATCH($B21&amp;$C21,'TRU Ops &amp; Costs'!$P$4:$P$74,0))*-INDEX('TRU Ops &amp; Costs'!$L$4:$L$74,MATCH($B21&amp;$C21,'TRU Ops &amp; Costs'!$P$4:$P$74,0)))</f>
        <v/>
      </c>
      <c r="Q21" s="212"/>
      <c r="R21" s="233" t="str">
        <f t="shared" si="18"/>
        <v/>
      </c>
      <c r="S21" s="217" t="str">
        <f t="shared" si="0"/>
        <v/>
      </c>
      <c r="T21" s="218" t="str">
        <f>IF(ISBLANK($F21),"",INDEX('eGRID2018 Subregion'!$J$7:$J$33,MATCH($F21,RegionGEN,0)))</f>
        <v/>
      </c>
      <c r="U21" s="212"/>
      <c r="V21" s="219" t="str">
        <f>IF(OR(ISBLANK($B21),ISBLANK($C21),$R21=""),"",ROUND($R21*INDEX('Diesel TRU Emission Factors'!$D$6:$D$76,MATCH($B21&amp;$C21,'Diesel TRU Emission Factors'!$R$6:$R$77,0))*GramsToMT,4))</f>
        <v/>
      </c>
      <c r="W21" s="219" t="str">
        <f>IF(OR(ISBLANK($B21),ISBLANK($C21),$R21=""),"",ROUND($R21*INDEX('Diesel TRU Emission Factors'!$E$6:$E$76,MATCH($B21&amp;$C21,'Diesel TRU Emission Factors'!$R$6:$R$77,0))*GramsToMT,4))</f>
        <v/>
      </c>
      <c r="X21" s="219" t="str">
        <f>IF(OR(ISBLANK($B21),ISBLANK($C21),$R21=""),"",ROUND($R21*INDEX('Diesel TRU Emission Factors'!$H$6:$H$76,MATCH($B21&amp;$C21,'Diesel TRU Emission Factors'!$R$6:$R$77,0))*GramsToMT,4))</f>
        <v/>
      </c>
      <c r="Y21" s="220" t="str">
        <f>IF(OR(ISBLANK($B21),ISBLANK($C21),$R21=""),"",ROUND($R21*INDEX('Diesel TRU Emission Factors'!$F$6:$F$76,MATCH($B21&amp;$C21,'Diesel TRU Emission Factors'!$R$6:$R$77,0))*GramsToMT,1))</f>
        <v/>
      </c>
      <c r="Z21" s="220" t="str">
        <f>IF(OR(ISBLANK($B21),ISBLANK($C21),$R21=""),"",$R21*INDEX('Diesel TRU Emission Factors'!$G$6:$G$76,MATCH($B21&amp;$C21,'Diesel TRU Emission Factors'!$R$6:$R$77,0))*GramsToMT)</f>
        <v/>
      </c>
      <c r="AA21" s="221" t="str">
        <f>IF(ISBLANK(F21),"",R21*GalTokWh*'Diesel TRU Emission Factors'!$P$4/1000000)</f>
        <v/>
      </c>
      <c r="AB21" s="221" t="str">
        <f>IF(ISBLANK($F21),"",ROUND(Y21*References!$B$28+Z21*References!$B$29+AA21*References!$B$30,1))</f>
        <v/>
      </c>
      <c r="AC21" s="222"/>
      <c r="AD21" s="219" t="str">
        <f>IF(OR(ISBLANK($F21),$S21="",$T21=""),"",ROUND($S21*(1+$T21)*INDEX('eGRID2018 Subregion'!$C$7:$C$33,MATCH($F21,RegionGEN,0))*GramsToMT,4))</f>
        <v/>
      </c>
      <c r="AE21" s="219" t="str">
        <f>IF(OR(ISBLANK($F21),$S21="",$T21=""),"",ROUND($S21*(1+$T21)*INDEX('eGRID2018 Subregion'!$D$7:$D$33,MATCH($F21,RegionGEN,0))*GramsToMT,4))</f>
        <v/>
      </c>
      <c r="AF21" s="219" t="str">
        <f>IF(OR(ISBLANK($F21),$S21="",$T21=""),"",ROUND($S21*(1+$T21)*INDEX('eGRID2018 Subregion'!$I$7:$I$33,MATCH($F21,RegionGEN,0))*GramsToMT,4))</f>
        <v/>
      </c>
      <c r="AG21" s="220" t="str">
        <f>IF(OR(ISBLANK($F21),$S21="",$T21=""),"",ROUND($S21*(1+$T21)*INDEX('eGRID2018 Subregion'!$E$7:$E$33,MATCH($F21,RegionGEN,0))*GramsToMT,1))</f>
        <v/>
      </c>
      <c r="AH21" s="220" t="str">
        <f>IF(OR(ISBLANK($F21),$S21="",$T21=""),"",$S21*(1+$T21)*INDEX('eGRID2018 Subregion'!$F$7:$F$33,MATCH($F21,RegionGEN,0))*GramsToMT)</f>
        <v/>
      </c>
      <c r="AI21" s="220" t="str">
        <f>IF(OR(ISBLANK($F21),$S21="",$T21=""),"",$S21*(1+$T21)*INDEX('eGRID2018 Subregion'!$G$7:$G$33,MATCH($F21,RegionGEN,0))*GramsToMT)</f>
        <v/>
      </c>
      <c r="AJ21" s="220" t="str">
        <f>IF(ISBLANK($F21),"",ROUND(AG21*References!$B$28+AH21*References!$B$29+AI21*References!$B$30,1))</f>
        <v/>
      </c>
      <c r="AK21" s="222"/>
      <c r="AL21" s="219" t="str">
        <f t="shared" si="1"/>
        <v/>
      </c>
      <c r="AM21" s="219" t="str">
        <f t="shared" si="2"/>
        <v/>
      </c>
      <c r="AN21" s="219" t="str">
        <f t="shared" si="3"/>
        <v/>
      </c>
      <c r="AO21" s="220" t="str">
        <f t="shared" si="4"/>
        <v/>
      </c>
      <c r="AP21" s="220" t="str">
        <f t="shared" si="5"/>
        <v/>
      </c>
      <c r="AQ21" s="223"/>
      <c r="AR21" s="224" t="str">
        <f t="shared" si="6"/>
        <v/>
      </c>
      <c r="AS21" s="224" t="str">
        <f>IF(OR($W21="",$AM21="",$W21=0),"", $AM21/$W21)</f>
        <v/>
      </c>
      <c r="AT21" s="224" t="str">
        <f t="shared" si="7"/>
        <v/>
      </c>
      <c r="AU21" s="224" t="str">
        <f t="shared" si="8"/>
        <v/>
      </c>
      <c r="AV21" s="224" t="str">
        <f t="shared" si="9"/>
        <v/>
      </c>
      <c r="AW21" s="212"/>
      <c r="AX21" s="301" t="str">
        <f t="shared" si="10"/>
        <v/>
      </c>
      <c r="AY21" s="301" t="str">
        <f t="shared" si="11"/>
        <v/>
      </c>
      <c r="AZ21" s="301" t="str">
        <f t="shared" si="15"/>
        <v/>
      </c>
      <c r="BA21" s="222"/>
      <c r="BB21" s="301" t="str">
        <f t="shared" si="12"/>
        <v/>
      </c>
      <c r="BC21" s="301" t="str">
        <f t="shared" si="16"/>
        <v/>
      </c>
      <c r="BD21" s="301" t="str">
        <f t="shared" si="17"/>
        <v/>
      </c>
      <c r="BE21" s="5"/>
    </row>
    <row r="22" spans="1:57">
      <c r="A22" s="105"/>
      <c r="B22" s="225"/>
      <c r="C22" s="225"/>
      <c r="D22" s="226"/>
      <c r="E22" s="411"/>
      <c r="F22" s="225"/>
      <c r="G22" s="212" t="str">
        <f>IF(OR(ISBLANK($B22),ISBLANK($C22)),"",INDEX('TRU Ops &amp; Costs'!$D$4:$D$74,MATCH($B22&amp;$C22,'TRU Ops &amp; Costs'!$P$4:$P$74,0))/0.7457)</f>
        <v/>
      </c>
      <c r="H22" s="213" t="str">
        <f>IF(OR(ISBLANK($B22),ISBLANK($C22)),"",INDEX('TRU Ops &amp; Costs'!$E$4:$E$74,MATCH($B22&amp;$C22,'TRU Ops &amp; Costs'!$P$4:$P$74,0)))</f>
        <v/>
      </c>
      <c r="I22" s="212" t="str">
        <f>IF(OR(ISBLANK($B22),ISBLANK($C22)),"",INDEX('TRU Ops &amp; Costs'!$F$4:$F$74,MATCH($B22&amp;$C22,'TRU Ops &amp; Costs'!$P$4:$P$74,0)))</f>
        <v/>
      </c>
      <c r="J22" s="214" t="str">
        <f>IF(OR(ISBLANK($B22),ISBLANK($C22)),"",INDEX('TRU Ops &amp; Costs'!$G$4:$G$74,MATCH($B22&amp;$C22,'TRU Ops &amp; Costs'!$P$4:$P$74,0)))</f>
        <v/>
      </c>
      <c r="K22" s="212" t="str">
        <f t="shared" si="13"/>
        <v/>
      </c>
      <c r="L22" s="215" t="str">
        <f>IF(ISBLANK($F22),"",INDEX('Diesel Fuel Prices'!$D$5:$D$31,MATCH($F22,'Diesel Fuel Prices'!$B$5:$B$31,0))*References!$B$38/References!$B$37)</f>
        <v/>
      </c>
      <c r="M22" s="215" t="str">
        <f>IF(ISBLANK($F22),"",VLOOKUP($F22,'Electricity Prices'!$B$4:$F$31,5,FALSE)*References!$B$38/References!$B$37)</f>
        <v/>
      </c>
      <c r="N22" s="216" t="str">
        <f>IF(OR(ISBLANK($B22),ISBLANK($C22)),"",INDEX('TRU Ops &amp; Costs'!$I$4:$I$74,MATCH($B22&amp;$C22,'TRU Ops &amp; Costs'!$P$4:$P$74,0)))</f>
        <v/>
      </c>
      <c r="O22" s="216" t="str">
        <f>IF(OR(ISBLANK($B22),ISBLANK($C22)),"",IF(E22="Yard",INDEX('TRU Ops &amp; Costs'!$J$4:$J$74,MATCH($B22&amp;$C22,'TRU Ops &amp; Costs'!$P$4:$P$74,0)),INDEX('TRU Ops &amp; Costs'!$K$4:$K$74,MATCH($B22&amp;$C22,'TRU Ops &amp; Costs'!$P$4:$P$74,0))))</f>
        <v/>
      </c>
      <c r="P22" s="216" t="str">
        <f>IF(OR(ISBLANK($B22),ISBLANK($C22)),"",$K22*INDEX('TRU Ops &amp; Costs'!$M$4:$M$74,MATCH($B22&amp;$C22,'TRU Ops &amp; Costs'!$P$4:$P$74,0))*-INDEX('TRU Ops &amp; Costs'!$L$4:$L$74,MATCH($B22&amp;$C22,'TRU Ops &amp; Costs'!$P$4:$P$74,0)))</f>
        <v/>
      </c>
      <c r="Q22" s="212"/>
      <c r="R22" s="234" t="str">
        <f t="shared" si="18"/>
        <v/>
      </c>
      <c r="S22" s="227" t="str">
        <f t="shared" si="0"/>
        <v/>
      </c>
      <c r="T22" s="228" t="str">
        <f>IF(ISBLANK($F22),"",INDEX('eGRID2018 Subregion'!$J$7:$J$33,MATCH($F22,RegionGEN,0)))</f>
        <v/>
      </c>
      <c r="U22" s="212"/>
      <c r="V22" s="229" t="str">
        <f>IF(OR(ISBLANK($B22),ISBLANK($C22),$R22=""),"",ROUND($R22*INDEX('Diesel TRU Emission Factors'!$D$6:$D$76,MATCH($B22&amp;$C22,'Diesel TRU Emission Factors'!$R$6:$R$77,0))*GramsToMT,4))</f>
        <v/>
      </c>
      <c r="W22" s="229" t="str">
        <f>IF(OR(ISBLANK($B22),ISBLANK($C22),$R22=""),"",ROUND($R22*INDEX('Diesel TRU Emission Factors'!$E$6:$E$76,MATCH($B22&amp;$C22,'Diesel TRU Emission Factors'!$R$6:$R$77,0))*GramsToMT,4))</f>
        <v/>
      </c>
      <c r="X22" s="229" t="str">
        <f>IF(OR(ISBLANK($B22),ISBLANK($C22),$R22=""),"",ROUND($R22*INDEX('Diesel TRU Emission Factors'!$H$6:$H$76,MATCH($B22&amp;$C22,'Diesel TRU Emission Factors'!$R$6:$R$77,0))*GramsToMT,4))</f>
        <v/>
      </c>
      <c r="Y22" s="230" t="str">
        <f>IF(OR(ISBLANK($B22),ISBLANK($C22),$R22=""),"",ROUND($R22*INDEX('Diesel TRU Emission Factors'!$F$6:$F$76,MATCH($B22&amp;$C22,'Diesel TRU Emission Factors'!$R$6:$R$77,0))*GramsToMT,1))</f>
        <v/>
      </c>
      <c r="Z22" s="230" t="str">
        <f>IF(OR(ISBLANK($B22),ISBLANK($C22),$R22=""),"",$R22*INDEX('Diesel TRU Emission Factors'!$G$6:$G$76,MATCH($B22&amp;$C22,'Diesel TRU Emission Factors'!$R$6:$R$77,0))*GramsToMT)</f>
        <v/>
      </c>
      <c r="AA22" s="231" t="str">
        <f>IF(ISBLANK(F22),"",R22*GalTokWh*'Diesel TRU Emission Factors'!$P$4/1000000)</f>
        <v/>
      </c>
      <c r="AB22" s="231" t="str">
        <f>IF(ISBLANK($F22),"",ROUND(Y22*References!$B$28+Z22*References!$B$29+AA22*References!$B$30,1))</f>
        <v/>
      </c>
      <c r="AC22" s="222"/>
      <c r="AD22" s="229" t="str">
        <f>IF(OR(ISBLANK($F22),$S22="",$T22=""),"",ROUND($S22*(1+$T22)*INDEX('eGRID2018 Subregion'!$C$7:$C$33,MATCH($F22,RegionGEN,0))*GramsToMT,4))</f>
        <v/>
      </c>
      <c r="AE22" s="229" t="str">
        <f>IF(OR(ISBLANK($F22),$S22="",$T22=""),"",ROUND($S22*(1+$T22)*INDEX('eGRID2018 Subregion'!$D$7:$D$33,MATCH($F22,RegionGEN,0))*GramsToMT,4))</f>
        <v/>
      </c>
      <c r="AF22" s="229" t="str">
        <f>IF(OR(ISBLANK($F22),$S22="",$T22=""),"",ROUND($S22*(1+$T22)*INDEX('eGRID2018 Subregion'!$I$7:$I$33,MATCH($F22,RegionGEN,0))*GramsToMT,4))</f>
        <v/>
      </c>
      <c r="AG22" s="230" t="str">
        <f>IF(OR(ISBLANK($F22),$S22="",$T22=""),"",ROUND($S22*(1+$T22)*INDEX('eGRID2018 Subregion'!$E$7:$E$33,MATCH($F22,RegionGEN,0))*GramsToMT,1))</f>
        <v/>
      </c>
      <c r="AH22" s="230" t="str">
        <f>IF(OR(ISBLANK($F22),$S22="",$T22=""),"",$S22*(1+$T22)*INDEX('eGRID2018 Subregion'!$F$7:$F$33,MATCH($F22,RegionGEN,0))*GramsToMT)</f>
        <v/>
      </c>
      <c r="AI22" s="230" t="str">
        <f>IF(OR(ISBLANK($F22),$S22="",$T22=""),"",$S22*(1+$T22)*INDEX('eGRID2018 Subregion'!$G$7:$G$33,MATCH($F22,RegionGEN,0))*GramsToMT)</f>
        <v/>
      </c>
      <c r="AJ22" s="230" t="str">
        <f>IF(ISBLANK($F22),"",ROUND(AG22*References!$B$28+AH22*References!$B$29+AI22*References!$B$30,1))</f>
        <v/>
      </c>
      <c r="AK22" s="222"/>
      <c r="AL22" s="229" t="str">
        <f t="shared" si="1"/>
        <v/>
      </c>
      <c r="AM22" s="229" t="str">
        <f t="shared" si="2"/>
        <v/>
      </c>
      <c r="AN22" s="229" t="str">
        <f t="shared" si="3"/>
        <v/>
      </c>
      <c r="AO22" s="230" t="str">
        <f t="shared" si="4"/>
        <v/>
      </c>
      <c r="AP22" s="230" t="str">
        <f t="shared" si="5"/>
        <v/>
      </c>
      <c r="AQ22" s="223"/>
      <c r="AR22" s="232" t="str">
        <f t="shared" si="6"/>
        <v/>
      </c>
      <c r="AS22" s="232" t="str">
        <f t="shared" ref="AS22" si="26">IF(OR(W22="",AM22="",W22=0),"", AM22/W22)</f>
        <v/>
      </c>
      <c r="AT22" s="232" t="str">
        <f t="shared" si="7"/>
        <v/>
      </c>
      <c r="AU22" s="232" t="str">
        <f t="shared" si="8"/>
        <v/>
      </c>
      <c r="AV22" s="232" t="str">
        <f t="shared" si="9"/>
        <v/>
      </c>
      <c r="AW22" s="212"/>
      <c r="AX22" s="300" t="str">
        <f t="shared" si="10"/>
        <v/>
      </c>
      <c r="AY22" s="300" t="str">
        <f t="shared" si="11"/>
        <v/>
      </c>
      <c r="AZ22" s="300" t="str">
        <f t="shared" si="15"/>
        <v/>
      </c>
      <c r="BA22" s="222"/>
      <c r="BB22" s="300" t="str">
        <f t="shared" si="12"/>
        <v/>
      </c>
      <c r="BC22" s="300" t="str">
        <f t="shared" si="16"/>
        <v/>
      </c>
      <c r="BD22" s="300" t="str">
        <f t="shared" si="17"/>
        <v/>
      </c>
      <c r="BE22" s="5"/>
    </row>
    <row r="23" spans="1:57">
      <c r="A23" s="103"/>
      <c r="B23" s="210"/>
      <c r="C23" s="210"/>
      <c r="D23" s="211"/>
      <c r="E23" s="410"/>
      <c r="F23" s="210"/>
      <c r="G23" s="212" t="str">
        <f>IF(OR(ISBLANK($B23),ISBLANK($C23)),"",INDEX('TRU Ops &amp; Costs'!$D$4:$D$74,MATCH($B23&amp;$C23,'TRU Ops &amp; Costs'!$P$4:$P$74,0))/0.7457)</f>
        <v/>
      </c>
      <c r="H23" s="213" t="str">
        <f>IF(OR(ISBLANK($B23),ISBLANK($C23)),"",INDEX('TRU Ops &amp; Costs'!$E$4:$E$74,MATCH($B23&amp;$C23,'TRU Ops &amp; Costs'!$P$4:$P$74,0)))</f>
        <v/>
      </c>
      <c r="I23" s="212" t="str">
        <f>IF(OR(ISBLANK($B23),ISBLANK($C23)),"",INDEX('TRU Ops &amp; Costs'!$F$4:$F$74,MATCH($B23&amp;$C23,'TRU Ops &amp; Costs'!$P$4:$P$74,0)))</f>
        <v/>
      </c>
      <c r="J23" s="214" t="str">
        <f>IF(OR(ISBLANK($B23),ISBLANK($C23)),"",INDEX('TRU Ops &amp; Costs'!$G$4:$G$74,MATCH($B23&amp;$C23,'TRU Ops &amp; Costs'!$P$4:$P$74,0)))</f>
        <v/>
      </c>
      <c r="K23" s="212" t="str">
        <f t="shared" si="13"/>
        <v/>
      </c>
      <c r="L23" s="215" t="str">
        <f>IF(ISBLANK($F23),"",INDEX('Diesel Fuel Prices'!$D$5:$D$31,MATCH($F23,'Diesel Fuel Prices'!$B$5:$B$31,0))*References!$B$38/References!$B$37)</f>
        <v/>
      </c>
      <c r="M23" s="215" t="str">
        <f>IF(ISBLANK($F23),"",VLOOKUP($F23,'Electricity Prices'!$B$4:$F$31,5,FALSE)*References!$B$38/References!$B$37)</f>
        <v/>
      </c>
      <c r="N23" s="216" t="str">
        <f>IF(OR(ISBLANK($B23),ISBLANK($C23)),"",INDEX('TRU Ops &amp; Costs'!$I$4:$I$74,MATCH($B23&amp;$C23,'TRU Ops &amp; Costs'!$P$4:$P$74,0)))</f>
        <v/>
      </c>
      <c r="O23" s="216" t="str">
        <f>IF(OR(ISBLANK($B23),ISBLANK($C23)),"",IF(E23="Yard",INDEX('TRU Ops &amp; Costs'!$J$4:$J$74,MATCH($B23&amp;$C23,'TRU Ops &amp; Costs'!$P$4:$P$74,0)),INDEX('TRU Ops &amp; Costs'!$K$4:$K$74,MATCH($B23&amp;$C23,'TRU Ops &amp; Costs'!$P$4:$P$74,0))))</f>
        <v/>
      </c>
      <c r="P23" s="216" t="str">
        <f>IF(OR(ISBLANK($B23),ISBLANK($C23)),"",$K23*INDEX('TRU Ops &amp; Costs'!$M$4:$M$74,MATCH($B23&amp;$C23,'TRU Ops &amp; Costs'!$P$4:$P$74,0))*-INDEX('TRU Ops &amp; Costs'!$L$4:$L$74,MATCH($B23&amp;$C23,'TRU Ops &amp; Costs'!$P$4:$P$74,0)))</f>
        <v/>
      </c>
      <c r="Q23" s="212"/>
      <c r="R23" s="233" t="str">
        <f t="shared" si="18"/>
        <v/>
      </c>
      <c r="S23" s="217" t="str">
        <f t="shared" si="0"/>
        <v/>
      </c>
      <c r="T23" s="218" t="str">
        <f>IF(ISBLANK($F23),"",INDEX('eGRID2018 Subregion'!$J$7:$J$33,MATCH($F23,RegionGEN,0)))</f>
        <v/>
      </c>
      <c r="U23" s="212"/>
      <c r="V23" s="219" t="str">
        <f>IF(OR(ISBLANK($B23),ISBLANK($C23),$R23=""),"",ROUND($R23*INDEX('Diesel TRU Emission Factors'!$D$6:$D$76,MATCH($B23&amp;$C23,'Diesel TRU Emission Factors'!$R$6:$R$77,0))*GramsToMT,4))</f>
        <v/>
      </c>
      <c r="W23" s="219" t="str">
        <f>IF(OR(ISBLANK($B23),ISBLANK($C23),$R23=""),"",ROUND($R23*INDEX('Diesel TRU Emission Factors'!$E$6:$E$76,MATCH($B23&amp;$C23,'Diesel TRU Emission Factors'!$R$6:$R$77,0))*GramsToMT,4))</f>
        <v/>
      </c>
      <c r="X23" s="219" t="str">
        <f>IF(OR(ISBLANK($B23),ISBLANK($C23),$R23=""),"",ROUND($R23*INDEX('Diesel TRU Emission Factors'!$H$6:$H$76,MATCH($B23&amp;$C23,'Diesel TRU Emission Factors'!$R$6:$R$77,0))*GramsToMT,4))</f>
        <v/>
      </c>
      <c r="Y23" s="220" t="str">
        <f>IF(OR(ISBLANK($B23),ISBLANK($C23),$R23=""),"",ROUND($R23*INDEX('Diesel TRU Emission Factors'!$F$6:$F$76,MATCH($B23&amp;$C23,'Diesel TRU Emission Factors'!$R$6:$R$77,0))*GramsToMT,1))</f>
        <v/>
      </c>
      <c r="Z23" s="220" t="str">
        <f>IF(OR(ISBLANK($B23),ISBLANK($C23),$R23=""),"",$R23*INDEX('Diesel TRU Emission Factors'!$G$6:$G$76,MATCH($B23&amp;$C23,'Diesel TRU Emission Factors'!$R$6:$R$77,0))*GramsToMT)</f>
        <v/>
      </c>
      <c r="AA23" s="221" t="str">
        <f>IF(ISBLANK(F23),"",R23*GalTokWh*'Diesel TRU Emission Factors'!$P$4/1000000)</f>
        <v/>
      </c>
      <c r="AB23" s="221" t="str">
        <f>IF(ISBLANK($F23),"",ROUND(Y23*References!$B$28+Z23*References!$B$29+AA23*References!$B$30,1))</f>
        <v/>
      </c>
      <c r="AC23" s="222"/>
      <c r="AD23" s="219" t="str">
        <f>IF(OR(ISBLANK($F23),$S23="",$T23=""),"",ROUND($S23*(1+$T23)*INDEX('eGRID2018 Subregion'!$C$7:$C$33,MATCH($F23,RegionGEN,0))*GramsToMT,4))</f>
        <v/>
      </c>
      <c r="AE23" s="219" t="str">
        <f>IF(OR(ISBLANK($F23),$S23="",$T23=""),"",ROUND($S23*(1+$T23)*INDEX('eGRID2018 Subregion'!$D$7:$D$33,MATCH($F23,RegionGEN,0))*GramsToMT,4))</f>
        <v/>
      </c>
      <c r="AF23" s="219" t="str">
        <f>IF(OR(ISBLANK($F23),$S23="",$T23=""),"",ROUND($S23*(1+$T23)*INDEX('eGRID2018 Subregion'!$I$7:$I$33,MATCH($F23,RegionGEN,0))*GramsToMT,4))</f>
        <v/>
      </c>
      <c r="AG23" s="220" t="str">
        <f>IF(OR(ISBLANK($F23),$S23="",$T23=""),"",ROUND($S23*(1+$T23)*INDEX('eGRID2018 Subregion'!$E$7:$E$33,MATCH($F23,RegionGEN,0))*GramsToMT,1))</f>
        <v/>
      </c>
      <c r="AH23" s="220" t="str">
        <f>IF(OR(ISBLANK($F23),$S23="",$T23=""),"",$S23*(1+$T23)*INDEX('eGRID2018 Subregion'!$F$7:$F$33,MATCH($F23,RegionGEN,0))*GramsToMT)</f>
        <v/>
      </c>
      <c r="AI23" s="220" t="str">
        <f>IF(OR(ISBLANK($F23),$S23="",$T23=""),"",$S23*(1+$T23)*INDEX('eGRID2018 Subregion'!$G$7:$G$33,MATCH($F23,RegionGEN,0))*GramsToMT)</f>
        <v/>
      </c>
      <c r="AJ23" s="220" t="str">
        <f>IF(ISBLANK($F23),"",ROUND(AG23*References!$B$28+AH23*References!$B$29+AI23*References!$B$30,1))</f>
        <v/>
      </c>
      <c r="AK23" s="222"/>
      <c r="AL23" s="219" t="str">
        <f t="shared" si="1"/>
        <v/>
      </c>
      <c r="AM23" s="219" t="str">
        <f t="shared" si="2"/>
        <v/>
      </c>
      <c r="AN23" s="219" t="str">
        <f t="shared" si="3"/>
        <v/>
      </c>
      <c r="AO23" s="220" t="str">
        <f t="shared" si="4"/>
        <v/>
      </c>
      <c r="AP23" s="220" t="str">
        <f t="shared" si="5"/>
        <v/>
      </c>
      <c r="AQ23" s="223"/>
      <c r="AR23" s="224" t="str">
        <f t="shared" si="6"/>
        <v/>
      </c>
      <c r="AS23" s="224" t="str">
        <f>IF(OR($W23="",$AM23="",$W23=0),"", $AM23/$W23)</f>
        <v/>
      </c>
      <c r="AT23" s="224" t="str">
        <f t="shared" si="7"/>
        <v/>
      </c>
      <c r="AU23" s="224" t="str">
        <f t="shared" si="8"/>
        <v/>
      </c>
      <c r="AV23" s="224" t="str">
        <f t="shared" si="9"/>
        <v/>
      </c>
      <c r="AW23" s="212"/>
      <c r="AX23" s="301" t="str">
        <f t="shared" si="10"/>
        <v/>
      </c>
      <c r="AY23" s="301" t="str">
        <f t="shared" si="11"/>
        <v/>
      </c>
      <c r="AZ23" s="301" t="str">
        <f t="shared" si="15"/>
        <v/>
      </c>
      <c r="BA23" s="222"/>
      <c r="BB23" s="301" t="str">
        <f t="shared" si="12"/>
        <v/>
      </c>
      <c r="BC23" s="301" t="str">
        <f t="shared" si="16"/>
        <v/>
      </c>
      <c r="BD23" s="301" t="str">
        <f t="shared" si="17"/>
        <v/>
      </c>
      <c r="BE23" s="5"/>
    </row>
    <row r="24" spans="1:57">
      <c r="A24" s="105"/>
      <c r="B24" s="225"/>
      <c r="C24" s="225"/>
      <c r="D24" s="226"/>
      <c r="E24" s="411"/>
      <c r="F24" s="225"/>
      <c r="G24" s="212" t="str">
        <f>IF(OR(ISBLANK($B24),ISBLANK($C24)),"",INDEX('TRU Ops &amp; Costs'!$D$4:$D$74,MATCH($B24&amp;$C24,'TRU Ops &amp; Costs'!$P$4:$P$74,0))/0.7457)</f>
        <v/>
      </c>
      <c r="H24" s="213" t="str">
        <f>IF(OR(ISBLANK($B24),ISBLANK($C24)),"",INDEX('TRU Ops &amp; Costs'!$E$4:$E$74,MATCH($B24&amp;$C24,'TRU Ops &amp; Costs'!$P$4:$P$74,0)))</f>
        <v/>
      </c>
      <c r="I24" s="212" t="str">
        <f>IF(OR(ISBLANK($B24),ISBLANK($C24)),"",INDEX('TRU Ops &amp; Costs'!$F$4:$F$74,MATCH($B24&amp;$C24,'TRU Ops &amp; Costs'!$P$4:$P$74,0)))</f>
        <v/>
      </c>
      <c r="J24" s="214" t="str">
        <f>IF(OR(ISBLANK($B24),ISBLANK($C24)),"",INDEX('TRU Ops &amp; Costs'!$G$4:$G$74,MATCH($B24&amp;$C24,'TRU Ops &amp; Costs'!$P$4:$P$74,0)))</f>
        <v/>
      </c>
      <c r="K24" s="212" t="str">
        <f t="shared" si="13"/>
        <v/>
      </c>
      <c r="L24" s="215" t="str">
        <f>IF(ISBLANK($F24),"",INDEX('Diesel Fuel Prices'!$D$5:$D$31,MATCH($F24,'Diesel Fuel Prices'!$B$5:$B$31,0))*References!$B$38/References!$B$37)</f>
        <v/>
      </c>
      <c r="M24" s="215" t="str">
        <f>IF(ISBLANK($F24),"",VLOOKUP($F24,'Electricity Prices'!$B$4:$F$31,5,FALSE)*References!$B$38/References!$B$37)</f>
        <v/>
      </c>
      <c r="N24" s="216" t="str">
        <f>IF(OR(ISBLANK($B24),ISBLANK($C24)),"",INDEX('TRU Ops &amp; Costs'!$I$4:$I$74,MATCH($B24&amp;$C24,'TRU Ops &amp; Costs'!$P$4:$P$74,0)))</f>
        <v/>
      </c>
      <c r="O24" s="216" t="str">
        <f>IF(OR(ISBLANK($B24),ISBLANK($C24)),"",IF(E24="Yard",INDEX('TRU Ops &amp; Costs'!$J$4:$J$74,MATCH($B24&amp;$C24,'TRU Ops &amp; Costs'!$P$4:$P$74,0)),INDEX('TRU Ops &amp; Costs'!$K$4:$K$74,MATCH($B24&amp;$C24,'TRU Ops &amp; Costs'!$P$4:$P$74,0))))</f>
        <v/>
      </c>
      <c r="P24" s="216" t="str">
        <f>IF(OR(ISBLANK($B24),ISBLANK($C24)),"",$K24*INDEX('TRU Ops &amp; Costs'!$M$4:$M$74,MATCH($B24&amp;$C24,'TRU Ops &amp; Costs'!$P$4:$P$74,0))*-INDEX('TRU Ops &amp; Costs'!$L$4:$L$74,MATCH($B24&amp;$C24,'TRU Ops &amp; Costs'!$P$4:$P$74,0)))</f>
        <v/>
      </c>
      <c r="Q24" s="212"/>
      <c r="R24" s="234" t="str">
        <f t="shared" si="18"/>
        <v/>
      </c>
      <c r="S24" s="227" t="str">
        <f t="shared" si="0"/>
        <v/>
      </c>
      <c r="T24" s="228" t="str">
        <f>IF(ISBLANK($F24),"",INDEX('eGRID2018 Subregion'!$J$7:$J$33,MATCH($F24,RegionGEN,0)))</f>
        <v/>
      </c>
      <c r="U24" s="212"/>
      <c r="V24" s="229" t="str">
        <f>IF(OR(ISBLANK($B24),ISBLANK($C24),$R24=""),"",ROUND($R24*INDEX('Diesel TRU Emission Factors'!$D$6:$D$76,MATCH($B24&amp;$C24,'Diesel TRU Emission Factors'!$R$6:$R$77,0))*GramsToMT,4))</f>
        <v/>
      </c>
      <c r="W24" s="229" t="str">
        <f>IF(OR(ISBLANK($B24),ISBLANK($C24),$R24=""),"",ROUND($R24*INDEX('Diesel TRU Emission Factors'!$E$6:$E$76,MATCH($B24&amp;$C24,'Diesel TRU Emission Factors'!$R$6:$R$77,0))*GramsToMT,4))</f>
        <v/>
      </c>
      <c r="X24" s="229" t="str">
        <f>IF(OR(ISBLANK($B24),ISBLANK($C24),$R24=""),"",ROUND($R24*INDEX('Diesel TRU Emission Factors'!$H$6:$H$76,MATCH($B24&amp;$C24,'Diesel TRU Emission Factors'!$R$6:$R$77,0))*GramsToMT,4))</f>
        <v/>
      </c>
      <c r="Y24" s="230" t="str">
        <f>IF(OR(ISBLANK($B24),ISBLANK($C24),$R24=""),"",ROUND($R24*INDEX('Diesel TRU Emission Factors'!$F$6:$F$76,MATCH($B24&amp;$C24,'Diesel TRU Emission Factors'!$R$6:$R$77,0))*GramsToMT,1))</f>
        <v/>
      </c>
      <c r="Z24" s="230" t="str">
        <f>IF(OR(ISBLANK($B24),ISBLANK($C24),$R24=""),"",$R24*INDEX('Diesel TRU Emission Factors'!$G$6:$G$76,MATCH($B24&amp;$C24,'Diesel TRU Emission Factors'!$R$6:$R$77,0))*GramsToMT)</f>
        <v/>
      </c>
      <c r="AA24" s="231" t="str">
        <f>IF(ISBLANK(F24),"",R24*GalTokWh*'Diesel TRU Emission Factors'!$P$4/1000000)</f>
        <v/>
      </c>
      <c r="AB24" s="231" t="str">
        <f>IF(ISBLANK($F24),"",ROUND(Y24*References!$B$28+Z24*References!$B$29+AA24*References!$B$30,1))</f>
        <v/>
      </c>
      <c r="AC24" s="222"/>
      <c r="AD24" s="229" t="str">
        <f>IF(OR(ISBLANK($F24),$S24="",$T24=""),"",ROUND($S24*(1+$T24)*INDEX('eGRID2018 Subregion'!$C$7:$C$33,MATCH($F24,RegionGEN,0))*GramsToMT,4))</f>
        <v/>
      </c>
      <c r="AE24" s="229" t="str">
        <f>IF(OR(ISBLANK($F24),$S24="",$T24=""),"",ROUND($S24*(1+$T24)*INDEX('eGRID2018 Subregion'!$D$7:$D$33,MATCH($F24,RegionGEN,0))*GramsToMT,4))</f>
        <v/>
      </c>
      <c r="AF24" s="229" t="str">
        <f>IF(OR(ISBLANK($F24),$S24="",$T24=""),"",ROUND($S24*(1+$T24)*INDEX('eGRID2018 Subregion'!$I$7:$I$33,MATCH($F24,RegionGEN,0))*GramsToMT,4))</f>
        <v/>
      </c>
      <c r="AG24" s="230" t="str">
        <f>IF(OR(ISBLANK($F24),$S24="",$T24=""),"",ROUND($S24*(1+$T24)*INDEX('eGRID2018 Subregion'!$E$7:$E$33,MATCH($F24,RegionGEN,0))*GramsToMT,1))</f>
        <v/>
      </c>
      <c r="AH24" s="230" t="str">
        <f>IF(OR(ISBLANK($F24),$S24="",$T24=""),"",$S24*(1+$T24)*INDEX('eGRID2018 Subregion'!$F$7:$F$33,MATCH($F24,RegionGEN,0))*GramsToMT)</f>
        <v/>
      </c>
      <c r="AI24" s="230" t="str">
        <f>IF(OR(ISBLANK($F24),$S24="",$T24=""),"",$S24*(1+$T24)*INDEX('eGRID2018 Subregion'!$G$7:$G$33,MATCH($F24,RegionGEN,0))*GramsToMT)</f>
        <v/>
      </c>
      <c r="AJ24" s="230" t="str">
        <f>IF(ISBLANK($F24),"",ROUND(AG24*References!$B$28+AH24*References!$B$29+AI24*References!$B$30,1))</f>
        <v/>
      </c>
      <c r="AK24" s="222"/>
      <c r="AL24" s="229" t="str">
        <f t="shared" si="1"/>
        <v/>
      </c>
      <c r="AM24" s="229" t="str">
        <f t="shared" si="2"/>
        <v/>
      </c>
      <c r="AN24" s="229" t="str">
        <f t="shared" si="3"/>
        <v/>
      </c>
      <c r="AO24" s="230" t="str">
        <f t="shared" si="4"/>
        <v/>
      </c>
      <c r="AP24" s="230" t="str">
        <f t="shared" si="5"/>
        <v/>
      </c>
      <c r="AQ24" s="223"/>
      <c r="AR24" s="232" t="str">
        <f t="shared" si="6"/>
        <v/>
      </c>
      <c r="AS24" s="232" t="str">
        <f t="shared" ref="AS24" si="27">IF(OR(W24="",AM24="",W24=0),"", AM24/W24)</f>
        <v/>
      </c>
      <c r="AT24" s="232" t="str">
        <f t="shared" si="7"/>
        <v/>
      </c>
      <c r="AU24" s="232" t="str">
        <f t="shared" si="8"/>
        <v/>
      </c>
      <c r="AV24" s="232" t="str">
        <f t="shared" si="9"/>
        <v/>
      </c>
      <c r="AW24" s="212"/>
      <c r="AX24" s="300" t="str">
        <f t="shared" si="10"/>
        <v/>
      </c>
      <c r="AY24" s="300" t="str">
        <f t="shared" si="11"/>
        <v/>
      </c>
      <c r="AZ24" s="300" t="str">
        <f t="shared" si="15"/>
        <v/>
      </c>
      <c r="BA24" s="222"/>
      <c r="BB24" s="300" t="str">
        <f t="shared" si="12"/>
        <v/>
      </c>
      <c r="BC24" s="300" t="str">
        <f t="shared" si="16"/>
        <v/>
      </c>
      <c r="BD24" s="300" t="str">
        <f t="shared" si="17"/>
        <v/>
      </c>
      <c r="BE24" s="5"/>
    </row>
    <row r="25" spans="1:57">
      <c r="A25" s="103"/>
      <c r="B25" s="210"/>
      <c r="C25" s="210"/>
      <c r="D25" s="211"/>
      <c r="E25" s="410"/>
      <c r="F25" s="210"/>
      <c r="G25" s="212" t="str">
        <f>IF(OR(ISBLANK($B25),ISBLANK($C25)),"",INDEX('TRU Ops &amp; Costs'!$D$4:$D$74,MATCH($B25&amp;$C25,'TRU Ops &amp; Costs'!$P$4:$P$74,0))/0.7457)</f>
        <v/>
      </c>
      <c r="H25" s="213" t="str">
        <f>IF(OR(ISBLANK($B25),ISBLANK($C25)),"",INDEX('TRU Ops &amp; Costs'!$E$4:$E$74,MATCH($B25&amp;$C25,'TRU Ops &amp; Costs'!$P$4:$P$74,0)))</f>
        <v/>
      </c>
      <c r="I25" s="212" t="str">
        <f>IF(OR(ISBLANK($B25),ISBLANK($C25)),"",INDEX('TRU Ops &amp; Costs'!$F$4:$F$74,MATCH($B25&amp;$C25,'TRU Ops &amp; Costs'!$P$4:$P$74,0)))</f>
        <v/>
      </c>
      <c r="J25" s="214" t="str">
        <f>IF(OR(ISBLANK($B25),ISBLANK($C25)),"",INDEX('TRU Ops &amp; Costs'!$G$4:$G$74,MATCH($B25&amp;$C25,'TRU Ops &amp; Costs'!$P$4:$P$74,0)))</f>
        <v/>
      </c>
      <c r="K25" s="212" t="str">
        <f t="shared" si="13"/>
        <v/>
      </c>
      <c r="L25" s="215" t="str">
        <f>IF(ISBLANK($F25),"",INDEX('Diesel Fuel Prices'!$D$5:$D$31,MATCH($F25,'Diesel Fuel Prices'!$B$5:$B$31,0))*References!$B$38/References!$B$37)</f>
        <v/>
      </c>
      <c r="M25" s="215" t="str">
        <f>IF(ISBLANK($F25),"",VLOOKUP($F25,'Electricity Prices'!$B$4:$F$31,5,FALSE)*References!$B$38/References!$B$37)</f>
        <v/>
      </c>
      <c r="N25" s="216" t="str">
        <f>IF(OR(ISBLANK($B25),ISBLANK($C25)),"",INDEX('TRU Ops &amp; Costs'!$I$4:$I$74,MATCH($B25&amp;$C25,'TRU Ops &amp; Costs'!$P$4:$P$74,0)))</f>
        <v/>
      </c>
      <c r="O25" s="216" t="str">
        <f>IF(OR(ISBLANK($B25),ISBLANK($C25)),"",IF(E25="Yard",INDEX('TRU Ops &amp; Costs'!$J$4:$J$74,MATCH($B25&amp;$C25,'TRU Ops &amp; Costs'!$P$4:$P$74,0)),INDEX('TRU Ops &amp; Costs'!$K$4:$K$74,MATCH($B25&amp;$C25,'TRU Ops &amp; Costs'!$P$4:$P$74,0))))</f>
        <v/>
      </c>
      <c r="P25" s="216" t="str">
        <f>IF(OR(ISBLANK($B25),ISBLANK($C25)),"",$K25*INDEX('TRU Ops &amp; Costs'!$M$4:$M$74,MATCH($B25&amp;$C25,'TRU Ops &amp; Costs'!$P$4:$P$74,0))*-INDEX('TRU Ops &amp; Costs'!$L$4:$L$74,MATCH($B25&amp;$C25,'TRU Ops &amp; Costs'!$P$4:$P$74,0)))</f>
        <v/>
      </c>
      <c r="Q25" s="212"/>
      <c r="R25" s="233" t="str">
        <f t="shared" si="18"/>
        <v/>
      </c>
      <c r="S25" s="217" t="str">
        <f t="shared" si="0"/>
        <v/>
      </c>
      <c r="T25" s="218" t="str">
        <f>IF(ISBLANK($F25),"",INDEX('eGRID2018 Subregion'!$J$7:$J$33,MATCH($F25,RegionGEN,0)))</f>
        <v/>
      </c>
      <c r="U25" s="212"/>
      <c r="V25" s="219" t="str">
        <f>IF(OR(ISBLANK($B25),ISBLANK($C25),$R25=""),"",ROUND($R25*INDEX('Diesel TRU Emission Factors'!$D$6:$D$76,MATCH($B25&amp;$C25,'Diesel TRU Emission Factors'!$R$6:$R$77,0))*GramsToMT,4))</f>
        <v/>
      </c>
      <c r="W25" s="219" t="str">
        <f>IF(OR(ISBLANK($B25),ISBLANK($C25),$R25=""),"",ROUND($R25*INDEX('Diesel TRU Emission Factors'!$E$6:$E$76,MATCH($B25&amp;$C25,'Diesel TRU Emission Factors'!$R$6:$R$77,0))*GramsToMT,4))</f>
        <v/>
      </c>
      <c r="X25" s="219" t="str">
        <f>IF(OR(ISBLANK($B25),ISBLANK($C25),$R25=""),"",ROUND($R25*INDEX('Diesel TRU Emission Factors'!$H$6:$H$76,MATCH($B25&amp;$C25,'Diesel TRU Emission Factors'!$R$6:$R$77,0))*GramsToMT,4))</f>
        <v/>
      </c>
      <c r="Y25" s="220" t="str">
        <f>IF(OR(ISBLANK($B25),ISBLANK($C25),$R25=""),"",ROUND($R25*INDEX('Diesel TRU Emission Factors'!$F$6:$F$76,MATCH($B25&amp;$C25,'Diesel TRU Emission Factors'!$R$6:$R$77,0))*GramsToMT,1))</f>
        <v/>
      </c>
      <c r="Z25" s="220" t="str">
        <f>IF(OR(ISBLANK($B25),ISBLANK($C25),$R25=""),"",$R25*INDEX('Diesel TRU Emission Factors'!$G$6:$G$76,MATCH($B25&amp;$C25,'Diesel TRU Emission Factors'!$R$6:$R$77,0))*GramsToMT)</f>
        <v/>
      </c>
      <c r="AA25" s="221" t="str">
        <f>IF(ISBLANK(F25),"",R25*GalTokWh*'Diesel TRU Emission Factors'!$P$4/1000000)</f>
        <v/>
      </c>
      <c r="AB25" s="221" t="str">
        <f>IF(ISBLANK($F25),"",ROUND(Y25*References!$B$28+Z25*References!$B$29+AA25*References!$B$30,1))</f>
        <v/>
      </c>
      <c r="AC25" s="222"/>
      <c r="AD25" s="219" t="str">
        <f>IF(OR(ISBLANK($F25),$S25="",$T25=""),"",ROUND($S25*(1+$T25)*INDEX('eGRID2018 Subregion'!$C$7:$C$33,MATCH($F25,RegionGEN,0))*GramsToMT,4))</f>
        <v/>
      </c>
      <c r="AE25" s="219" t="str">
        <f>IF(OR(ISBLANK($F25),$S25="",$T25=""),"",ROUND($S25*(1+$T25)*INDEX('eGRID2018 Subregion'!$D$7:$D$33,MATCH($F25,RegionGEN,0))*GramsToMT,4))</f>
        <v/>
      </c>
      <c r="AF25" s="219" t="str">
        <f>IF(OR(ISBLANK($F25),$S25="",$T25=""),"",ROUND($S25*(1+$T25)*INDEX('eGRID2018 Subregion'!$I$7:$I$33,MATCH($F25,RegionGEN,0))*GramsToMT,4))</f>
        <v/>
      </c>
      <c r="AG25" s="220" t="str">
        <f>IF(OR(ISBLANK($F25),$S25="",$T25=""),"",ROUND($S25*(1+$T25)*INDEX('eGRID2018 Subregion'!$E$7:$E$33,MATCH($F25,RegionGEN,0))*GramsToMT,1))</f>
        <v/>
      </c>
      <c r="AH25" s="220" t="str">
        <f>IF(OR(ISBLANK($F25),$S25="",$T25=""),"",$S25*(1+$T25)*INDEX('eGRID2018 Subregion'!$F$7:$F$33,MATCH($F25,RegionGEN,0))*GramsToMT)</f>
        <v/>
      </c>
      <c r="AI25" s="220" t="str">
        <f>IF(OR(ISBLANK($F25),$S25="",$T25=""),"",$S25*(1+$T25)*INDEX('eGRID2018 Subregion'!$G$7:$G$33,MATCH($F25,RegionGEN,0))*GramsToMT)</f>
        <v/>
      </c>
      <c r="AJ25" s="220" t="str">
        <f>IF(ISBLANK($F25),"",ROUND(AG25*References!$B$28+AH25*References!$B$29+AI25*References!$B$30,1))</f>
        <v/>
      </c>
      <c r="AK25" s="222"/>
      <c r="AL25" s="219" t="str">
        <f t="shared" si="1"/>
        <v/>
      </c>
      <c r="AM25" s="219" t="str">
        <f t="shared" si="2"/>
        <v/>
      </c>
      <c r="AN25" s="219" t="str">
        <f t="shared" si="3"/>
        <v/>
      </c>
      <c r="AO25" s="220" t="str">
        <f t="shared" si="4"/>
        <v/>
      </c>
      <c r="AP25" s="220" t="str">
        <f t="shared" si="5"/>
        <v/>
      </c>
      <c r="AQ25" s="223"/>
      <c r="AR25" s="224" t="str">
        <f t="shared" si="6"/>
        <v/>
      </c>
      <c r="AS25" s="224" t="str">
        <f>IF(OR($W25="",$AM25="",$W25=0),"", $AM25/$W25)</f>
        <v/>
      </c>
      <c r="AT25" s="224" t="str">
        <f t="shared" si="7"/>
        <v/>
      </c>
      <c r="AU25" s="224" t="str">
        <f t="shared" si="8"/>
        <v/>
      </c>
      <c r="AV25" s="224" t="str">
        <f t="shared" si="9"/>
        <v/>
      </c>
      <c r="AW25" s="212"/>
      <c r="AX25" s="301" t="str">
        <f t="shared" si="10"/>
        <v/>
      </c>
      <c r="AY25" s="301" t="str">
        <f t="shared" si="11"/>
        <v/>
      </c>
      <c r="AZ25" s="301" t="str">
        <f t="shared" si="15"/>
        <v/>
      </c>
      <c r="BA25" s="222"/>
      <c r="BB25" s="301" t="str">
        <f t="shared" si="12"/>
        <v/>
      </c>
      <c r="BC25" s="301" t="str">
        <f t="shared" si="16"/>
        <v/>
      </c>
      <c r="BD25" s="301" t="str">
        <f t="shared" si="17"/>
        <v/>
      </c>
      <c r="BE25" s="5"/>
    </row>
    <row r="26" spans="1:57">
      <c r="A26" s="105"/>
      <c r="B26" s="225"/>
      <c r="C26" s="225"/>
      <c r="D26" s="226"/>
      <c r="E26" s="411"/>
      <c r="F26" s="225"/>
      <c r="G26" s="212" t="str">
        <f>IF(OR(ISBLANK($B26),ISBLANK($C26)),"",INDEX('TRU Ops &amp; Costs'!$D$4:$D$74,MATCH($B26&amp;$C26,'TRU Ops &amp; Costs'!$P$4:$P$74,0))/0.7457)</f>
        <v/>
      </c>
      <c r="H26" s="213" t="str">
        <f>IF(OR(ISBLANK($B26),ISBLANK($C26)),"",INDEX('TRU Ops &amp; Costs'!$E$4:$E$74,MATCH($B26&amp;$C26,'TRU Ops &amp; Costs'!$P$4:$P$74,0)))</f>
        <v/>
      </c>
      <c r="I26" s="212" t="str">
        <f>IF(OR(ISBLANK($B26),ISBLANK($C26)),"",INDEX('TRU Ops &amp; Costs'!$F$4:$F$74,MATCH($B26&amp;$C26,'TRU Ops &amp; Costs'!$P$4:$P$74,0)))</f>
        <v/>
      </c>
      <c r="J26" s="214" t="str">
        <f>IF(OR(ISBLANK($B26),ISBLANK($C26)),"",INDEX('TRU Ops &amp; Costs'!$G$4:$G$74,MATCH($B26&amp;$C26,'TRU Ops &amp; Costs'!$P$4:$P$74,0)))</f>
        <v/>
      </c>
      <c r="K26" s="212" t="str">
        <f t="shared" si="13"/>
        <v/>
      </c>
      <c r="L26" s="215" t="str">
        <f>IF(ISBLANK($F26),"",INDEX('Diesel Fuel Prices'!$D$5:$D$31,MATCH($F26,'Diesel Fuel Prices'!$B$5:$B$31,0))*References!$B$38/References!$B$37)</f>
        <v/>
      </c>
      <c r="M26" s="215" t="str">
        <f>IF(ISBLANK($F26),"",VLOOKUP($F26,'Electricity Prices'!$B$4:$F$31,5,FALSE)*References!$B$38/References!$B$37)</f>
        <v/>
      </c>
      <c r="N26" s="216" t="str">
        <f>IF(OR(ISBLANK($B26),ISBLANK($C26)),"",INDEX('TRU Ops &amp; Costs'!$I$4:$I$74,MATCH($B26&amp;$C26,'TRU Ops &amp; Costs'!$P$4:$P$74,0)))</f>
        <v/>
      </c>
      <c r="O26" s="216" t="str">
        <f>IF(OR(ISBLANK($B26),ISBLANK($C26)),"",IF(E26="Yard",INDEX('TRU Ops &amp; Costs'!$J$4:$J$74,MATCH($B26&amp;$C26,'TRU Ops &amp; Costs'!$P$4:$P$74,0)),INDEX('TRU Ops &amp; Costs'!$K$4:$K$74,MATCH($B26&amp;$C26,'TRU Ops &amp; Costs'!$P$4:$P$74,0))))</f>
        <v/>
      </c>
      <c r="P26" s="216" t="str">
        <f>IF(OR(ISBLANK($B26),ISBLANK($C26)),"",$K26*INDEX('TRU Ops &amp; Costs'!$M$4:$M$74,MATCH($B26&amp;$C26,'TRU Ops &amp; Costs'!$P$4:$P$74,0))*-INDEX('TRU Ops &amp; Costs'!$L$4:$L$74,MATCH($B26&amp;$C26,'TRU Ops &amp; Costs'!$P$4:$P$74,0)))</f>
        <v/>
      </c>
      <c r="Q26" s="212"/>
      <c r="R26" s="234" t="str">
        <f t="shared" si="18"/>
        <v/>
      </c>
      <c r="S26" s="227" t="str">
        <f t="shared" si="0"/>
        <v/>
      </c>
      <c r="T26" s="228" t="str">
        <f>IF(ISBLANK($F26),"",INDEX('eGRID2018 Subregion'!$J$7:$J$33,MATCH($F26,RegionGEN,0)))</f>
        <v/>
      </c>
      <c r="U26" s="212"/>
      <c r="V26" s="229" t="str">
        <f>IF(OR(ISBLANK($B26),ISBLANK($C26),$R26=""),"",ROUND($R26*INDEX('Diesel TRU Emission Factors'!$D$6:$D$76,MATCH($B26&amp;$C26,'Diesel TRU Emission Factors'!$R$6:$R$77,0))*GramsToMT,4))</f>
        <v/>
      </c>
      <c r="W26" s="229" t="str">
        <f>IF(OR(ISBLANK($B26),ISBLANK($C26),$R26=""),"",ROUND($R26*INDEX('Diesel TRU Emission Factors'!$E$6:$E$76,MATCH($B26&amp;$C26,'Diesel TRU Emission Factors'!$R$6:$R$77,0))*GramsToMT,4))</f>
        <v/>
      </c>
      <c r="X26" s="229" t="str">
        <f>IF(OR(ISBLANK($B26),ISBLANK($C26),$R26=""),"",ROUND($R26*INDEX('Diesel TRU Emission Factors'!$H$6:$H$76,MATCH($B26&amp;$C26,'Diesel TRU Emission Factors'!$R$6:$R$77,0))*GramsToMT,4))</f>
        <v/>
      </c>
      <c r="Y26" s="230" t="str">
        <f>IF(OR(ISBLANK($B26),ISBLANK($C26),$R26=""),"",ROUND($R26*INDEX('Diesel TRU Emission Factors'!$F$6:$F$76,MATCH($B26&amp;$C26,'Diesel TRU Emission Factors'!$R$6:$R$77,0))*GramsToMT,1))</f>
        <v/>
      </c>
      <c r="Z26" s="230" t="str">
        <f>IF(OR(ISBLANK($B26),ISBLANK($C26),$R26=""),"",$R26*INDEX('Diesel TRU Emission Factors'!$G$6:$G$76,MATCH($B26&amp;$C26,'Diesel TRU Emission Factors'!$R$6:$R$77,0))*GramsToMT)</f>
        <v/>
      </c>
      <c r="AA26" s="231" t="str">
        <f>IF(ISBLANK(F26),"",R26*GalTokWh*'Diesel TRU Emission Factors'!$P$4/1000000)</f>
        <v/>
      </c>
      <c r="AB26" s="231" t="str">
        <f>IF(ISBLANK($F26),"",ROUND(Y26*References!$B$28+Z26*References!$B$29+AA26*References!$B$30,1))</f>
        <v/>
      </c>
      <c r="AC26" s="222"/>
      <c r="AD26" s="229" t="str">
        <f>IF(OR(ISBLANK($F26),$S26="",$T26=""),"",ROUND($S26*(1+$T26)*INDEX('eGRID2018 Subregion'!$C$7:$C$33,MATCH($F26,RegionGEN,0))*GramsToMT,4))</f>
        <v/>
      </c>
      <c r="AE26" s="229" t="str">
        <f>IF(OR(ISBLANK($F26),$S26="",$T26=""),"",ROUND($S26*(1+$T26)*INDEX('eGRID2018 Subregion'!$D$7:$D$33,MATCH($F26,RegionGEN,0))*GramsToMT,4))</f>
        <v/>
      </c>
      <c r="AF26" s="229" t="str">
        <f>IF(OR(ISBLANK($F26),$S26="",$T26=""),"",ROUND($S26*(1+$T26)*INDEX('eGRID2018 Subregion'!$I$7:$I$33,MATCH($F26,RegionGEN,0))*GramsToMT,4))</f>
        <v/>
      </c>
      <c r="AG26" s="230" t="str">
        <f>IF(OR(ISBLANK($F26),$S26="",$T26=""),"",ROUND($S26*(1+$T26)*INDEX('eGRID2018 Subregion'!$E$7:$E$33,MATCH($F26,RegionGEN,0))*GramsToMT,1))</f>
        <v/>
      </c>
      <c r="AH26" s="230" t="str">
        <f>IF(OR(ISBLANK($F26),$S26="",$T26=""),"",$S26*(1+$T26)*INDEX('eGRID2018 Subregion'!$F$7:$F$33,MATCH($F26,RegionGEN,0))*GramsToMT)</f>
        <v/>
      </c>
      <c r="AI26" s="230" t="str">
        <f>IF(OR(ISBLANK($F26),$S26="",$T26=""),"",$S26*(1+$T26)*INDEX('eGRID2018 Subregion'!$G$7:$G$33,MATCH($F26,RegionGEN,0))*GramsToMT)</f>
        <v/>
      </c>
      <c r="AJ26" s="230" t="str">
        <f>IF(ISBLANK($F26),"",ROUND(AG26*References!$B$28+AH26*References!$B$29+AI26*References!$B$30,1))</f>
        <v/>
      </c>
      <c r="AK26" s="222"/>
      <c r="AL26" s="229" t="str">
        <f t="shared" si="1"/>
        <v/>
      </c>
      <c r="AM26" s="229" t="str">
        <f t="shared" si="2"/>
        <v/>
      </c>
      <c r="AN26" s="229" t="str">
        <f t="shared" si="3"/>
        <v/>
      </c>
      <c r="AO26" s="230" t="str">
        <f t="shared" si="4"/>
        <v/>
      </c>
      <c r="AP26" s="230" t="str">
        <f t="shared" si="5"/>
        <v/>
      </c>
      <c r="AQ26" s="223"/>
      <c r="AR26" s="232" t="str">
        <f t="shared" si="6"/>
        <v/>
      </c>
      <c r="AS26" s="232" t="str">
        <f t="shared" ref="AS26" si="28">IF(OR(W26="",AM26="",W26=0),"", AM26/W26)</f>
        <v/>
      </c>
      <c r="AT26" s="232" t="str">
        <f t="shared" si="7"/>
        <v/>
      </c>
      <c r="AU26" s="232" t="str">
        <f t="shared" si="8"/>
        <v/>
      </c>
      <c r="AV26" s="232" t="str">
        <f t="shared" si="9"/>
        <v/>
      </c>
      <c r="AW26" s="212"/>
      <c r="AX26" s="300" t="str">
        <f t="shared" si="10"/>
        <v/>
      </c>
      <c r="AY26" s="300" t="str">
        <f t="shared" si="11"/>
        <v/>
      </c>
      <c r="AZ26" s="300" t="str">
        <f t="shared" si="15"/>
        <v/>
      </c>
      <c r="BA26" s="222"/>
      <c r="BB26" s="300" t="str">
        <f t="shared" si="12"/>
        <v/>
      </c>
      <c r="BC26" s="300" t="str">
        <f t="shared" si="16"/>
        <v/>
      </c>
      <c r="BD26" s="300" t="str">
        <f t="shared" si="17"/>
        <v/>
      </c>
      <c r="BE26" s="5"/>
    </row>
    <row r="27" spans="1:57">
      <c r="A27" s="103"/>
      <c r="B27" s="210"/>
      <c r="C27" s="210"/>
      <c r="D27" s="211"/>
      <c r="E27" s="410"/>
      <c r="F27" s="210"/>
      <c r="G27" s="212" t="str">
        <f>IF(OR(ISBLANK($B27),ISBLANK($C27)),"",INDEX('TRU Ops &amp; Costs'!$D$4:$D$74,MATCH($B27&amp;$C27,'TRU Ops &amp; Costs'!$P$4:$P$74,0))/0.7457)</f>
        <v/>
      </c>
      <c r="H27" s="213" t="str">
        <f>IF(OR(ISBLANK($B27),ISBLANK($C27)),"",INDEX('TRU Ops &amp; Costs'!$E$4:$E$74,MATCH($B27&amp;$C27,'TRU Ops &amp; Costs'!$P$4:$P$74,0)))</f>
        <v/>
      </c>
      <c r="I27" s="212" t="str">
        <f>IF(OR(ISBLANK($B27),ISBLANK($C27)),"",INDEX('TRU Ops &amp; Costs'!$F$4:$F$74,MATCH($B27&amp;$C27,'TRU Ops &amp; Costs'!$P$4:$P$74,0)))</f>
        <v/>
      </c>
      <c r="J27" s="214" t="str">
        <f>IF(OR(ISBLANK($B27),ISBLANK($C27)),"",INDEX('TRU Ops &amp; Costs'!$G$4:$G$74,MATCH($B27&amp;$C27,'TRU Ops &amp; Costs'!$P$4:$P$74,0)))</f>
        <v/>
      </c>
      <c r="K27" s="212" t="str">
        <f t="shared" si="13"/>
        <v/>
      </c>
      <c r="L27" s="215" t="str">
        <f>IF(ISBLANK($F27),"",INDEX('Diesel Fuel Prices'!$D$5:$D$31,MATCH($F27,'Diesel Fuel Prices'!$B$5:$B$31,0))*References!$B$38/References!$B$37)</f>
        <v/>
      </c>
      <c r="M27" s="215" t="str">
        <f>IF(ISBLANK($F27),"",VLOOKUP($F27,'Electricity Prices'!$B$4:$F$31,5,FALSE)*References!$B$38/References!$B$37)</f>
        <v/>
      </c>
      <c r="N27" s="216" t="str">
        <f>IF(OR(ISBLANK($B27),ISBLANK($C27)),"",INDEX('TRU Ops &amp; Costs'!$I$4:$I$74,MATCH($B27&amp;$C27,'TRU Ops &amp; Costs'!$P$4:$P$74,0)))</f>
        <v/>
      </c>
      <c r="O27" s="216" t="str">
        <f>IF(OR(ISBLANK($B27),ISBLANK($C27)),"",IF(E27="Yard",INDEX('TRU Ops &amp; Costs'!$J$4:$J$74,MATCH($B27&amp;$C27,'TRU Ops &amp; Costs'!$P$4:$P$74,0)),INDEX('TRU Ops &amp; Costs'!$K$4:$K$74,MATCH($B27&amp;$C27,'TRU Ops &amp; Costs'!$P$4:$P$74,0))))</f>
        <v/>
      </c>
      <c r="P27" s="216" t="str">
        <f>IF(OR(ISBLANK($B27),ISBLANK($C27)),"",$K27*INDEX('TRU Ops &amp; Costs'!$M$4:$M$74,MATCH($B27&amp;$C27,'TRU Ops &amp; Costs'!$P$4:$P$74,0))*-INDEX('TRU Ops &amp; Costs'!$L$4:$L$74,MATCH($B27&amp;$C27,'TRU Ops &amp; Costs'!$P$4:$P$74,0)))</f>
        <v/>
      </c>
      <c r="Q27" s="212"/>
      <c r="R27" s="233" t="str">
        <f t="shared" si="18"/>
        <v/>
      </c>
      <c r="S27" s="217" t="str">
        <f t="shared" si="0"/>
        <v/>
      </c>
      <c r="T27" s="218" t="str">
        <f>IF(ISBLANK($F27),"",INDEX('eGRID2018 Subregion'!$J$7:$J$33,MATCH($F27,RegionGEN,0)))</f>
        <v/>
      </c>
      <c r="U27" s="212"/>
      <c r="V27" s="219" t="str">
        <f>IF(OR(ISBLANK($B27),ISBLANK($C27),$R27=""),"",ROUND($R27*INDEX('Diesel TRU Emission Factors'!$D$6:$D$76,MATCH($B27&amp;$C27,'Diesel TRU Emission Factors'!$R$6:$R$77,0))*GramsToMT,4))</f>
        <v/>
      </c>
      <c r="W27" s="219" t="str">
        <f>IF(OR(ISBLANK($B27),ISBLANK($C27),$R27=""),"",ROUND($R27*INDEX('Diesel TRU Emission Factors'!$E$6:$E$76,MATCH($B27&amp;$C27,'Diesel TRU Emission Factors'!$R$6:$R$77,0))*GramsToMT,4))</f>
        <v/>
      </c>
      <c r="X27" s="219" t="str">
        <f>IF(OR(ISBLANK($B27),ISBLANK($C27),$R27=""),"",ROUND($R27*INDEX('Diesel TRU Emission Factors'!$H$6:$H$76,MATCH($B27&amp;$C27,'Diesel TRU Emission Factors'!$R$6:$R$77,0))*GramsToMT,4))</f>
        <v/>
      </c>
      <c r="Y27" s="220" t="str">
        <f>IF(OR(ISBLANK($B27),ISBLANK($C27),$R27=""),"",ROUND($R27*INDEX('Diesel TRU Emission Factors'!$F$6:$F$76,MATCH($B27&amp;$C27,'Diesel TRU Emission Factors'!$R$6:$R$77,0))*GramsToMT,1))</f>
        <v/>
      </c>
      <c r="Z27" s="220" t="str">
        <f>IF(OR(ISBLANK($B27),ISBLANK($C27),$R27=""),"",$R27*INDEX('Diesel TRU Emission Factors'!$G$6:$G$76,MATCH($B27&amp;$C27,'Diesel TRU Emission Factors'!$R$6:$R$77,0))*GramsToMT)</f>
        <v/>
      </c>
      <c r="AA27" s="221" t="str">
        <f>IF(ISBLANK(F27),"",R27*GalTokWh*'Diesel TRU Emission Factors'!$P$4/1000000)</f>
        <v/>
      </c>
      <c r="AB27" s="221" t="str">
        <f>IF(ISBLANK($F27),"",ROUND(Y27*References!$B$28+Z27*References!$B$29+AA27*References!$B$30,1))</f>
        <v/>
      </c>
      <c r="AC27" s="222"/>
      <c r="AD27" s="219" t="str">
        <f>IF(OR(ISBLANK($F27),$S27="",$T27=""),"",ROUND($S27*(1+$T27)*INDEX('eGRID2018 Subregion'!$C$7:$C$33,MATCH($F27,RegionGEN,0))*GramsToMT,4))</f>
        <v/>
      </c>
      <c r="AE27" s="219" t="str">
        <f>IF(OR(ISBLANK($F27),$S27="",$T27=""),"",ROUND($S27*(1+$T27)*INDEX('eGRID2018 Subregion'!$D$7:$D$33,MATCH($F27,RegionGEN,0))*GramsToMT,4))</f>
        <v/>
      </c>
      <c r="AF27" s="219" t="str">
        <f>IF(OR(ISBLANK($F27),$S27="",$T27=""),"",ROUND($S27*(1+$T27)*INDEX('eGRID2018 Subregion'!$I$7:$I$33,MATCH($F27,RegionGEN,0))*GramsToMT,4))</f>
        <v/>
      </c>
      <c r="AG27" s="220" t="str">
        <f>IF(OR(ISBLANK($F27),$S27="",$T27=""),"",ROUND($S27*(1+$T27)*INDEX('eGRID2018 Subregion'!$E$7:$E$33,MATCH($F27,RegionGEN,0))*GramsToMT,1))</f>
        <v/>
      </c>
      <c r="AH27" s="220" t="str">
        <f>IF(OR(ISBLANK($F27),$S27="",$T27=""),"",$S27*(1+$T27)*INDEX('eGRID2018 Subregion'!$F$7:$F$33,MATCH($F27,RegionGEN,0))*GramsToMT)</f>
        <v/>
      </c>
      <c r="AI27" s="220" t="str">
        <f>IF(OR(ISBLANK($F27),$S27="",$T27=""),"",$S27*(1+$T27)*INDEX('eGRID2018 Subregion'!$G$7:$G$33,MATCH($F27,RegionGEN,0))*GramsToMT)</f>
        <v/>
      </c>
      <c r="AJ27" s="220" t="str">
        <f>IF(ISBLANK($F27),"",ROUND(AG27*References!$B$28+AH27*References!$B$29+AI27*References!$B$30,1))</f>
        <v/>
      </c>
      <c r="AK27" s="222"/>
      <c r="AL27" s="219" t="str">
        <f t="shared" si="1"/>
        <v/>
      </c>
      <c r="AM27" s="219" t="str">
        <f t="shared" si="2"/>
        <v/>
      </c>
      <c r="AN27" s="219" t="str">
        <f t="shared" si="3"/>
        <v/>
      </c>
      <c r="AO27" s="220" t="str">
        <f t="shared" si="4"/>
        <v/>
      </c>
      <c r="AP27" s="220" t="str">
        <f t="shared" si="5"/>
        <v/>
      </c>
      <c r="AQ27" s="223"/>
      <c r="AR27" s="224" t="str">
        <f t="shared" si="6"/>
        <v/>
      </c>
      <c r="AS27" s="224" t="str">
        <f>IF(OR($W27="",$AM27="",$W27=0),"", $AM27/$W27)</f>
        <v/>
      </c>
      <c r="AT27" s="224" t="str">
        <f t="shared" si="7"/>
        <v/>
      </c>
      <c r="AU27" s="224" t="str">
        <f t="shared" si="8"/>
        <v/>
      </c>
      <c r="AV27" s="224" t="str">
        <f t="shared" si="9"/>
        <v/>
      </c>
      <c r="AW27" s="212"/>
      <c r="AX27" s="301" t="str">
        <f t="shared" si="10"/>
        <v/>
      </c>
      <c r="AY27" s="301" t="str">
        <f t="shared" si="11"/>
        <v/>
      </c>
      <c r="AZ27" s="301" t="str">
        <f t="shared" si="15"/>
        <v/>
      </c>
      <c r="BA27" s="222"/>
      <c r="BB27" s="301" t="str">
        <f t="shared" si="12"/>
        <v/>
      </c>
      <c r="BC27" s="301" t="str">
        <f t="shared" si="16"/>
        <v/>
      </c>
      <c r="BD27" s="301" t="str">
        <f t="shared" si="17"/>
        <v/>
      </c>
      <c r="BE27" s="5"/>
    </row>
    <row r="28" spans="1:57">
      <c r="A28" s="105"/>
      <c r="B28" s="225"/>
      <c r="C28" s="225"/>
      <c r="D28" s="226"/>
      <c r="E28" s="411"/>
      <c r="F28" s="225"/>
      <c r="G28" s="212" t="str">
        <f>IF(OR(ISBLANK($B28),ISBLANK($C28)),"",INDEX('TRU Ops &amp; Costs'!$D$4:$D$74,MATCH($B28&amp;$C28,'TRU Ops &amp; Costs'!$P$4:$P$74,0))/0.7457)</f>
        <v/>
      </c>
      <c r="H28" s="213" t="str">
        <f>IF(OR(ISBLANK($B28),ISBLANK($C28)),"",INDEX('TRU Ops &amp; Costs'!$E$4:$E$74,MATCH($B28&amp;$C28,'TRU Ops &amp; Costs'!$P$4:$P$74,0)))</f>
        <v/>
      </c>
      <c r="I28" s="212" t="str">
        <f>IF(OR(ISBLANK($B28),ISBLANK($C28)),"",INDEX('TRU Ops &amp; Costs'!$F$4:$F$74,MATCH($B28&amp;$C28,'TRU Ops &amp; Costs'!$P$4:$P$74,0)))</f>
        <v/>
      </c>
      <c r="J28" s="214" t="str">
        <f>IF(OR(ISBLANK($B28),ISBLANK($C28)),"",INDEX('TRU Ops &amp; Costs'!$G$4:$G$74,MATCH($B28&amp;$C28,'TRU Ops &amp; Costs'!$P$4:$P$74,0)))</f>
        <v/>
      </c>
      <c r="K28" s="212" t="str">
        <f t="shared" si="13"/>
        <v/>
      </c>
      <c r="L28" s="215" t="str">
        <f>IF(ISBLANK($F28),"",INDEX('Diesel Fuel Prices'!$D$5:$D$31,MATCH($F28,'Diesel Fuel Prices'!$B$5:$B$31,0))*References!$B$38/References!$B$37)</f>
        <v/>
      </c>
      <c r="M28" s="215" t="str">
        <f>IF(ISBLANK($F28),"",VLOOKUP($F28,'Electricity Prices'!$B$4:$F$31,5,FALSE)*References!$B$38/References!$B$37)</f>
        <v/>
      </c>
      <c r="N28" s="216" t="str">
        <f>IF(OR(ISBLANK($B28),ISBLANK($C28)),"",INDEX('TRU Ops &amp; Costs'!$I$4:$I$74,MATCH($B28&amp;$C28,'TRU Ops &amp; Costs'!$P$4:$P$74,0)))</f>
        <v/>
      </c>
      <c r="O28" s="216" t="str">
        <f>IF(OR(ISBLANK($B28),ISBLANK($C28)),"",IF(E28="Yard",INDEX('TRU Ops &amp; Costs'!$J$4:$J$74,MATCH($B28&amp;$C28,'TRU Ops &amp; Costs'!$P$4:$P$74,0)),INDEX('TRU Ops &amp; Costs'!$K$4:$K$74,MATCH($B28&amp;$C28,'TRU Ops &amp; Costs'!$P$4:$P$74,0))))</f>
        <v/>
      </c>
      <c r="P28" s="216" t="str">
        <f>IF(OR(ISBLANK($B28),ISBLANK($C28)),"",$K28*INDEX('TRU Ops &amp; Costs'!$M$4:$M$74,MATCH($B28&amp;$C28,'TRU Ops &amp; Costs'!$P$4:$P$74,0))*-INDEX('TRU Ops &amp; Costs'!$L$4:$L$74,MATCH($B28&amp;$C28,'TRU Ops &amp; Costs'!$P$4:$P$74,0)))</f>
        <v/>
      </c>
      <c r="Q28" s="212"/>
      <c r="R28" s="234" t="str">
        <f t="shared" si="18"/>
        <v/>
      </c>
      <c r="S28" s="227" t="str">
        <f t="shared" si="0"/>
        <v/>
      </c>
      <c r="T28" s="228" t="str">
        <f>IF(ISBLANK($F28),"",INDEX('eGRID2018 Subregion'!$J$7:$J$33,MATCH($F28,RegionGEN,0)))</f>
        <v/>
      </c>
      <c r="U28" s="212"/>
      <c r="V28" s="229" t="str">
        <f>IF(OR(ISBLANK($B28),ISBLANK($C28),$R28=""),"",ROUND($R28*INDEX('Diesel TRU Emission Factors'!$D$6:$D$76,MATCH($B28&amp;$C28,'Diesel TRU Emission Factors'!$R$6:$R$77,0))*GramsToMT,4))</f>
        <v/>
      </c>
      <c r="W28" s="229" t="str">
        <f>IF(OR(ISBLANK($B28),ISBLANK($C28),$R28=""),"",ROUND($R28*INDEX('Diesel TRU Emission Factors'!$E$6:$E$76,MATCH($B28&amp;$C28,'Diesel TRU Emission Factors'!$R$6:$R$77,0))*GramsToMT,4))</f>
        <v/>
      </c>
      <c r="X28" s="229" t="str">
        <f>IF(OR(ISBLANK($B28),ISBLANK($C28),$R28=""),"",ROUND($R28*INDEX('Diesel TRU Emission Factors'!$H$6:$H$76,MATCH($B28&amp;$C28,'Diesel TRU Emission Factors'!$R$6:$R$77,0))*GramsToMT,4))</f>
        <v/>
      </c>
      <c r="Y28" s="230" t="str">
        <f>IF(OR(ISBLANK($B28),ISBLANK($C28),$R28=""),"",ROUND($R28*INDEX('Diesel TRU Emission Factors'!$F$6:$F$76,MATCH($B28&amp;$C28,'Diesel TRU Emission Factors'!$R$6:$R$77,0))*GramsToMT,1))</f>
        <v/>
      </c>
      <c r="Z28" s="230" t="str">
        <f>IF(OR(ISBLANK($B28),ISBLANK($C28),$R28=""),"",$R28*INDEX('Diesel TRU Emission Factors'!$G$6:$G$76,MATCH($B28&amp;$C28,'Diesel TRU Emission Factors'!$R$6:$R$77,0))*GramsToMT)</f>
        <v/>
      </c>
      <c r="AA28" s="231" t="str">
        <f>IF(ISBLANK(F28),"",R28*GalTokWh*'Diesel TRU Emission Factors'!$P$4/1000000)</f>
        <v/>
      </c>
      <c r="AB28" s="231" t="str">
        <f>IF(ISBLANK($F28),"",ROUND(Y28*References!$B$28+Z28*References!$B$29+AA28*References!$B$30,1))</f>
        <v/>
      </c>
      <c r="AC28" s="222"/>
      <c r="AD28" s="229" t="str">
        <f>IF(OR(ISBLANK($F28),$S28="",$T28=""),"",ROUND($S28*(1+$T28)*INDEX('eGRID2018 Subregion'!$C$7:$C$33,MATCH($F28,RegionGEN,0))*GramsToMT,4))</f>
        <v/>
      </c>
      <c r="AE28" s="229" t="str">
        <f>IF(OR(ISBLANK($F28),$S28="",$T28=""),"",ROUND($S28*(1+$T28)*INDEX('eGRID2018 Subregion'!$D$7:$D$33,MATCH($F28,RegionGEN,0))*GramsToMT,4))</f>
        <v/>
      </c>
      <c r="AF28" s="229" t="str">
        <f>IF(OR(ISBLANK($F28),$S28="",$T28=""),"",ROUND($S28*(1+$T28)*INDEX('eGRID2018 Subregion'!$I$7:$I$33,MATCH($F28,RegionGEN,0))*GramsToMT,4))</f>
        <v/>
      </c>
      <c r="AG28" s="230" t="str">
        <f>IF(OR(ISBLANK($F28),$S28="",$T28=""),"",ROUND($S28*(1+$T28)*INDEX('eGRID2018 Subregion'!$E$7:$E$33,MATCH($F28,RegionGEN,0))*GramsToMT,1))</f>
        <v/>
      </c>
      <c r="AH28" s="230" t="str">
        <f>IF(OR(ISBLANK($F28),$S28="",$T28=""),"",$S28*(1+$T28)*INDEX('eGRID2018 Subregion'!$F$7:$F$33,MATCH($F28,RegionGEN,0))*GramsToMT)</f>
        <v/>
      </c>
      <c r="AI28" s="230" t="str">
        <f>IF(OR(ISBLANK($F28),$S28="",$T28=""),"",$S28*(1+$T28)*INDEX('eGRID2018 Subregion'!$G$7:$G$33,MATCH($F28,RegionGEN,0))*GramsToMT)</f>
        <v/>
      </c>
      <c r="AJ28" s="230" t="str">
        <f>IF(ISBLANK($F28),"",ROUND(AG28*References!$B$28+AH28*References!$B$29+AI28*References!$B$30,1))</f>
        <v/>
      </c>
      <c r="AK28" s="222"/>
      <c r="AL28" s="229" t="str">
        <f t="shared" si="1"/>
        <v/>
      </c>
      <c r="AM28" s="229" t="str">
        <f t="shared" si="2"/>
        <v/>
      </c>
      <c r="AN28" s="229" t="str">
        <f t="shared" si="3"/>
        <v/>
      </c>
      <c r="AO28" s="230" t="str">
        <f t="shared" si="4"/>
        <v/>
      </c>
      <c r="AP28" s="230" t="str">
        <f t="shared" si="5"/>
        <v/>
      </c>
      <c r="AQ28" s="223"/>
      <c r="AR28" s="232" t="str">
        <f t="shared" si="6"/>
        <v/>
      </c>
      <c r="AS28" s="232" t="str">
        <f t="shared" ref="AS28" si="29">IF(OR(W28="",AM28="",W28=0),"", AM28/W28)</f>
        <v/>
      </c>
      <c r="AT28" s="232" t="str">
        <f t="shared" si="7"/>
        <v/>
      </c>
      <c r="AU28" s="232" t="str">
        <f t="shared" si="8"/>
        <v/>
      </c>
      <c r="AV28" s="232" t="str">
        <f t="shared" si="9"/>
        <v/>
      </c>
      <c r="AW28" s="212"/>
      <c r="AX28" s="300" t="str">
        <f t="shared" si="10"/>
        <v/>
      </c>
      <c r="AY28" s="300" t="str">
        <f t="shared" si="11"/>
        <v/>
      </c>
      <c r="AZ28" s="300" t="str">
        <f t="shared" si="15"/>
        <v/>
      </c>
      <c r="BA28" s="222"/>
      <c r="BB28" s="300" t="str">
        <f t="shared" si="12"/>
        <v/>
      </c>
      <c r="BC28" s="300" t="str">
        <f t="shared" si="16"/>
        <v/>
      </c>
      <c r="BD28" s="300" t="str">
        <f t="shared" si="17"/>
        <v/>
      </c>
      <c r="BE28" s="5"/>
    </row>
    <row r="29" spans="1:57">
      <c r="A29" s="103"/>
      <c r="B29" s="210"/>
      <c r="C29" s="210"/>
      <c r="D29" s="211"/>
      <c r="E29" s="410"/>
      <c r="F29" s="210"/>
      <c r="G29" s="212" t="str">
        <f>IF(OR(ISBLANK($B29),ISBLANK($C29)),"",INDEX('TRU Ops &amp; Costs'!$D$4:$D$74,MATCH($B29&amp;$C29,'TRU Ops &amp; Costs'!$P$4:$P$74,0))/0.7457)</f>
        <v/>
      </c>
      <c r="H29" s="213" t="str">
        <f>IF(OR(ISBLANK($B29),ISBLANK($C29)),"",INDEX('TRU Ops &amp; Costs'!$E$4:$E$74,MATCH($B29&amp;$C29,'TRU Ops &amp; Costs'!$P$4:$P$74,0)))</f>
        <v/>
      </c>
      <c r="I29" s="212" t="str">
        <f>IF(OR(ISBLANK($B29),ISBLANK($C29)),"",INDEX('TRU Ops &amp; Costs'!$F$4:$F$74,MATCH($B29&amp;$C29,'TRU Ops &amp; Costs'!$P$4:$P$74,0)))</f>
        <v/>
      </c>
      <c r="J29" s="214" t="str">
        <f>IF(OR(ISBLANK($B29),ISBLANK($C29)),"",INDEX('TRU Ops &amp; Costs'!$G$4:$G$74,MATCH($B29&amp;$C29,'TRU Ops &amp; Costs'!$P$4:$P$74,0)))</f>
        <v/>
      </c>
      <c r="K29" s="212" t="str">
        <f t="shared" si="13"/>
        <v/>
      </c>
      <c r="L29" s="215" t="str">
        <f>IF(ISBLANK($F29),"",INDEX('Diesel Fuel Prices'!$D$5:$D$31,MATCH($F29,'Diesel Fuel Prices'!$B$5:$B$31,0))*References!$B$38/References!$B$37)</f>
        <v/>
      </c>
      <c r="M29" s="215" t="str">
        <f>IF(ISBLANK($F29),"",VLOOKUP($F29,'Electricity Prices'!$B$4:$F$31,5,FALSE)*References!$B$38/References!$B$37)</f>
        <v/>
      </c>
      <c r="N29" s="216" t="str">
        <f>IF(OR(ISBLANK($B29),ISBLANK($C29)),"",INDEX('TRU Ops &amp; Costs'!$I$4:$I$74,MATCH($B29&amp;$C29,'TRU Ops &amp; Costs'!$P$4:$P$74,0)))</f>
        <v/>
      </c>
      <c r="O29" s="216" t="str">
        <f>IF(OR(ISBLANK($B29),ISBLANK($C29)),"",IF(E29="Yard",INDEX('TRU Ops &amp; Costs'!$J$4:$J$74,MATCH($B29&amp;$C29,'TRU Ops &amp; Costs'!$P$4:$P$74,0)),INDEX('TRU Ops &amp; Costs'!$K$4:$K$74,MATCH($B29&amp;$C29,'TRU Ops &amp; Costs'!$P$4:$P$74,0))))</f>
        <v/>
      </c>
      <c r="P29" s="216" t="str">
        <f>IF(OR(ISBLANK($B29),ISBLANK($C29)),"",$K29*INDEX('TRU Ops &amp; Costs'!$M$4:$M$74,MATCH($B29&amp;$C29,'TRU Ops &amp; Costs'!$P$4:$P$74,0))*-INDEX('TRU Ops &amp; Costs'!$L$4:$L$74,MATCH($B29&amp;$C29,'TRU Ops &amp; Costs'!$P$4:$P$74,0)))</f>
        <v/>
      </c>
      <c r="Q29" s="212"/>
      <c r="R29" s="233" t="str">
        <f t="shared" si="18"/>
        <v/>
      </c>
      <c r="S29" s="217" t="str">
        <f t="shared" si="0"/>
        <v/>
      </c>
      <c r="T29" s="218" t="str">
        <f>IF(ISBLANK($F29),"",INDEX('eGRID2018 Subregion'!$J$7:$J$33,MATCH($F29,RegionGEN,0)))</f>
        <v/>
      </c>
      <c r="U29" s="212"/>
      <c r="V29" s="219" t="str">
        <f>IF(OR(ISBLANK($B29),ISBLANK($C29),$R29=""),"",ROUND($R29*INDEX('Diesel TRU Emission Factors'!$D$6:$D$76,MATCH($B29&amp;$C29,'Diesel TRU Emission Factors'!$R$6:$R$77,0))*GramsToMT,4))</f>
        <v/>
      </c>
      <c r="W29" s="219" t="str">
        <f>IF(OR(ISBLANK($B29),ISBLANK($C29),$R29=""),"",ROUND($R29*INDEX('Diesel TRU Emission Factors'!$E$6:$E$76,MATCH($B29&amp;$C29,'Diesel TRU Emission Factors'!$R$6:$R$77,0))*GramsToMT,4))</f>
        <v/>
      </c>
      <c r="X29" s="219" t="str">
        <f>IF(OR(ISBLANK($B29),ISBLANK($C29),$R29=""),"",ROUND($R29*INDEX('Diesel TRU Emission Factors'!$H$6:$H$76,MATCH($B29&amp;$C29,'Diesel TRU Emission Factors'!$R$6:$R$77,0))*GramsToMT,4))</f>
        <v/>
      </c>
      <c r="Y29" s="220" t="str">
        <f>IF(OR(ISBLANK($B29),ISBLANK($C29),$R29=""),"",ROUND($R29*INDEX('Diesel TRU Emission Factors'!$F$6:$F$76,MATCH($B29&amp;$C29,'Diesel TRU Emission Factors'!$R$6:$R$77,0))*GramsToMT,1))</f>
        <v/>
      </c>
      <c r="Z29" s="220" t="str">
        <f>IF(OR(ISBLANK($B29),ISBLANK($C29),$R29=""),"",$R29*INDEX('Diesel TRU Emission Factors'!$G$6:$G$76,MATCH($B29&amp;$C29,'Diesel TRU Emission Factors'!$R$6:$R$77,0))*GramsToMT)</f>
        <v/>
      </c>
      <c r="AA29" s="221" t="str">
        <f>IF(ISBLANK(F29),"",R29*GalTokWh*'Diesel TRU Emission Factors'!$P$4/1000000)</f>
        <v/>
      </c>
      <c r="AB29" s="221" t="str">
        <f>IF(ISBLANK($F29),"",ROUND(Y29*References!$B$28+Z29*References!$B$29+AA29*References!$B$30,1))</f>
        <v/>
      </c>
      <c r="AC29" s="222"/>
      <c r="AD29" s="219" t="str">
        <f>IF(OR(ISBLANK($F29),$S29="",$T29=""),"",ROUND($S29*(1+$T29)*INDEX('eGRID2018 Subregion'!$C$7:$C$33,MATCH($F29,RegionGEN,0))*GramsToMT,4))</f>
        <v/>
      </c>
      <c r="AE29" s="219" t="str">
        <f>IF(OR(ISBLANK($F29),$S29="",$T29=""),"",ROUND($S29*(1+$T29)*INDEX('eGRID2018 Subregion'!$D$7:$D$33,MATCH($F29,RegionGEN,0))*GramsToMT,4))</f>
        <v/>
      </c>
      <c r="AF29" s="219" t="str">
        <f>IF(OR(ISBLANK($F29),$S29="",$T29=""),"",ROUND($S29*(1+$T29)*INDEX('eGRID2018 Subregion'!$I$7:$I$33,MATCH($F29,RegionGEN,0))*GramsToMT,4))</f>
        <v/>
      </c>
      <c r="AG29" s="220" t="str">
        <f>IF(OR(ISBLANK($F29),$S29="",$T29=""),"",ROUND($S29*(1+$T29)*INDEX('eGRID2018 Subregion'!$E$7:$E$33,MATCH($F29,RegionGEN,0))*GramsToMT,1))</f>
        <v/>
      </c>
      <c r="AH29" s="220" t="str">
        <f>IF(OR(ISBLANK($F29),$S29="",$T29=""),"",$S29*(1+$T29)*INDEX('eGRID2018 Subregion'!$F$7:$F$33,MATCH($F29,RegionGEN,0))*GramsToMT)</f>
        <v/>
      </c>
      <c r="AI29" s="220" t="str">
        <f>IF(OR(ISBLANK($F29),$S29="",$T29=""),"",$S29*(1+$T29)*INDEX('eGRID2018 Subregion'!$G$7:$G$33,MATCH($F29,RegionGEN,0))*GramsToMT)</f>
        <v/>
      </c>
      <c r="AJ29" s="220" t="str">
        <f>IF(ISBLANK($F29),"",ROUND(AG29*References!$B$28+AH29*References!$B$29+AI29*References!$B$30,1))</f>
        <v/>
      </c>
      <c r="AK29" s="222"/>
      <c r="AL29" s="219" t="str">
        <f t="shared" si="1"/>
        <v/>
      </c>
      <c r="AM29" s="219" t="str">
        <f t="shared" si="2"/>
        <v/>
      </c>
      <c r="AN29" s="219" t="str">
        <f t="shared" si="3"/>
        <v/>
      </c>
      <c r="AO29" s="220" t="str">
        <f t="shared" si="4"/>
        <v/>
      </c>
      <c r="AP29" s="220" t="str">
        <f t="shared" si="5"/>
        <v/>
      </c>
      <c r="AQ29" s="223"/>
      <c r="AR29" s="224" t="str">
        <f t="shared" si="6"/>
        <v/>
      </c>
      <c r="AS29" s="224" t="str">
        <f>IF(OR($W29="",$AM29="",$W29=0),"", $AM29/$W29)</f>
        <v/>
      </c>
      <c r="AT29" s="224" t="str">
        <f t="shared" si="7"/>
        <v/>
      </c>
      <c r="AU29" s="224" t="str">
        <f t="shared" si="8"/>
        <v/>
      </c>
      <c r="AV29" s="224" t="str">
        <f t="shared" si="9"/>
        <v/>
      </c>
      <c r="AW29" s="212"/>
      <c r="AX29" s="301" t="str">
        <f t="shared" si="10"/>
        <v/>
      </c>
      <c r="AY29" s="301" t="str">
        <f t="shared" si="11"/>
        <v/>
      </c>
      <c r="AZ29" s="301" t="str">
        <f t="shared" si="15"/>
        <v/>
      </c>
      <c r="BA29" s="222"/>
      <c r="BB29" s="301" t="str">
        <f t="shared" si="12"/>
        <v/>
      </c>
      <c r="BC29" s="301" t="str">
        <f t="shared" si="16"/>
        <v/>
      </c>
      <c r="BD29" s="301" t="str">
        <f t="shared" si="17"/>
        <v/>
      </c>
      <c r="BE29" s="5"/>
    </row>
    <row r="30" spans="1:57">
      <c r="A30" s="105"/>
      <c r="B30" s="225"/>
      <c r="C30" s="225"/>
      <c r="D30" s="226"/>
      <c r="E30" s="411"/>
      <c r="F30" s="225"/>
      <c r="G30" s="212" t="str">
        <f>IF(OR(ISBLANK($B30),ISBLANK($C30)),"",INDEX('TRU Ops &amp; Costs'!$D$4:$D$74,MATCH($B30&amp;$C30,'TRU Ops &amp; Costs'!$P$4:$P$74,0))/0.7457)</f>
        <v/>
      </c>
      <c r="H30" s="213" t="str">
        <f>IF(OR(ISBLANK($B30),ISBLANK($C30)),"",INDEX('TRU Ops &amp; Costs'!$E$4:$E$74,MATCH($B30&amp;$C30,'TRU Ops &amp; Costs'!$P$4:$P$74,0)))</f>
        <v/>
      </c>
      <c r="I30" s="212" t="str">
        <f>IF(OR(ISBLANK($B30),ISBLANK($C30)),"",INDEX('TRU Ops &amp; Costs'!$F$4:$F$74,MATCH($B30&amp;$C30,'TRU Ops &amp; Costs'!$P$4:$P$74,0)))</f>
        <v/>
      </c>
      <c r="J30" s="214" t="str">
        <f>IF(OR(ISBLANK($B30),ISBLANK($C30)),"",INDEX('TRU Ops &amp; Costs'!$G$4:$G$74,MATCH($B30&amp;$C30,'TRU Ops &amp; Costs'!$P$4:$P$74,0)))</f>
        <v/>
      </c>
      <c r="K30" s="212" t="str">
        <f t="shared" si="13"/>
        <v/>
      </c>
      <c r="L30" s="215" t="str">
        <f>IF(ISBLANK($F30),"",INDEX('Diesel Fuel Prices'!$D$5:$D$31,MATCH($F30,'Diesel Fuel Prices'!$B$5:$B$31,0))*References!$B$38/References!$B$37)</f>
        <v/>
      </c>
      <c r="M30" s="215" t="str">
        <f>IF(ISBLANK($F30),"",VLOOKUP($F30,'Electricity Prices'!$B$4:$F$31,5,FALSE)*References!$B$38/References!$B$37)</f>
        <v/>
      </c>
      <c r="N30" s="216" t="str">
        <f>IF(OR(ISBLANK($B30),ISBLANK($C30)),"",INDEX('TRU Ops &amp; Costs'!$I$4:$I$74,MATCH($B30&amp;$C30,'TRU Ops &amp; Costs'!$P$4:$P$74,0)))</f>
        <v/>
      </c>
      <c r="O30" s="216" t="str">
        <f>IF(OR(ISBLANK($B30),ISBLANK($C30)),"",IF(E30="Yard",INDEX('TRU Ops &amp; Costs'!$J$4:$J$74,MATCH($B30&amp;$C30,'TRU Ops &amp; Costs'!$P$4:$P$74,0)),INDEX('TRU Ops &amp; Costs'!$K$4:$K$74,MATCH($B30&amp;$C30,'TRU Ops &amp; Costs'!$P$4:$P$74,0))))</f>
        <v/>
      </c>
      <c r="P30" s="216" t="str">
        <f>IF(OR(ISBLANK($B30),ISBLANK($C30)),"",$K30*INDEX('TRU Ops &amp; Costs'!$M$4:$M$74,MATCH($B30&amp;$C30,'TRU Ops &amp; Costs'!$P$4:$P$74,0))*-INDEX('TRU Ops &amp; Costs'!$L$4:$L$74,MATCH($B30&amp;$C30,'TRU Ops &amp; Costs'!$P$4:$P$74,0)))</f>
        <v/>
      </c>
      <c r="Q30" s="212"/>
      <c r="R30" s="234" t="str">
        <f t="shared" si="18"/>
        <v/>
      </c>
      <c r="S30" s="227" t="str">
        <f t="shared" si="0"/>
        <v/>
      </c>
      <c r="T30" s="228" t="str">
        <f>IF(ISBLANK($F30),"",INDEX('eGRID2018 Subregion'!$J$7:$J$33,MATCH($F30,RegionGEN,0)))</f>
        <v/>
      </c>
      <c r="U30" s="212"/>
      <c r="V30" s="229" t="str">
        <f>IF(OR(ISBLANK($B30),ISBLANK($C30),$R30=""),"",ROUND($R30*INDEX('Diesel TRU Emission Factors'!$D$6:$D$76,MATCH($B30&amp;$C30,'Diesel TRU Emission Factors'!$R$6:$R$77,0))*GramsToMT,4))</f>
        <v/>
      </c>
      <c r="W30" s="229" t="str">
        <f>IF(OR(ISBLANK($B30),ISBLANK($C30),$R30=""),"",ROUND($R30*INDEX('Diesel TRU Emission Factors'!$E$6:$E$76,MATCH($B30&amp;$C30,'Diesel TRU Emission Factors'!$R$6:$R$77,0))*GramsToMT,4))</f>
        <v/>
      </c>
      <c r="X30" s="229" t="str">
        <f>IF(OR(ISBLANK($B30),ISBLANK($C30),$R30=""),"",ROUND($R30*INDEX('Diesel TRU Emission Factors'!$H$6:$H$76,MATCH($B30&amp;$C30,'Diesel TRU Emission Factors'!$R$6:$R$77,0))*GramsToMT,4))</f>
        <v/>
      </c>
      <c r="Y30" s="230" t="str">
        <f>IF(OR(ISBLANK($B30),ISBLANK($C30),$R30=""),"",ROUND($R30*INDEX('Diesel TRU Emission Factors'!$F$6:$F$76,MATCH($B30&amp;$C30,'Diesel TRU Emission Factors'!$R$6:$R$77,0))*GramsToMT,1))</f>
        <v/>
      </c>
      <c r="Z30" s="230" t="str">
        <f>IF(OR(ISBLANK($B30),ISBLANK($C30),$R30=""),"",$R30*INDEX('Diesel TRU Emission Factors'!$G$6:$G$76,MATCH($B30&amp;$C30,'Diesel TRU Emission Factors'!$R$6:$R$77,0))*GramsToMT)</f>
        <v/>
      </c>
      <c r="AA30" s="231" t="str">
        <f>IF(ISBLANK(F30),"",R30*GalTokWh*'Diesel TRU Emission Factors'!$P$4/1000000)</f>
        <v/>
      </c>
      <c r="AB30" s="231" t="str">
        <f>IF(ISBLANK($F30),"",ROUND(Y30*References!$B$28+Z30*References!$B$29+AA30*References!$B$30,1))</f>
        <v/>
      </c>
      <c r="AC30" s="222"/>
      <c r="AD30" s="229" t="str">
        <f>IF(OR(ISBLANK($F30),$S30="",$T30=""),"",ROUND($S30*(1+$T30)*INDEX('eGRID2018 Subregion'!$C$7:$C$33,MATCH($F30,RegionGEN,0))*GramsToMT,4))</f>
        <v/>
      </c>
      <c r="AE30" s="229" t="str">
        <f>IF(OR(ISBLANK($F30),$S30="",$T30=""),"",ROUND($S30*(1+$T30)*INDEX('eGRID2018 Subregion'!$D$7:$D$33,MATCH($F30,RegionGEN,0))*GramsToMT,4))</f>
        <v/>
      </c>
      <c r="AF30" s="229" t="str">
        <f>IF(OR(ISBLANK($F30),$S30="",$T30=""),"",ROUND($S30*(1+$T30)*INDEX('eGRID2018 Subregion'!$I$7:$I$33,MATCH($F30,RegionGEN,0))*GramsToMT,4))</f>
        <v/>
      </c>
      <c r="AG30" s="230" t="str">
        <f>IF(OR(ISBLANK($F30),$S30="",$T30=""),"",ROUND($S30*(1+$T30)*INDEX('eGRID2018 Subregion'!$E$7:$E$33,MATCH($F30,RegionGEN,0))*GramsToMT,1))</f>
        <v/>
      </c>
      <c r="AH30" s="230" t="str">
        <f>IF(OR(ISBLANK($F30),$S30="",$T30=""),"",$S30*(1+$T30)*INDEX('eGRID2018 Subregion'!$F$7:$F$33,MATCH($F30,RegionGEN,0))*GramsToMT)</f>
        <v/>
      </c>
      <c r="AI30" s="230" t="str">
        <f>IF(OR(ISBLANK($F30),$S30="",$T30=""),"",$S30*(1+$T30)*INDEX('eGRID2018 Subregion'!$G$7:$G$33,MATCH($F30,RegionGEN,0))*GramsToMT)</f>
        <v/>
      </c>
      <c r="AJ30" s="230" t="str">
        <f>IF(ISBLANK($F30),"",ROUND(AG30*References!$B$28+AH30*References!$B$29+AI30*References!$B$30,1))</f>
        <v/>
      </c>
      <c r="AK30" s="222"/>
      <c r="AL30" s="229" t="str">
        <f t="shared" si="1"/>
        <v/>
      </c>
      <c r="AM30" s="229" t="str">
        <f t="shared" si="2"/>
        <v/>
      </c>
      <c r="AN30" s="229" t="str">
        <f t="shared" si="3"/>
        <v/>
      </c>
      <c r="AO30" s="230" t="str">
        <f t="shared" si="4"/>
        <v/>
      </c>
      <c r="AP30" s="230" t="str">
        <f t="shared" si="5"/>
        <v/>
      </c>
      <c r="AQ30" s="223"/>
      <c r="AR30" s="232" t="str">
        <f t="shared" si="6"/>
        <v/>
      </c>
      <c r="AS30" s="232" t="str">
        <f t="shared" ref="AS30" si="30">IF(OR(W30="",AM30="",W30=0),"", AM30/W30)</f>
        <v/>
      </c>
      <c r="AT30" s="232" t="str">
        <f t="shared" si="7"/>
        <v/>
      </c>
      <c r="AU30" s="232" t="str">
        <f t="shared" si="8"/>
        <v/>
      </c>
      <c r="AV30" s="232" t="str">
        <f t="shared" si="9"/>
        <v/>
      </c>
      <c r="AW30" s="212"/>
      <c r="AX30" s="300" t="str">
        <f t="shared" si="10"/>
        <v/>
      </c>
      <c r="AY30" s="300" t="str">
        <f t="shared" si="11"/>
        <v/>
      </c>
      <c r="AZ30" s="300" t="str">
        <f t="shared" si="15"/>
        <v/>
      </c>
      <c r="BA30" s="222"/>
      <c r="BB30" s="300" t="str">
        <f t="shared" si="12"/>
        <v/>
      </c>
      <c r="BC30" s="300" t="str">
        <f t="shared" si="16"/>
        <v/>
      </c>
      <c r="BD30" s="300" t="str">
        <f t="shared" si="17"/>
        <v/>
      </c>
      <c r="BE30" s="5"/>
    </row>
    <row r="31" spans="1:57">
      <c r="A31" s="103"/>
      <c r="B31" s="210"/>
      <c r="C31" s="210"/>
      <c r="D31" s="211"/>
      <c r="E31" s="410"/>
      <c r="F31" s="210"/>
      <c r="G31" s="212" t="str">
        <f>IF(OR(ISBLANK($B31),ISBLANK($C31)),"",INDEX('TRU Ops &amp; Costs'!$D$4:$D$74,MATCH($B31&amp;$C31,'TRU Ops &amp; Costs'!$P$4:$P$74,0))/0.7457)</f>
        <v/>
      </c>
      <c r="H31" s="213" t="str">
        <f>IF(OR(ISBLANK($B31),ISBLANK($C31)),"",INDEX('TRU Ops &amp; Costs'!$E$4:$E$74,MATCH($B31&amp;$C31,'TRU Ops &amp; Costs'!$P$4:$P$74,0)))</f>
        <v/>
      </c>
      <c r="I31" s="212" t="str">
        <f>IF(OR(ISBLANK($B31),ISBLANK($C31)),"",INDEX('TRU Ops &amp; Costs'!$F$4:$F$74,MATCH($B31&amp;$C31,'TRU Ops &amp; Costs'!$P$4:$P$74,0)))</f>
        <v/>
      </c>
      <c r="J31" s="214" t="str">
        <f>IF(OR(ISBLANK($B31),ISBLANK($C31)),"",INDEX('TRU Ops &amp; Costs'!$G$4:$G$74,MATCH($B31&amp;$C31,'TRU Ops &amp; Costs'!$P$4:$P$74,0)))</f>
        <v/>
      </c>
      <c r="K31" s="212" t="str">
        <f t="shared" si="13"/>
        <v/>
      </c>
      <c r="L31" s="215" t="str">
        <f>IF(ISBLANK($F31),"",INDEX('Diesel Fuel Prices'!$D$5:$D$31,MATCH($F31,'Diesel Fuel Prices'!$B$5:$B$31,0))*References!$B$38/References!$B$37)</f>
        <v/>
      </c>
      <c r="M31" s="215" t="str">
        <f>IF(ISBLANK($F31),"",VLOOKUP($F31,'Electricity Prices'!$B$4:$F$31,5,FALSE)*References!$B$38/References!$B$37)</f>
        <v/>
      </c>
      <c r="N31" s="216" t="str">
        <f>IF(OR(ISBLANK($B31),ISBLANK($C31)),"",INDEX('TRU Ops &amp; Costs'!$I$4:$I$74,MATCH($B31&amp;$C31,'TRU Ops &amp; Costs'!$P$4:$P$74,0)))</f>
        <v/>
      </c>
      <c r="O31" s="216" t="str">
        <f>IF(OR(ISBLANK($B31),ISBLANK($C31)),"",IF(E31="Yard",INDEX('TRU Ops &amp; Costs'!$J$4:$J$74,MATCH($B31&amp;$C31,'TRU Ops &amp; Costs'!$P$4:$P$74,0)),INDEX('TRU Ops &amp; Costs'!$K$4:$K$74,MATCH($B31&amp;$C31,'TRU Ops &amp; Costs'!$P$4:$P$74,0))))</f>
        <v/>
      </c>
      <c r="P31" s="216" t="str">
        <f>IF(OR(ISBLANK($B31),ISBLANK($C31)),"",$K31*INDEX('TRU Ops &amp; Costs'!$M$4:$M$74,MATCH($B31&amp;$C31,'TRU Ops &amp; Costs'!$P$4:$P$74,0))*-INDEX('TRU Ops &amp; Costs'!$L$4:$L$74,MATCH($B31&amp;$C31,'TRU Ops &amp; Costs'!$P$4:$P$74,0)))</f>
        <v/>
      </c>
      <c r="Q31" s="212"/>
      <c r="R31" s="233" t="str">
        <f t="shared" si="18"/>
        <v/>
      </c>
      <c r="S31" s="217" t="str">
        <f t="shared" si="0"/>
        <v/>
      </c>
      <c r="T31" s="218" t="str">
        <f>IF(ISBLANK($F31),"",INDEX('eGRID2018 Subregion'!$J$7:$J$33,MATCH($F31,RegionGEN,0)))</f>
        <v/>
      </c>
      <c r="U31" s="212"/>
      <c r="V31" s="219" t="str">
        <f>IF(OR(ISBLANK($B31),ISBLANK($C31),$R31=""),"",ROUND($R31*INDEX('Diesel TRU Emission Factors'!$D$6:$D$76,MATCH($B31&amp;$C31,'Diesel TRU Emission Factors'!$R$6:$R$77,0))*GramsToMT,4))</f>
        <v/>
      </c>
      <c r="W31" s="219" t="str">
        <f>IF(OR(ISBLANK($B31),ISBLANK($C31),$R31=""),"",ROUND($R31*INDEX('Diesel TRU Emission Factors'!$E$6:$E$76,MATCH($B31&amp;$C31,'Diesel TRU Emission Factors'!$R$6:$R$77,0))*GramsToMT,4))</f>
        <v/>
      </c>
      <c r="X31" s="219" t="str">
        <f>IF(OR(ISBLANK($B31),ISBLANK($C31),$R31=""),"",ROUND($R31*INDEX('Diesel TRU Emission Factors'!$H$6:$H$76,MATCH($B31&amp;$C31,'Diesel TRU Emission Factors'!$R$6:$R$77,0))*GramsToMT,4))</f>
        <v/>
      </c>
      <c r="Y31" s="220" t="str">
        <f>IF(OR(ISBLANK($B31),ISBLANK($C31),$R31=""),"",ROUND($R31*INDEX('Diesel TRU Emission Factors'!$F$6:$F$76,MATCH($B31&amp;$C31,'Diesel TRU Emission Factors'!$R$6:$R$77,0))*GramsToMT,1))</f>
        <v/>
      </c>
      <c r="Z31" s="220" t="str">
        <f>IF(OR(ISBLANK($B31),ISBLANK($C31),$R31=""),"",$R31*INDEX('Diesel TRU Emission Factors'!$G$6:$G$76,MATCH($B31&amp;$C31,'Diesel TRU Emission Factors'!$R$6:$R$77,0))*GramsToMT)</f>
        <v/>
      </c>
      <c r="AA31" s="221" t="str">
        <f>IF(ISBLANK(F31),"",R31*GalTokWh*'Diesel TRU Emission Factors'!$P$4/1000000)</f>
        <v/>
      </c>
      <c r="AB31" s="221" t="str">
        <f>IF(ISBLANK($F31),"",ROUND(Y31*References!$B$28+Z31*References!$B$29+AA31*References!$B$30,1))</f>
        <v/>
      </c>
      <c r="AC31" s="222"/>
      <c r="AD31" s="219" t="str">
        <f>IF(OR(ISBLANK($F31),$S31="",$T31=""),"",ROUND($S31*(1+$T31)*INDEX('eGRID2018 Subregion'!$C$7:$C$33,MATCH($F31,RegionGEN,0))*GramsToMT,4))</f>
        <v/>
      </c>
      <c r="AE31" s="219" t="str">
        <f>IF(OR(ISBLANK($F31),$S31="",$T31=""),"",ROUND($S31*(1+$T31)*INDEX('eGRID2018 Subregion'!$D$7:$D$33,MATCH($F31,RegionGEN,0))*GramsToMT,4))</f>
        <v/>
      </c>
      <c r="AF31" s="219" t="str">
        <f>IF(OR(ISBLANK($F31),$S31="",$T31=""),"",ROUND($S31*(1+$T31)*INDEX('eGRID2018 Subregion'!$I$7:$I$33,MATCH($F31,RegionGEN,0))*GramsToMT,4))</f>
        <v/>
      </c>
      <c r="AG31" s="220" t="str">
        <f>IF(OR(ISBLANK($F31),$S31="",$T31=""),"",ROUND($S31*(1+$T31)*INDEX('eGRID2018 Subregion'!$E$7:$E$33,MATCH($F31,RegionGEN,0))*GramsToMT,1))</f>
        <v/>
      </c>
      <c r="AH31" s="220" t="str">
        <f>IF(OR(ISBLANK($F31),$S31="",$T31=""),"",$S31*(1+$T31)*INDEX('eGRID2018 Subregion'!$F$7:$F$33,MATCH($F31,RegionGEN,0))*GramsToMT)</f>
        <v/>
      </c>
      <c r="AI31" s="220" t="str">
        <f>IF(OR(ISBLANK($F31),$S31="",$T31=""),"",$S31*(1+$T31)*INDEX('eGRID2018 Subregion'!$G$7:$G$33,MATCH($F31,RegionGEN,0))*GramsToMT)</f>
        <v/>
      </c>
      <c r="AJ31" s="220" t="str">
        <f>IF(ISBLANK($F31),"",ROUND(AG31*References!$B$28+AH31*References!$B$29+AI31*References!$B$30,1))</f>
        <v/>
      </c>
      <c r="AK31" s="222"/>
      <c r="AL31" s="219" t="str">
        <f t="shared" si="1"/>
        <v/>
      </c>
      <c r="AM31" s="219" t="str">
        <f t="shared" si="2"/>
        <v/>
      </c>
      <c r="AN31" s="219" t="str">
        <f t="shared" si="3"/>
        <v/>
      </c>
      <c r="AO31" s="220" t="str">
        <f t="shared" si="4"/>
        <v/>
      </c>
      <c r="AP31" s="220" t="str">
        <f t="shared" si="5"/>
        <v/>
      </c>
      <c r="AQ31" s="223"/>
      <c r="AR31" s="224" t="str">
        <f t="shared" si="6"/>
        <v/>
      </c>
      <c r="AS31" s="224" t="str">
        <f>IF(OR($W31="",$AM31="",$W31=0),"", $AM31/$W31)</f>
        <v/>
      </c>
      <c r="AT31" s="224" t="str">
        <f t="shared" si="7"/>
        <v/>
      </c>
      <c r="AU31" s="224" t="str">
        <f t="shared" si="8"/>
        <v/>
      </c>
      <c r="AV31" s="224" t="str">
        <f t="shared" si="9"/>
        <v/>
      </c>
      <c r="AW31" s="212"/>
      <c r="AX31" s="301" t="str">
        <f t="shared" si="10"/>
        <v/>
      </c>
      <c r="AY31" s="301" t="str">
        <f t="shared" si="11"/>
        <v/>
      </c>
      <c r="AZ31" s="301" t="str">
        <f t="shared" si="15"/>
        <v/>
      </c>
      <c r="BA31" s="222"/>
      <c r="BB31" s="301" t="str">
        <f t="shared" si="12"/>
        <v/>
      </c>
      <c r="BC31" s="301" t="str">
        <f t="shared" si="16"/>
        <v/>
      </c>
      <c r="BD31" s="301" t="str">
        <f t="shared" si="17"/>
        <v/>
      </c>
      <c r="BE31" s="5"/>
    </row>
    <row r="32" spans="1:57">
      <c r="A32" s="105"/>
      <c r="B32" s="225"/>
      <c r="C32" s="225"/>
      <c r="D32" s="226"/>
      <c r="E32" s="411"/>
      <c r="F32" s="225"/>
      <c r="G32" s="212" t="str">
        <f>IF(OR(ISBLANK($B32),ISBLANK($C32)),"",INDEX('TRU Ops &amp; Costs'!$D$4:$D$74,MATCH($B32&amp;$C32,'TRU Ops &amp; Costs'!$P$4:$P$74,0))/0.7457)</f>
        <v/>
      </c>
      <c r="H32" s="213" t="str">
        <f>IF(OR(ISBLANK($B32),ISBLANK($C32)),"",INDEX('TRU Ops &amp; Costs'!$E$4:$E$74,MATCH($B32&amp;$C32,'TRU Ops &amp; Costs'!$P$4:$P$74,0)))</f>
        <v/>
      </c>
      <c r="I32" s="212" t="str">
        <f>IF(OR(ISBLANK($B32),ISBLANK($C32)),"",INDEX('TRU Ops &amp; Costs'!$F$4:$F$74,MATCH($B32&amp;$C32,'TRU Ops &amp; Costs'!$P$4:$P$74,0)))</f>
        <v/>
      </c>
      <c r="J32" s="214" t="str">
        <f>IF(OR(ISBLANK($B32),ISBLANK($C32)),"",INDEX('TRU Ops &amp; Costs'!$G$4:$G$74,MATCH($B32&amp;$C32,'TRU Ops &amp; Costs'!$P$4:$P$74,0)))</f>
        <v/>
      </c>
      <c r="K32" s="212" t="str">
        <f t="shared" si="13"/>
        <v/>
      </c>
      <c r="L32" s="215" t="str">
        <f>IF(ISBLANK($F32),"",INDEX('Diesel Fuel Prices'!$D$5:$D$31,MATCH($F32,'Diesel Fuel Prices'!$B$5:$B$31,0))*References!$B$38/References!$B$37)</f>
        <v/>
      </c>
      <c r="M32" s="215" t="str">
        <f>IF(ISBLANK($F32),"",VLOOKUP($F32,'Electricity Prices'!$B$4:$F$31,5,FALSE)*References!$B$38/References!$B$37)</f>
        <v/>
      </c>
      <c r="N32" s="216" t="str">
        <f>IF(OR(ISBLANK($B32),ISBLANK($C32)),"",INDEX('TRU Ops &amp; Costs'!$I$4:$I$74,MATCH($B32&amp;$C32,'TRU Ops &amp; Costs'!$P$4:$P$74,0)))</f>
        <v/>
      </c>
      <c r="O32" s="216" t="str">
        <f>IF(OR(ISBLANK($B32),ISBLANK($C32)),"",IF(E32="Yard",INDEX('TRU Ops &amp; Costs'!$J$4:$J$74,MATCH($B32&amp;$C32,'TRU Ops &amp; Costs'!$P$4:$P$74,0)),INDEX('TRU Ops &amp; Costs'!$K$4:$K$74,MATCH($B32&amp;$C32,'TRU Ops &amp; Costs'!$P$4:$P$74,0))))</f>
        <v/>
      </c>
      <c r="P32" s="216" t="str">
        <f>IF(OR(ISBLANK($B32),ISBLANK($C32)),"",$K32*INDEX('TRU Ops &amp; Costs'!$M$4:$M$74,MATCH($B32&amp;$C32,'TRU Ops &amp; Costs'!$P$4:$P$74,0))*-INDEX('TRU Ops &amp; Costs'!$L$4:$L$74,MATCH($B32&amp;$C32,'TRU Ops &amp; Costs'!$P$4:$P$74,0)))</f>
        <v/>
      </c>
      <c r="Q32" s="212"/>
      <c r="R32" s="234" t="str">
        <f t="shared" si="18"/>
        <v/>
      </c>
      <c r="S32" s="227" t="str">
        <f t="shared" si="0"/>
        <v/>
      </c>
      <c r="T32" s="228" t="str">
        <f>IF(ISBLANK($F32),"",INDEX('eGRID2018 Subregion'!$J$7:$J$33,MATCH($F32,RegionGEN,0)))</f>
        <v/>
      </c>
      <c r="U32" s="212"/>
      <c r="V32" s="229" t="str">
        <f>IF(OR(ISBLANK($B32),ISBLANK($C32),$R32=""),"",ROUND($R32*INDEX('Diesel TRU Emission Factors'!$D$6:$D$76,MATCH($B32&amp;$C32,'Diesel TRU Emission Factors'!$R$6:$R$77,0))*GramsToMT,4))</f>
        <v/>
      </c>
      <c r="W32" s="229" t="str">
        <f>IF(OR(ISBLANK($B32),ISBLANK($C32),$R32=""),"",ROUND($R32*INDEX('Diesel TRU Emission Factors'!$E$6:$E$76,MATCH($B32&amp;$C32,'Diesel TRU Emission Factors'!$R$6:$R$77,0))*GramsToMT,4))</f>
        <v/>
      </c>
      <c r="X32" s="229" t="str">
        <f>IF(OR(ISBLANK($B32),ISBLANK($C32),$R32=""),"",ROUND($R32*INDEX('Diesel TRU Emission Factors'!$H$6:$H$76,MATCH($B32&amp;$C32,'Diesel TRU Emission Factors'!$R$6:$R$77,0))*GramsToMT,4))</f>
        <v/>
      </c>
      <c r="Y32" s="230" t="str">
        <f>IF(OR(ISBLANK($B32),ISBLANK($C32),$R32=""),"",ROUND($R32*INDEX('Diesel TRU Emission Factors'!$F$6:$F$76,MATCH($B32&amp;$C32,'Diesel TRU Emission Factors'!$R$6:$R$77,0))*GramsToMT,1))</f>
        <v/>
      </c>
      <c r="Z32" s="230" t="str">
        <f>IF(OR(ISBLANK($B32),ISBLANK($C32),$R32=""),"",$R32*INDEX('Diesel TRU Emission Factors'!$G$6:$G$76,MATCH($B32&amp;$C32,'Diesel TRU Emission Factors'!$R$6:$R$77,0))*GramsToMT)</f>
        <v/>
      </c>
      <c r="AA32" s="231" t="str">
        <f>IF(ISBLANK(F32),"",R32*GalTokWh*'Diesel TRU Emission Factors'!$P$4/1000000)</f>
        <v/>
      </c>
      <c r="AB32" s="231" t="str">
        <f>IF(ISBLANK($F32),"",ROUND(Y32*References!$B$28+Z32*References!$B$29+AA32*References!$B$30,1))</f>
        <v/>
      </c>
      <c r="AC32" s="222"/>
      <c r="AD32" s="229" t="str">
        <f>IF(OR(ISBLANK($F32),$S32="",$T32=""),"",ROUND($S32*(1+$T32)*INDEX('eGRID2018 Subregion'!$C$7:$C$33,MATCH($F32,RegionGEN,0))*GramsToMT,4))</f>
        <v/>
      </c>
      <c r="AE32" s="229" t="str">
        <f>IF(OR(ISBLANK($F32),$S32="",$T32=""),"",ROUND($S32*(1+$T32)*INDEX('eGRID2018 Subregion'!$D$7:$D$33,MATCH($F32,RegionGEN,0))*GramsToMT,4))</f>
        <v/>
      </c>
      <c r="AF32" s="229" t="str">
        <f>IF(OR(ISBLANK($F32),$S32="",$T32=""),"",ROUND($S32*(1+$T32)*INDEX('eGRID2018 Subregion'!$I$7:$I$33,MATCH($F32,RegionGEN,0))*GramsToMT,4))</f>
        <v/>
      </c>
      <c r="AG32" s="230" t="str">
        <f>IF(OR(ISBLANK($F32),$S32="",$T32=""),"",ROUND($S32*(1+$T32)*INDEX('eGRID2018 Subregion'!$E$7:$E$33,MATCH($F32,RegionGEN,0))*GramsToMT,1))</f>
        <v/>
      </c>
      <c r="AH32" s="230" t="str">
        <f>IF(OR(ISBLANK($F32),$S32="",$T32=""),"",$S32*(1+$T32)*INDEX('eGRID2018 Subregion'!$F$7:$F$33,MATCH($F32,RegionGEN,0))*GramsToMT)</f>
        <v/>
      </c>
      <c r="AI32" s="230" t="str">
        <f>IF(OR(ISBLANK($F32),$S32="",$T32=""),"",$S32*(1+$T32)*INDEX('eGRID2018 Subregion'!$G$7:$G$33,MATCH($F32,RegionGEN,0))*GramsToMT)</f>
        <v/>
      </c>
      <c r="AJ32" s="230" t="str">
        <f>IF(ISBLANK($F32),"",ROUND(AG32*References!$B$28+AH32*References!$B$29+AI32*References!$B$30,1))</f>
        <v/>
      </c>
      <c r="AK32" s="222"/>
      <c r="AL32" s="229" t="str">
        <f t="shared" si="1"/>
        <v/>
      </c>
      <c r="AM32" s="229" t="str">
        <f t="shared" si="2"/>
        <v/>
      </c>
      <c r="AN32" s="229" t="str">
        <f t="shared" si="3"/>
        <v/>
      </c>
      <c r="AO32" s="230" t="str">
        <f t="shared" si="4"/>
        <v/>
      </c>
      <c r="AP32" s="230" t="str">
        <f t="shared" si="5"/>
        <v/>
      </c>
      <c r="AQ32" s="223"/>
      <c r="AR32" s="232" t="str">
        <f t="shared" si="6"/>
        <v/>
      </c>
      <c r="AS32" s="232" t="str">
        <f t="shared" ref="AS32" si="31">IF(OR(W32="",AM32="",W32=0),"", AM32/W32)</f>
        <v/>
      </c>
      <c r="AT32" s="232" t="str">
        <f t="shared" si="7"/>
        <v/>
      </c>
      <c r="AU32" s="232" t="str">
        <f t="shared" si="8"/>
        <v/>
      </c>
      <c r="AV32" s="232" t="str">
        <f t="shared" si="9"/>
        <v/>
      </c>
      <c r="AW32" s="212"/>
      <c r="AX32" s="300" t="str">
        <f t="shared" si="10"/>
        <v/>
      </c>
      <c r="AY32" s="300" t="str">
        <f t="shared" si="11"/>
        <v/>
      </c>
      <c r="AZ32" s="300" t="str">
        <f t="shared" si="15"/>
        <v/>
      </c>
      <c r="BA32" s="222"/>
      <c r="BB32" s="300" t="str">
        <f t="shared" si="12"/>
        <v/>
      </c>
      <c r="BC32" s="300" t="str">
        <f t="shared" si="16"/>
        <v/>
      </c>
      <c r="BD32" s="300" t="str">
        <f t="shared" si="17"/>
        <v/>
      </c>
      <c r="BE32" s="5"/>
    </row>
    <row r="33" spans="1:57">
      <c r="A33" s="103"/>
      <c r="B33" s="210"/>
      <c r="C33" s="210"/>
      <c r="D33" s="211"/>
      <c r="E33" s="410"/>
      <c r="F33" s="210"/>
      <c r="G33" s="212" t="str">
        <f>IF(OR(ISBLANK($B33),ISBLANK($C33)),"",INDEX('TRU Ops &amp; Costs'!$D$4:$D$74,MATCH($B33&amp;$C33,'TRU Ops &amp; Costs'!$P$4:$P$74,0))/0.7457)</f>
        <v/>
      </c>
      <c r="H33" s="213" t="str">
        <f>IF(OR(ISBLANK($B33),ISBLANK($C33)),"",INDEX('TRU Ops &amp; Costs'!$E$4:$E$74,MATCH($B33&amp;$C33,'TRU Ops &amp; Costs'!$P$4:$P$74,0)))</f>
        <v/>
      </c>
      <c r="I33" s="212" t="str">
        <f>IF(OR(ISBLANK($B33),ISBLANK($C33)),"",INDEX('TRU Ops &amp; Costs'!$F$4:$F$74,MATCH($B33&amp;$C33,'TRU Ops &amp; Costs'!$P$4:$P$74,0)))</f>
        <v/>
      </c>
      <c r="J33" s="214" t="str">
        <f>IF(OR(ISBLANK($B33),ISBLANK($C33)),"",INDEX('TRU Ops &amp; Costs'!$G$4:$G$74,MATCH($B33&amp;$C33,'TRU Ops &amp; Costs'!$P$4:$P$74,0)))</f>
        <v/>
      </c>
      <c r="K33" s="212" t="str">
        <f t="shared" si="13"/>
        <v/>
      </c>
      <c r="L33" s="215" t="str">
        <f>IF(ISBLANK($F33),"",INDEX('Diesel Fuel Prices'!$D$5:$D$31,MATCH($F33,'Diesel Fuel Prices'!$B$5:$B$31,0))*References!$B$38/References!$B$37)</f>
        <v/>
      </c>
      <c r="M33" s="215" t="str">
        <f>IF(ISBLANK($F33),"",VLOOKUP($F33,'Electricity Prices'!$B$4:$F$31,5,FALSE)*References!$B$38/References!$B$37)</f>
        <v/>
      </c>
      <c r="N33" s="216" t="str">
        <f>IF(OR(ISBLANK($B33),ISBLANK($C33)),"",INDEX('TRU Ops &amp; Costs'!$I$4:$I$74,MATCH($B33&amp;$C33,'TRU Ops &amp; Costs'!$P$4:$P$74,0)))</f>
        <v/>
      </c>
      <c r="O33" s="216" t="str">
        <f>IF(OR(ISBLANK($B33),ISBLANK($C33)),"",IF(E33="Yard",INDEX('TRU Ops &amp; Costs'!$J$4:$J$74,MATCH($B33&amp;$C33,'TRU Ops &amp; Costs'!$P$4:$P$74,0)),INDEX('TRU Ops &amp; Costs'!$K$4:$K$74,MATCH($B33&amp;$C33,'TRU Ops &amp; Costs'!$P$4:$P$74,0))))</f>
        <v/>
      </c>
      <c r="P33" s="216" t="str">
        <f>IF(OR(ISBLANK($B33),ISBLANK($C33)),"",$K33*INDEX('TRU Ops &amp; Costs'!$M$4:$M$74,MATCH($B33&amp;$C33,'TRU Ops &amp; Costs'!$P$4:$P$74,0))*-INDEX('TRU Ops &amp; Costs'!$L$4:$L$74,MATCH($B33&amp;$C33,'TRU Ops &amp; Costs'!$P$4:$P$74,0)))</f>
        <v/>
      </c>
      <c r="Q33" s="212"/>
      <c r="R33" s="233" t="str">
        <f t="shared" si="18"/>
        <v/>
      </c>
      <c r="S33" s="217" t="str">
        <f t="shared" si="0"/>
        <v/>
      </c>
      <c r="T33" s="218" t="str">
        <f>IF(ISBLANK($F33),"",INDEX('eGRID2018 Subregion'!$J$7:$J$33,MATCH($F33,RegionGEN,0)))</f>
        <v/>
      </c>
      <c r="U33" s="212"/>
      <c r="V33" s="219" t="str">
        <f>IF(OR(ISBLANK($B33),ISBLANK($C33),$R33=""),"",ROUND($R33*INDEX('Diesel TRU Emission Factors'!$D$6:$D$76,MATCH($B33&amp;$C33,'Diesel TRU Emission Factors'!$R$6:$R$77,0))*GramsToMT,4))</f>
        <v/>
      </c>
      <c r="W33" s="219" t="str">
        <f>IF(OR(ISBLANK($B33),ISBLANK($C33),$R33=""),"",ROUND($R33*INDEX('Diesel TRU Emission Factors'!$E$6:$E$76,MATCH($B33&amp;$C33,'Diesel TRU Emission Factors'!$R$6:$R$77,0))*GramsToMT,4))</f>
        <v/>
      </c>
      <c r="X33" s="219" t="str">
        <f>IF(OR(ISBLANK($B33),ISBLANK($C33),$R33=""),"",ROUND($R33*INDEX('Diesel TRU Emission Factors'!$H$6:$H$76,MATCH($B33&amp;$C33,'Diesel TRU Emission Factors'!$R$6:$R$77,0))*GramsToMT,4))</f>
        <v/>
      </c>
      <c r="Y33" s="220" t="str">
        <f>IF(OR(ISBLANK($B33),ISBLANK($C33),$R33=""),"",ROUND($R33*INDEX('Diesel TRU Emission Factors'!$F$6:$F$76,MATCH($B33&amp;$C33,'Diesel TRU Emission Factors'!$R$6:$R$77,0))*GramsToMT,1))</f>
        <v/>
      </c>
      <c r="Z33" s="220" t="str">
        <f>IF(OR(ISBLANK($B33),ISBLANK($C33),$R33=""),"",$R33*INDEX('Diesel TRU Emission Factors'!$G$6:$G$76,MATCH($B33&amp;$C33,'Diesel TRU Emission Factors'!$R$6:$R$77,0))*GramsToMT)</f>
        <v/>
      </c>
      <c r="AA33" s="221" t="str">
        <f>IF(ISBLANK(F33),"",R33*GalTokWh*'Diesel TRU Emission Factors'!$P$4/1000000)</f>
        <v/>
      </c>
      <c r="AB33" s="221" t="str">
        <f>IF(ISBLANK($F33),"",ROUND(Y33*References!$B$28+Z33*References!$B$29+AA33*References!$B$30,1))</f>
        <v/>
      </c>
      <c r="AC33" s="222"/>
      <c r="AD33" s="219" t="str">
        <f>IF(OR(ISBLANK($F33),$S33="",$T33=""),"",ROUND($S33*(1+$T33)*INDEX('eGRID2018 Subregion'!$C$7:$C$33,MATCH($F33,RegionGEN,0))*GramsToMT,4))</f>
        <v/>
      </c>
      <c r="AE33" s="219" t="str">
        <f>IF(OR(ISBLANK($F33),$S33="",$T33=""),"",ROUND($S33*(1+$T33)*INDEX('eGRID2018 Subregion'!$D$7:$D$33,MATCH($F33,RegionGEN,0))*GramsToMT,4))</f>
        <v/>
      </c>
      <c r="AF33" s="219" t="str">
        <f>IF(OR(ISBLANK($F33),$S33="",$T33=""),"",ROUND($S33*(1+$T33)*INDEX('eGRID2018 Subregion'!$I$7:$I$33,MATCH($F33,RegionGEN,0))*GramsToMT,4))</f>
        <v/>
      </c>
      <c r="AG33" s="220" t="str">
        <f>IF(OR(ISBLANK($F33),$S33="",$T33=""),"",ROUND($S33*(1+$T33)*INDEX('eGRID2018 Subregion'!$E$7:$E$33,MATCH($F33,RegionGEN,0))*GramsToMT,1))</f>
        <v/>
      </c>
      <c r="AH33" s="220" t="str">
        <f>IF(OR(ISBLANK($F33),$S33="",$T33=""),"",$S33*(1+$T33)*INDEX('eGRID2018 Subregion'!$F$7:$F$33,MATCH($F33,RegionGEN,0))*GramsToMT)</f>
        <v/>
      </c>
      <c r="AI33" s="220" t="str">
        <f>IF(OR(ISBLANK($F33),$S33="",$T33=""),"",$S33*(1+$T33)*INDEX('eGRID2018 Subregion'!$G$7:$G$33,MATCH($F33,RegionGEN,0))*GramsToMT)</f>
        <v/>
      </c>
      <c r="AJ33" s="220" t="str">
        <f>IF(ISBLANK($F33),"",ROUND(AG33*References!$B$28+AH33*References!$B$29+AI33*References!$B$30,1))</f>
        <v/>
      </c>
      <c r="AK33" s="222"/>
      <c r="AL33" s="219" t="str">
        <f t="shared" si="1"/>
        <v/>
      </c>
      <c r="AM33" s="219" t="str">
        <f t="shared" si="2"/>
        <v/>
      </c>
      <c r="AN33" s="219" t="str">
        <f t="shared" si="3"/>
        <v/>
      </c>
      <c r="AO33" s="220" t="str">
        <f t="shared" si="4"/>
        <v/>
      </c>
      <c r="AP33" s="220" t="str">
        <f t="shared" si="5"/>
        <v/>
      </c>
      <c r="AQ33" s="223"/>
      <c r="AR33" s="224" t="str">
        <f t="shared" si="6"/>
        <v/>
      </c>
      <c r="AS33" s="224" t="str">
        <f>IF(OR($W33="",$AM33="",$W33=0),"", $AM33/$W33)</f>
        <v/>
      </c>
      <c r="AT33" s="224" t="str">
        <f t="shared" si="7"/>
        <v/>
      </c>
      <c r="AU33" s="224" t="str">
        <f t="shared" si="8"/>
        <v/>
      </c>
      <c r="AV33" s="224" t="str">
        <f t="shared" si="9"/>
        <v/>
      </c>
      <c r="AW33" s="212"/>
      <c r="AX33" s="301" t="str">
        <f t="shared" si="10"/>
        <v/>
      </c>
      <c r="AY33" s="301" t="str">
        <f t="shared" si="11"/>
        <v/>
      </c>
      <c r="AZ33" s="301" t="str">
        <f t="shared" si="15"/>
        <v/>
      </c>
      <c r="BA33" s="222"/>
      <c r="BB33" s="301" t="str">
        <f t="shared" si="12"/>
        <v/>
      </c>
      <c r="BC33" s="301" t="str">
        <f t="shared" si="16"/>
        <v/>
      </c>
      <c r="BD33" s="301" t="str">
        <f t="shared" si="17"/>
        <v/>
      </c>
      <c r="BE33" s="5"/>
    </row>
    <row r="34" spans="1:57">
      <c r="A34" s="105"/>
      <c r="B34" s="225"/>
      <c r="C34" s="225"/>
      <c r="D34" s="226"/>
      <c r="E34" s="411"/>
      <c r="F34" s="225"/>
      <c r="G34" s="212" t="str">
        <f>IF(OR(ISBLANK($B34),ISBLANK($C34)),"",INDEX('TRU Ops &amp; Costs'!$D$4:$D$74,MATCH($B34&amp;$C34,'TRU Ops &amp; Costs'!$P$4:$P$74,0))/0.7457)</f>
        <v/>
      </c>
      <c r="H34" s="213" t="str">
        <f>IF(OR(ISBLANK($B34),ISBLANK($C34)),"",INDEX('TRU Ops &amp; Costs'!$E$4:$E$74,MATCH($B34&amp;$C34,'TRU Ops &amp; Costs'!$P$4:$P$74,0)))</f>
        <v/>
      </c>
      <c r="I34" s="212" t="str">
        <f>IF(OR(ISBLANK($B34),ISBLANK($C34)),"",INDEX('TRU Ops &amp; Costs'!$F$4:$F$74,MATCH($B34&amp;$C34,'TRU Ops &amp; Costs'!$P$4:$P$74,0)))</f>
        <v/>
      </c>
      <c r="J34" s="214" t="str">
        <f>IF(OR(ISBLANK($B34),ISBLANK($C34)),"",INDEX('TRU Ops &amp; Costs'!$G$4:$G$74,MATCH($B34&amp;$C34,'TRU Ops &amp; Costs'!$P$4:$P$74,0)))</f>
        <v/>
      </c>
      <c r="K34" s="212" t="str">
        <f t="shared" si="13"/>
        <v/>
      </c>
      <c r="L34" s="215" t="str">
        <f>IF(ISBLANK($F34),"",INDEX('Diesel Fuel Prices'!$D$5:$D$31,MATCH($F34,'Diesel Fuel Prices'!$B$5:$B$31,0))*References!$B$38/References!$B$37)</f>
        <v/>
      </c>
      <c r="M34" s="215" t="str">
        <f>IF(ISBLANK($F34),"",VLOOKUP($F34,'Electricity Prices'!$B$4:$F$31,5,FALSE)*References!$B$38/References!$B$37)</f>
        <v/>
      </c>
      <c r="N34" s="216" t="str">
        <f>IF(OR(ISBLANK($B34),ISBLANK($C34)),"",INDEX('TRU Ops &amp; Costs'!$I$4:$I$74,MATCH($B34&amp;$C34,'TRU Ops &amp; Costs'!$P$4:$P$74,0)))</f>
        <v/>
      </c>
      <c r="O34" s="216" t="str">
        <f>IF(OR(ISBLANK($B34),ISBLANK($C34)),"",IF(E34="Yard",INDEX('TRU Ops &amp; Costs'!$J$4:$J$74,MATCH($B34&amp;$C34,'TRU Ops &amp; Costs'!$P$4:$P$74,0)),INDEX('TRU Ops &amp; Costs'!$K$4:$K$74,MATCH($B34&amp;$C34,'TRU Ops &amp; Costs'!$P$4:$P$74,0))))</f>
        <v/>
      </c>
      <c r="P34" s="216" t="str">
        <f>IF(OR(ISBLANK($B34),ISBLANK($C34)),"",$K34*INDEX('TRU Ops &amp; Costs'!$M$4:$M$74,MATCH($B34&amp;$C34,'TRU Ops &amp; Costs'!$P$4:$P$74,0))*-INDEX('TRU Ops &amp; Costs'!$L$4:$L$74,MATCH($B34&amp;$C34,'TRU Ops &amp; Costs'!$P$4:$P$74,0)))</f>
        <v/>
      </c>
      <c r="Q34" s="212"/>
      <c r="R34" s="234" t="str">
        <f t="shared" si="18"/>
        <v/>
      </c>
      <c r="S34" s="227" t="str">
        <f t="shared" si="0"/>
        <v/>
      </c>
      <c r="T34" s="228" t="str">
        <f>IF(ISBLANK($F34),"",INDEX('eGRID2018 Subregion'!$J$7:$J$33,MATCH($F34,RegionGEN,0)))</f>
        <v/>
      </c>
      <c r="U34" s="212"/>
      <c r="V34" s="229" t="str">
        <f>IF(OR(ISBLANK($B34),ISBLANK($C34),$R34=""),"",ROUND($R34*INDEX('Diesel TRU Emission Factors'!$D$6:$D$76,MATCH($B34&amp;$C34,'Diesel TRU Emission Factors'!$R$6:$R$77,0))*GramsToMT,4))</f>
        <v/>
      </c>
      <c r="W34" s="229" t="str">
        <f>IF(OR(ISBLANK($B34),ISBLANK($C34),$R34=""),"",ROUND($R34*INDEX('Diesel TRU Emission Factors'!$E$6:$E$76,MATCH($B34&amp;$C34,'Diesel TRU Emission Factors'!$R$6:$R$77,0))*GramsToMT,4))</f>
        <v/>
      </c>
      <c r="X34" s="229" t="str">
        <f>IF(OR(ISBLANK($B34),ISBLANK($C34),$R34=""),"",ROUND($R34*INDEX('Diesel TRU Emission Factors'!$H$6:$H$76,MATCH($B34&amp;$C34,'Diesel TRU Emission Factors'!$R$6:$R$77,0))*GramsToMT,4))</f>
        <v/>
      </c>
      <c r="Y34" s="230" t="str">
        <f>IF(OR(ISBLANK($B34),ISBLANK($C34),$R34=""),"",ROUND($R34*INDEX('Diesel TRU Emission Factors'!$F$6:$F$76,MATCH($B34&amp;$C34,'Diesel TRU Emission Factors'!$R$6:$R$77,0))*GramsToMT,1))</f>
        <v/>
      </c>
      <c r="Z34" s="230" t="str">
        <f>IF(OR(ISBLANK($B34),ISBLANK($C34),$R34=""),"",$R34*INDEX('Diesel TRU Emission Factors'!$G$6:$G$76,MATCH($B34&amp;$C34,'Diesel TRU Emission Factors'!$R$6:$R$77,0))*GramsToMT)</f>
        <v/>
      </c>
      <c r="AA34" s="231" t="str">
        <f>IF(ISBLANK(F34),"",R34*GalTokWh*'Diesel TRU Emission Factors'!$P$4/1000000)</f>
        <v/>
      </c>
      <c r="AB34" s="231" t="str">
        <f>IF(ISBLANK($F34),"",ROUND(Y34*References!$B$28+Z34*References!$B$29+AA34*References!$B$30,1))</f>
        <v/>
      </c>
      <c r="AC34" s="222"/>
      <c r="AD34" s="229" t="str">
        <f>IF(OR(ISBLANK($F34),$S34="",$T34=""),"",ROUND($S34*(1+$T34)*INDEX('eGRID2018 Subregion'!$C$7:$C$33,MATCH($F34,RegionGEN,0))*GramsToMT,4))</f>
        <v/>
      </c>
      <c r="AE34" s="229" t="str">
        <f>IF(OR(ISBLANK($F34),$S34="",$T34=""),"",ROUND($S34*(1+$T34)*INDEX('eGRID2018 Subregion'!$D$7:$D$33,MATCH($F34,RegionGEN,0))*GramsToMT,4))</f>
        <v/>
      </c>
      <c r="AF34" s="229" t="str">
        <f>IF(OR(ISBLANK($F34),$S34="",$T34=""),"",ROUND($S34*(1+$T34)*INDEX('eGRID2018 Subregion'!$I$7:$I$33,MATCH($F34,RegionGEN,0))*GramsToMT,4))</f>
        <v/>
      </c>
      <c r="AG34" s="230" t="str">
        <f>IF(OR(ISBLANK($F34),$S34="",$T34=""),"",ROUND($S34*(1+$T34)*INDEX('eGRID2018 Subregion'!$E$7:$E$33,MATCH($F34,RegionGEN,0))*GramsToMT,1))</f>
        <v/>
      </c>
      <c r="AH34" s="230" t="str">
        <f>IF(OR(ISBLANK($F34),$S34="",$T34=""),"",$S34*(1+$T34)*INDEX('eGRID2018 Subregion'!$F$7:$F$33,MATCH($F34,RegionGEN,0))*GramsToMT)</f>
        <v/>
      </c>
      <c r="AI34" s="230" t="str">
        <f>IF(OR(ISBLANK($F34),$S34="",$T34=""),"",$S34*(1+$T34)*INDEX('eGRID2018 Subregion'!$G$7:$G$33,MATCH($F34,RegionGEN,0))*GramsToMT)</f>
        <v/>
      </c>
      <c r="AJ34" s="230" t="str">
        <f>IF(ISBLANK($F34),"",ROUND(AG34*References!$B$28+AH34*References!$B$29+AI34*References!$B$30,1))</f>
        <v/>
      </c>
      <c r="AK34" s="222"/>
      <c r="AL34" s="229" t="str">
        <f t="shared" si="1"/>
        <v/>
      </c>
      <c r="AM34" s="229" t="str">
        <f t="shared" si="2"/>
        <v/>
      </c>
      <c r="AN34" s="229" t="str">
        <f t="shared" si="3"/>
        <v/>
      </c>
      <c r="AO34" s="230" t="str">
        <f t="shared" si="4"/>
        <v/>
      </c>
      <c r="AP34" s="230" t="str">
        <f t="shared" si="5"/>
        <v/>
      </c>
      <c r="AQ34" s="223"/>
      <c r="AR34" s="232" t="str">
        <f t="shared" si="6"/>
        <v/>
      </c>
      <c r="AS34" s="232" t="str">
        <f t="shared" ref="AS34" si="32">IF(OR(W34="",AM34="",W34=0),"", AM34/W34)</f>
        <v/>
      </c>
      <c r="AT34" s="232" t="str">
        <f t="shared" si="7"/>
        <v/>
      </c>
      <c r="AU34" s="232" t="str">
        <f t="shared" si="8"/>
        <v/>
      </c>
      <c r="AV34" s="232" t="str">
        <f t="shared" si="9"/>
        <v/>
      </c>
      <c r="AW34" s="212"/>
      <c r="AX34" s="300" t="str">
        <f t="shared" si="10"/>
        <v/>
      </c>
      <c r="AY34" s="300" t="str">
        <f t="shared" si="11"/>
        <v/>
      </c>
      <c r="AZ34" s="300" t="str">
        <f t="shared" si="15"/>
        <v/>
      </c>
      <c r="BA34" s="222"/>
      <c r="BB34" s="300" t="str">
        <f t="shared" si="12"/>
        <v/>
      </c>
      <c r="BC34" s="300" t="str">
        <f t="shared" si="16"/>
        <v/>
      </c>
      <c r="BD34" s="300" t="str">
        <f t="shared" si="17"/>
        <v/>
      </c>
      <c r="BE34" s="5"/>
    </row>
    <row r="35" spans="1:57">
      <c r="A35" s="103"/>
      <c r="B35" s="210"/>
      <c r="C35" s="210"/>
      <c r="D35" s="211"/>
      <c r="E35" s="410"/>
      <c r="F35" s="210"/>
      <c r="G35" s="212" t="str">
        <f>IF(OR(ISBLANK($B35),ISBLANK($C35)),"",INDEX('TRU Ops &amp; Costs'!$D$4:$D$74,MATCH($B35&amp;$C35,'TRU Ops &amp; Costs'!$P$4:$P$74,0))/0.7457)</f>
        <v/>
      </c>
      <c r="H35" s="213" t="str">
        <f>IF(OR(ISBLANK($B35),ISBLANK($C35)),"",INDEX('TRU Ops &amp; Costs'!$E$4:$E$74,MATCH($B35&amp;$C35,'TRU Ops &amp; Costs'!$P$4:$P$74,0)))</f>
        <v/>
      </c>
      <c r="I35" s="212" t="str">
        <f>IF(OR(ISBLANK($B35),ISBLANK($C35)),"",INDEX('TRU Ops &amp; Costs'!$F$4:$F$74,MATCH($B35&amp;$C35,'TRU Ops &amp; Costs'!$P$4:$P$74,0)))</f>
        <v/>
      </c>
      <c r="J35" s="214" t="str">
        <f>IF(OR(ISBLANK($B35),ISBLANK($C35)),"",INDEX('TRU Ops &amp; Costs'!$G$4:$G$74,MATCH($B35&amp;$C35,'TRU Ops &amp; Costs'!$P$4:$P$74,0)))</f>
        <v/>
      </c>
      <c r="K35" s="212" t="str">
        <f t="shared" si="13"/>
        <v/>
      </c>
      <c r="L35" s="215" t="str">
        <f>IF(ISBLANK($F35),"",INDEX('Diesel Fuel Prices'!$D$5:$D$31,MATCH($F35,'Diesel Fuel Prices'!$B$5:$B$31,0))*References!$B$38/References!$B$37)</f>
        <v/>
      </c>
      <c r="M35" s="215" t="str">
        <f>IF(ISBLANK($F35),"",VLOOKUP($F35,'Electricity Prices'!$B$4:$F$31,5,FALSE)*References!$B$38/References!$B$37)</f>
        <v/>
      </c>
      <c r="N35" s="216" t="str">
        <f>IF(OR(ISBLANK($B35),ISBLANK($C35)),"",INDEX('TRU Ops &amp; Costs'!$I$4:$I$74,MATCH($B35&amp;$C35,'TRU Ops &amp; Costs'!$P$4:$P$74,0)))</f>
        <v/>
      </c>
      <c r="O35" s="216" t="str">
        <f>IF(OR(ISBLANK($B35),ISBLANK($C35)),"",IF(E35="Yard",INDEX('TRU Ops &amp; Costs'!$J$4:$J$74,MATCH($B35&amp;$C35,'TRU Ops &amp; Costs'!$P$4:$P$74,0)),INDEX('TRU Ops &amp; Costs'!$K$4:$K$74,MATCH($B35&amp;$C35,'TRU Ops &amp; Costs'!$P$4:$P$74,0))))</f>
        <v/>
      </c>
      <c r="P35" s="216" t="str">
        <f>IF(OR(ISBLANK($B35),ISBLANK($C35)),"",$K35*INDEX('TRU Ops &amp; Costs'!$M$4:$M$74,MATCH($B35&amp;$C35,'TRU Ops &amp; Costs'!$P$4:$P$74,0))*-INDEX('TRU Ops &amp; Costs'!$L$4:$L$74,MATCH($B35&amp;$C35,'TRU Ops &amp; Costs'!$P$4:$P$74,0)))</f>
        <v/>
      </c>
      <c r="Q35" s="212"/>
      <c r="R35" s="233" t="str">
        <f t="shared" si="18"/>
        <v/>
      </c>
      <c r="S35" s="217" t="str">
        <f t="shared" si="0"/>
        <v/>
      </c>
      <c r="T35" s="218" t="str">
        <f>IF(ISBLANK($F35),"",INDEX('eGRID2018 Subregion'!$J$7:$J$33,MATCH($F35,RegionGEN,0)))</f>
        <v/>
      </c>
      <c r="U35" s="212"/>
      <c r="V35" s="219" t="str">
        <f>IF(OR(ISBLANK($B35),ISBLANK($C35),$R35=""),"",ROUND($R35*INDEX('Diesel TRU Emission Factors'!$D$6:$D$76,MATCH($B35&amp;$C35,'Diesel TRU Emission Factors'!$R$6:$R$77,0))*GramsToMT,4))</f>
        <v/>
      </c>
      <c r="W35" s="219" t="str">
        <f>IF(OR(ISBLANK($B35),ISBLANK($C35),$R35=""),"",ROUND($R35*INDEX('Diesel TRU Emission Factors'!$E$6:$E$76,MATCH($B35&amp;$C35,'Diesel TRU Emission Factors'!$R$6:$R$77,0))*GramsToMT,4))</f>
        <v/>
      </c>
      <c r="X35" s="219" t="str">
        <f>IF(OR(ISBLANK($B35),ISBLANK($C35),$R35=""),"",ROUND($R35*INDEX('Diesel TRU Emission Factors'!$H$6:$H$76,MATCH($B35&amp;$C35,'Diesel TRU Emission Factors'!$R$6:$R$77,0))*GramsToMT,4))</f>
        <v/>
      </c>
      <c r="Y35" s="220" t="str">
        <f>IF(OR(ISBLANK($B35),ISBLANK($C35),$R35=""),"",ROUND($R35*INDEX('Diesel TRU Emission Factors'!$F$6:$F$76,MATCH($B35&amp;$C35,'Diesel TRU Emission Factors'!$R$6:$R$77,0))*GramsToMT,1))</f>
        <v/>
      </c>
      <c r="Z35" s="220" t="str">
        <f>IF(OR(ISBLANK($B35),ISBLANK($C35),$R35=""),"",$R35*INDEX('Diesel TRU Emission Factors'!$G$6:$G$76,MATCH($B35&amp;$C35,'Diesel TRU Emission Factors'!$R$6:$R$77,0))*GramsToMT)</f>
        <v/>
      </c>
      <c r="AA35" s="221" t="str">
        <f>IF(ISBLANK(F35),"",R35*GalTokWh*'Diesel TRU Emission Factors'!$P$4/1000000)</f>
        <v/>
      </c>
      <c r="AB35" s="221" t="str">
        <f>IF(ISBLANK($F35),"",ROUND(Y35*References!$B$28+Z35*References!$B$29+AA35*References!$B$30,1))</f>
        <v/>
      </c>
      <c r="AC35" s="222"/>
      <c r="AD35" s="219" t="str">
        <f>IF(OR(ISBLANK($F35),$S35="",$T35=""),"",ROUND($S35*(1+$T35)*INDEX('eGRID2018 Subregion'!$C$7:$C$33,MATCH($F35,RegionGEN,0))*GramsToMT,4))</f>
        <v/>
      </c>
      <c r="AE35" s="219" t="str">
        <f>IF(OR(ISBLANK($F35),$S35="",$T35=""),"",ROUND($S35*(1+$T35)*INDEX('eGRID2018 Subregion'!$D$7:$D$33,MATCH($F35,RegionGEN,0))*GramsToMT,4))</f>
        <v/>
      </c>
      <c r="AF35" s="219" t="str">
        <f>IF(OR(ISBLANK($F35),$S35="",$T35=""),"",ROUND($S35*(1+$T35)*INDEX('eGRID2018 Subregion'!$I$7:$I$33,MATCH($F35,RegionGEN,0))*GramsToMT,4))</f>
        <v/>
      </c>
      <c r="AG35" s="220" t="str">
        <f>IF(OR(ISBLANK($F35),$S35="",$T35=""),"",ROUND($S35*(1+$T35)*INDEX('eGRID2018 Subregion'!$E$7:$E$33,MATCH($F35,RegionGEN,0))*GramsToMT,1))</f>
        <v/>
      </c>
      <c r="AH35" s="220" t="str">
        <f>IF(OR(ISBLANK($F35),$S35="",$T35=""),"",$S35*(1+$T35)*INDEX('eGRID2018 Subregion'!$F$7:$F$33,MATCH($F35,RegionGEN,0))*GramsToMT)</f>
        <v/>
      </c>
      <c r="AI35" s="220" t="str">
        <f>IF(OR(ISBLANK($F35),$S35="",$T35=""),"",$S35*(1+$T35)*INDEX('eGRID2018 Subregion'!$G$7:$G$33,MATCH($F35,RegionGEN,0))*GramsToMT)</f>
        <v/>
      </c>
      <c r="AJ35" s="220" t="str">
        <f>IF(ISBLANK($F35),"",ROUND(AG35*References!$B$28+AH35*References!$B$29+AI35*References!$B$30,1))</f>
        <v/>
      </c>
      <c r="AK35" s="222"/>
      <c r="AL35" s="219" t="str">
        <f t="shared" si="1"/>
        <v/>
      </c>
      <c r="AM35" s="219" t="str">
        <f t="shared" si="2"/>
        <v/>
      </c>
      <c r="AN35" s="219" t="str">
        <f t="shared" si="3"/>
        <v/>
      </c>
      <c r="AO35" s="220" t="str">
        <f t="shared" si="4"/>
        <v/>
      </c>
      <c r="AP35" s="220" t="str">
        <f t="shared" si="5"/>
        <v/>
      </c>
      <c r="AQ35" s="223"/>
      <c r="AR35" s="224" t="str">
        <f t="shared" si="6"/>
        <v/>
      </c>
      <c r="AS35" s="224" t="str">
        <f>IF(OR($W35="",$AM35="",$W35=0),"", $AM35/$W35)</f>
        <v/>
      </c>
      <c r="AT35" s="224" t="str">
        <f t="shared" si="7"/>
        <v/>
      </c>
      <c r="AU35" s="224" t="str">
        <f t="shared" si="8"/>
        <v/>
      </c>
      <c r="AV35" s="224" t="str">
        <f t="shared" si="9"/>
        <v/>
      </c>
      <c r="AW35" s="212"/>
      <c r="AX35" s="301" t="str">
        <f t="shared" si="10"/>
        <v/>
      </c>
      <c r="AY35" s="301" t="str">
        <f t="shared" si="11"/>
        <v/>
      </c>
      <c r="AZ35" s="301" t="str">
        <f t="shared" si="15"/>
        <v/>
      </c>
      <c r="BA35" s="222"/>
      <c r="BB35" s="301" t="str">
        <f t="shared" si="12"/>
        <v/>
      </c>
      <c r="BC35" s="301" t="str">
        <f t="shared" si="16"/>
        <v/>
      </c>
      <c r="BD35" s="301" t="str">
        <f t="shared" si="17"/>
        <v/>
      </c>
      <c r="BE35" s="5"/>
    </row>
    <row r="36" spans="1:57">
      <c r="A36" s="105"/>
      <c r="B36" s="225"/>
      <c r="C36" s="225"/>
      <c r="D36" s="226"/>
      <c r="E36" s="411"/>
      <c r="F36" s="225"/>
      <c r="G36" s="212" t="str">
        <f>IF(OR(ISBLANK($B36),ISBLANK($C36)),"",INDEX('TRU Ops &amp; Costs'!$D$4:$D$74,MATCH($B36&amp;$C36,'TRU Ops &amp; Costs'!$P$4:$P$74,0))/0.7457)</f>
        <v/>
      </c>
      <c r="H36" s="213" t="str">
        <f>IF(OR(ISBLANK($B36),ISBLANK($C36)),"",INDEX('TRU Ops &amp; Costs'!$E$4:$E$74,MATCH($B36&amp;$C36,'TRU Ops &amp; Costs'!$P$4:$P$74,0)))</f>
        <v/>
      </c>
      <c r="I36" s="212" t="str">
        <f>IF(OR(ISBLANK($B36),ISBLANK($C36)),"",INDEX('TRU Ops &amp; Costs'!$F$4:$F$74,MATCH($B36&amp;$C36,'TRU Ops &amp; Costs'!$P$4:$P$74,0)))</f>
        <v/>
      </c>
      <c r="J36" s="214" t="str">
        <f>IF(OR(ISBLANK($B36),ISBLANK($C36)),"",INDEX('TRU Ops &amp; Costs'!$G$4:$G$74,MATCH($B36&amp;$C36,'TRU Ops &amp; Costs'!$P$4:$P$74,0)))</f>
        <v/>
      </c>
      <c r="K36" s="212" t="str">
        <f t="shared" si="13"/>
        <v/>
      </c>
      <c r="L36" s="215" t="str">
        <f>IF(ISBLANK($F36),"",INDEX('Diesel Fuel Prices'!$D$5:$D$31,MATCH($F36,'Diesel Fuel Prices'!$B$5:$B$31,0))*References!$B$38/References!$B$37)</f>
        <v/>
      </c>
      <c r="M36" s="215" t="str">
        <f>IF(ISBLANK($F36),"",VLOOKUP($F36,'Electricity Prices'!$B$4:$F$31,5,FALSE)*References!$B$38/References!$B$37)</f>
        <v/>
      </c>
      <c r="N36" s="216" t="str">
        <f>IF(OR(ISBLANK($B36),ISBLANK($C36)),"",INDEX('TRU Ops &amp; Costs'!$I$4:$I$74,MATCH($B36&amp;$C36,'TRU Ops &amp; Costs'!$P$4:$P$74,0)))</f>
        <v/>
      </c>
      <c r="O36" s="216" t="str">
        <f>IF(OR(ISBLANK($B36),ISBLANK($C36)),"",IF(E36="Yard",INDEX('TRU Ops &amp; Costs'!$J$4:$J$74,MATCH($B36&amp;$C36,'TRU Ops &amp; Costs'!$P$4:$P$74,0)),INDEX('TRU Ops &amp; Costs'!$K$4:$K$74,MATCH($B36&amp;$C36,'TRU Ops &amp; Costs'!$P$4:$P$74,0))))</f>
        <v/>
      </c>
      <c r="P36" s="216" t="str">
        <f>IF(OR(ISBLANK($B36),ISBLANK($C36)),"",$K36*INDEX('TRU Ops &amp; Costs'!$M$4:$M$74,MATCH($B36&amp;$C36,'TRU Ops &amp; Costs'!$P$4:$P$74,0))*-INDEX('TRU Ops &amp; Costs'!$L$4:$L$74,MATCH($B36&amp;$C36,'TRU Ops &amp; Costs'!$P$4:$P$74,0)))</f>
        <v/>
      </c>
      <c r="Q36" s="212"/>
      <c r="R36" s="234" t="str">
        <f t="shared" si="18"/>
        <v/>
      </c>
      <c r="S36" s="227" t="str">
        <f t="shared" si="0"/>
        <v/>
      </c>
      <c r="T36" s="228" t="str">
        <f>IF(ISBLANK($F36),"",INDEX('eGRID2018 Subregion'!$J$7:$J$33,MATCH($F36,RegionGEN,0)))</f>
        <v/>
      </c>
      <c r="U36" s="212"/>
      <c r="V36" s="229" t="str">
        <f>IF(OR(ISBLANK($B36),ISBLANK($C36),$R36=""),"",ROUND($R36*INDEX('Diesel TRU Emission Factors'!$D$6:$D$76,MATCH($B36&amp;$C36,'Diesel TRU Emission Factors'!$R$6:$R$77,0))*GramsToMT,4))</f>
        <v/>
      </c>
      <c r="W36" s="229" t="str">
        <f>IF(OR(ISBLANK($B36),ISBLANK($C36),$R36=""),"",ROUND($R36*INDEX('Diesel TRU Emission Factors'!$E$6:$E$76,MATCH($B36&amp;$C36,'Diesel TRU Emission Factors'!$R$6:$R$77,0))*GramsToMT,4))</f>
        <v/>
      </c>
      <c r="X36" s="229" t="str">
        <f>IF(OR(ISBLANK($B36),ISBLANK($C36),$R36=""),"",ROUND($R36*INDEX('Diesel TRU Emission Factors'!$H$6:$H$76,MATCH($B36&amp;$C36,'Diesel TRU Emission Factors'!$R$6:$R$77,0))*GramsToMT,4))</f>
        <v/>
      </c>
      <c r="Y36" s="230" t="str">
        <f>IF(OR(ISBLANK($B36),ISBLANK($C36),$R36=""),"",ROUND($R36*INDEX('Diesel TRU Emission Factors'!$F$6:$F$76,MATCH($B36&amp;$C36,'Diesel TRU Emission Factors'!$R$6:$R$77,0))*GramsToMT,1))</f>
        <v/>
      </c>
      <c r="Z36" s="230" t="str">
        <f>IF(OR(ISBLANK($B36),ISBLANK($C36),$R36=""),"",$R36*INDEX('Diesel TRU Emission Factors'!$G$6:$G$76,MATCH($B36&amp;$C36,'Diesel TRU Emission Factors'!$R$6:$R$77,0))*GramsToMT)</f>
        <v/>
      </c>
      <c r="AA36" s="231" t="str">
        <f>IF(ISBLANK(F36),"",R36*GalTokWh*'Diesel TRU Emission Factors'!$P$4/1000000)</f>
        <v/>
      </c>
      <c r="AB36" s="231" t="str">
        <f>IF(ISBLANK($F36),"",ROUND(Y36*References!$B$28+Z36*References!$B$29+AA36*References!$B$30,1))</f>
        <v/>
      </c>
      <c r="AC36" s="222"/>
      <c r="AD36" s="229" t="str">
        <f>IF(OR(ISBLANK($F36),$S36="",$T36=""),"",ROUND($S36*(1+$T36)*INDEX('eGRID2018 Subregion'!$C$7:$C$33,MATCH($F36,RegionGEN,0))*GramsToMT,4))</f>
        <v/>
      </c>
      <c r="AE36" s="229" t="str">
        <f>IF(OR(ISBLANK($F36),$S36="",$T36=""),"",ROUND($S36*(1+$T36)*INDEX('eGRID2018 Subregion'!$D$7:$D$33,MATCH($F36,RegionGEN,0))*GramsToMT,4))</f>
        <v/>
      </c>
      <c r="AF36" s="229" t="str">
        <f>IF(OR(ISBLANK($F36),$S36="",$T36=""),"",ROUND($S36*(1+$T36)*INDEX('eGRID2018 Subregion'!$I$7:$I$33,MATCH($F36,RegionGEN,0))*GramsToMT,4))</f>
        <v/>
      </c>
      <c r="AG36" s="230" t="str">
        <f>IF(OR(ISBLANK($F36),$S36="",$T36=""),"",ROUND($S36*(1+$T36)*INDEX('eGRID2018 Subregion'!$E$7:$E$33,MATCH($F36,RegionGEN,0))*GramsToMT,1))</f>
        <v/>
      </c>
      <c r="AH36" s="230" t="str">
        <f>IF(OR(ISBLANK($F36),$S36="",$T36=""),"",$S36*(1+$T36)*INDEX('eGRID2018 Subregion'!$F$7:$F$33,MATCH($F36,RegionGEN,0))*GramsToMT)</f>
        <v/>
      </c>
      <c r="AI36" s="230" t="str">
        <f>IF(OR(ISBLANK($F36),$S36="",$T36=""),"",$S36*(1+$T36)*INDEX('eGRID2018 Subregion'!$G$7:$G$33,MATCH($F36,RegionGEN,0))*GramsToMT)</f>
        <v/>
      </c>
      <c r="AJ36" s="230" t="str">
        <f>IF(ISBLANK($F36),"",ROUND(AG36*References!$B$28+AH36*References!$B$29+AI36*References!$B$30,1))</f>
        <v/>
      </c>
      <c r="AK36" s="222"/>
      <c r="AL36" s="229" t="str">
        <f t="shared" si="1"/>
        <v/>
      </c>
      <c r="AM36" s="229" t="str">
        <f t="shared" si="2"/>
        <v/>
      </c>
      <c r="AN36" s="229" t="str">
        <f t="shared" si="3"/>
        <v/>
      </c>
      <c r="AO36" s="230" t="str">
        <f t="shared" si="4"/>
        <v/>
      </c>
      <c r="AP36" s="230" t="str">
        <f t="shared" si="5"/>
        <v/>
      </c>
      <c r="AQ36" s="223"/>
      <c r="AR36" s="232" t="str">
        <f t="shared" si="6"/>
        <v/>
      </c>
      <c r="AS36" s="232" t="str">
        <f t="shared" ref="AS36" si="33">IF(OR(W36="",AM36="",W36=0),"", AM36/W36)</f>
        <v/>
      </c>
      <c r="AT36" s="232" t="str">
        <f t="shared" si="7"/>
        <v/>
      </c>
      <c r="AU36" s="232" t="str">
        <f t="shared" si="8"/>
        <v/>
      </c>
      <c r="AV36" s="232" t="str">
        <f t="shared" si="9"/>
        <v/>
      </c>
      <c r="AW36" s="212"/>
      <c r="AX36" s="300" t="str">
        <f t="shared" si="10"/>
        <v/>
      </c>
      <c r="AY36" s="300" t="str">
        <f t="shared" si="11"/>
        <v/>
      </c>
      <c r="AZ36" s="300" t="str">
        <f t="shared" si="15"/>
        <v/>
      </c>
      <c r="BA36" s="222"/>
      <c r="BB36" s="300" t="str">
        <f t="shared" si="12"/>
        <v/>
      </c>
      <c r="BC36" s="300" t="str">
        <f t="shared" si="16"/>
        <v/>
      </c>
      <c r="BD36" s="300" t="str">
        <f t="shared" si="17"/>
        <v/>
      </c>
      <c r="BE36" s="5"/>
    </row>
    <row r="37" spans="1:57">
      <c r="A37" s="103"/>
      <c r="B37" s="210"/>
      <c r="C37" s="210"/>
      <c r="D37" s="211"/>
      <c r="E37" s="410"/>
      <c r="F37" s="210"/>
      <c r="G37" s="212" t="str">
        <f>IF(OR(ISBLANK($B37),ISBLANK($C37)),"",INDEX('TRU Ops &amp; Costs'!$D$4:$D$74,MATCH($B37&amp;$C37,'TRU Ops &amp; Costs'!$P$4:$P$74,0))/0.7457)</f>
        <v/>
      </c>
      <c r="H37" s="213" t="str">
        <f>IF(OR(ISBLANK($B37),ISBLANK($C37)),"",INDEX('TRU Ops &amp; Costs'!$E$4:$E$74,MATCH($B37&amp;$C37,'TRU Ops &amp; Costs'!$P$4:$P$74,0)))</f>
        <v/>
      </c>
      <c r="I37" s="212" t="str">
        <f>IF(OR(ISBLANK($B37),ISBLANK($C37)),"",INDEX('TRU Ops &amp; Costs'!$F$4:$F$74,MATCH($B37&amp;$C37,'TRU Ops &amp; Costs'!$P$4:$P$74,0)))</f>
        <v/>
      </c>
      <c r="J37" s="214" t="str">
        <f>IF(OR(ISBLANK($B37),ISBLANK($C37)),"",INDEX('TRU Ops &amp; Costs'!$G$4:$G$74,MATCH($B37&amp;$C37,'TRU Ops &amp; Costs'!$P$4:$P$74,0)))</f>
        <v/>
      </c>
      <c r="K37" s="212" t="str">
        <f t="shared" si="13"/>
        <v/>
      </c>
      <c r="L37" s="215" t="str">
        <f>IF(ISBLANK($F37),"",INDEX('Diesel Fuel Prices'!$D$5:$D$31,MATCH($F37,'Diesel Fuel Prices'!$B$5:$B$31,0))*References!$B$38/References!$B$37)</f>
        <v/>
      </c>
      <c r="M37" s="215" t="str">
        <f>IF(ISBLANK($F37),"",VLOOKUP($F37,'Electricity Prices'!$B$4:$F$31,5,FALSE)*References!$B$38/References!$B$37)</f>
        <v/>
      </c>
      <c r="N37" s="216" t="str">
        <f>IF(OR(ISBLANK($B37),ISBLANK($C37)),"",INDEX('TRU Ops &amp; Costs'!$I$4:$I$74,MATCH($B37&amp;$C37,'TRU Ops &amp; Costs'!$P$4:$P$74,0)))</f>
        <v/>
      </c>
      <c r="O37" s="216" t="str">
        <f>IF(OR(ISBLANK($B37),ISBLANK($C37)),"",IF(E37="Yard",INDEX('TRU Ops &amp; Costs'!$J$4:$J$74,MATCH($B37&amp;$C37,'TRU Ops &amp; Costs'!$P$4:$P$74,0)),INDEX('TRU Ops &amp; Costs'!$K$4:$K$74,MATCH($B37&amp;$C37,'TRU Ops &amp; Costs'!$P$4:$P$74,0))))</f>
        <v/>
      </c>
      <c r="P37" s="216" t="str">
        <f>IF(OR(ISBLANK($B37),ISBLANK($C37)),"",$K37*INDEX('TRU Ops &amp; Costs'!$M$4:$M$74,MATCH($B37&amp;$C37,'TRU Ops &amp; Costs'!$P$4:$P$74,0))*-INDEX('TRU Ops &amp; Costs'!$L$4:$L$74,MATCH($B37&amp;$C37,'TRU Ops &amp; Costs'!$P$4:$P$74,0)))</f>
        <v/>
      </c>
      <c r="Q37" s="212"/>
      <c r="R37" s="233" t="str">
        <f t="shared" si="18"/>
        <v/>
      </c>
      <c r="S37" s="217" t="str">
        <f t="shared" si="0"/>
        <v/>
      </c>
      <c r="T37" s="218" t="str">
        <f>IF(ISBLANK($F37),"",INDEX('eGRID2018 Subregion'!$J$7:$J$33,MATCH($F37,RegionGEN,0)))</f>
        <v/>
      </c>
      <c r="U37" s="212"/>
      <c r="V37" s="219" t="str">
        <f>IF(OR(ISBLANK($B37),ISBLANK($C37),$R37=""),"",ROUND($R37*INDEX('Diesel TRU Emission Factors'!$D$6:$D$76,MATCH($B37&amp;$C37,'Diesel TRU Emission Factors'!$R$6:$R$77,0))*GramsToMT,4))</f>
        <v/>
      </c>
      <c r="W37" s="219" t="str">
        <f>IF(OR(ISBLANK($B37),ISBLANK($C37),$R37=""),"",ROUND($R37*INDEX('Diesel TRU Emission Factors'!$E$6:$E$76,MATCH($B37&amp;$C37,'Diesel TRU Emission Factors'!$R$6:$R$77,0))*GramsToMT,4))</f>
        <v/>
      </c>
      <c r="X37" s="219" t="str">
        <f>IF(OR(ISBLANK($B37),ISBLANK($C37),$R37=""),"",ROUND($R37*INDEX('Diesel TRU Emission Factors'!$H$6:$H$76,MATCH($B37&amp;$C37,'Diesel TRU Emission Factors'!$R$6:$R$77,0))*GramsToMT,4))</f>
        <v/>
      </c>
      <c r="Y37" s="220" t="str">
        <f>IF(OR(ISBLANK($B37),ISBLANK($C37),$R37=""),"",ROUND($R37*INDEX('Diesel TRU Emission Factors'!$F$6:$F$76,MATCH($B37&amp;$C37,'Diesel TRU Emission Factors'!$R$6:$R$77,0))*GramsToMT,1))</f>
        <v/>
      </c>
      <c r="Z37" s="220" t="str">
        <f>IF(OR(ISBLANK($B37),ISBLANK($C37),$R37=""),"",$R37*INDEX('Diesel TRU Emission Factors'!$G$6:$G$76,MATCH($B37&amp;$C37,'Diesel TRU Emission Factors'!$R$6:$R$77,0))*GramsToMT)</f>
        <v/>
      </c>
      <c r="AA37" s="221" t="str">
        <f>IF(ISBLANK(F37),"",R37*GalTokWh*'Diesel TRU Emission Factors'!$P$4/1000000)</f>
        <v/>
      </c>
      <c r="AB37" s="221" t="str">
        <f>IF(ISBLANK($F37),"",ROUND(Y37*References!$B$28+Z37*References!$B$29+AA37*References!$B$30,1))</f>
        <v/>
      </c>
      <c r="AC37" s="222"/>
      <c r="AD37" s="219" t="str">
        <f>IF(OR(ISBLANK($F37),$S37="",$T37=""),"",ROUND($S37*(1+$T37)*INDEX('eGRID2018 Subregion'!$C$7:$C$33,MATCH($F37,RegionGEN,0))*GramsToMT,4))</f>
        <v/>
      </c>
      <c r="AE37" s="219" t="str">
        <f>IF(OR(ISBLANK($F37),$S37="",$T37=""),"",ROUND($S37*(1+$T37)*INDEX('eGRID2018 Subregion'!$D$7:$D$33,MATCH($F37,RegionGEN,0))*GramsToMT,4))</f>
        <v/>
      </c>
      <c r="AF37" s="219" t="str">
        <f>IF(OR(ISBLANK($F37),$S37="",$T37=""),"",ROUND($S37*(1+$T37)*INDEX('eGRID2018 Subregion'!$I$7:$I$33,MATCH($F37,RegionGEN,0))*GramsToMT,4))</f>
        <v/>
      </c>
      <c r="AG37" s="220" t="str">
        <f>IF(OR(ISBLANK($F37),$S37="",$T37=""),"",ROUND($S37*(1+$T37)*INDEX('eGRID2018 Subregion'!$E$7:$E$33,MATCH($F37,RegionGEN,0))*GramsToMT,1))</f>
        <v/>
      </c>
      <c r="AH37" s="220" t="str">
        <f>IF(OR(ISBLANK($F37),$S37="",$T37=""),"",$S37*(1+$T37)*INDEX('eGRID2018 Subregion'!$F$7:$F$33,MATCH($F37,RegionGEN,0))*GramsToMT)</f>
        <v/>
      </c>
      <c r="AI37" s="220" t="str">
        <f>IF(OR(ISBLANK($F37),$S37="",$T37=""),"",$S37*(1+$T37)*INDEX('eGRID2018 Subregion'!$G$7:$G$33,MATCH($F37,RegionGEN,0))*GramsToMT)</f>
        <v/>
      </c>
      <c r="AJ37" s="220" t="str">
        <f>IF(ISBLANK($F37),"",ROUND(AG37*References!$B$28+AH37*References!$B$29+AI37*References!$B$30,1))</f>
        <v/>
      </c>
      <c r="AK37" s="222"/>
      <c r="AL37" s="219" t="str">
        <f t="shared" si="1"/>
        <v/>
      </c>
      <c r="AM37" s="219" t="str">
        <f t="shared" si="2"/>
        <v/>
      </c>
      <c r="AN37" s="219" t="str">
        <f t="shared" si="3"/>
        <v/>
      </c>
      <c r="AO37" s="220" t="str">
        <f t="shared" si="4"/>
        <v/>
      </c>
      <c r="AP37" s="220" t="str">
        <f t="shared" si="5"/>
        <v/>
      </c>
      <c r="AQ37" s="223"/>
      <c r="AR37" s="224" t="str">
        <f t="shared" si="6"/>
        <v/>
      </c>
      <c r="AS37" s="224" t="str">
        <f>IF(OR($W37="",$AM37="",$W37=0),"", $AM37/$W37)</f>
        <v/>
      </c>
      <c r="AT37" s="224" t="str">
        <f t="shared" si="7"/>
        <v/>
      </c>
      <c r="AU37" s="224" t="str">
        <f t="shared" si="8"/>
        <v/>
      </c>
      <c r="AV37" s="224" t="str">
        <f t="shared" si="9"/>
        <v/>
      </c>
      <c r="AW37" s="212"/>
      <c r="AX37" s="301" t="str">
        <f t="shared" si="10"/>
        <v/>
      </c>
      <c r="AY37" s="301" t="str">
        <f t="shared" si="11"/>
        <v/>
      </c>
      <c r="AZ37" s="301" t="str">
        <f t="shared" si="15"/>
        <v/>
      </c>
      <c r="BA37" s="222"/>
      <c r="BB37" s="301" t="str">
        <f t="shared" si="12"/>
        <v/>
      </c>
      <c r="BC37" s="301" t="str">
        <f t="shared" si="16"/>
        <v/>
      </c>
      <c r="BD37" s="301" t="str">
        <f t="shared" si="17"/>
        <v/>
      </c>
      <c r="BE37" s="5"/>
    </row>
    <row r="38" spans="1:57">
      <c r="A38" s="105"/>
      <c r="B38" s="225"/>
      <c r="C38" s="225"/>
      <c r="D38" s="226"/>
      <c r="E38" s="411"/>
      <c r="F38" s="225"/>
      <c r="G38" s="212" t="str">
        <f>IF(OR(ISBLANK($B38),ISBLANK($C38)),"",INDEX('TRU Ops &amp; Costs'!$D$4:$D$74,MATCH($B38&amp;$C38,'TRU Ops &amp; Costs'!$P$4:$P$74,0))/0.7457)</f>
        <v/>
      </c>
      <c r="H38" s="213" t="str">
        <f>IF(OR(ISBLANK($B38),ISBLANK($C38)),"",INDEX('TRU Ops &amp; Costs'!$E$4:$E$74,MATCH($B38&amp;$C38,'TRU Ops &amp; Costs'!$P$4:$P$74,0)))</f>
        <v/>
      </c>
      <c r="I38" s="212" t="str">
        <f>IF(OR(ISBLANK($B38),ISBLANK($C38)),"",INDEX('TRU Ops &amp; Costs'!$F$4:$F$74,MATCH($B38&amp;$C38,'TRU Ops &amp; Costs'!$P$4:$P$74,0)))</f>
        <v/>
      </c>
      <c r="J38" s="214" t="str">
        <f>IF(OR(ISBLANK($B38),ISBLANK($C38)),"",INDEX('TRU Ops &amp; Costs'!$G$4:$G$74,MATCH($B38&amp;$C38,'TRU Ops &amp; Costs'!$P$4:$P$74,0)))</f>
        <v/>
      </c>
      <c r="K38" s="212" t="str">
        <f t="shared" si="13"/>
        <v/>
      </c>
      <c r="L38" s="215" t="str">
        <f>IF(ISBLANK($F38),"",INDEX('Diesel Fuel Prices'!$D$5:$D$31,MATCH($F38,'Diesel Fuel Prices'!$B$5:$B$31,0))*References!$B$38/References!$B$37)</f>
        <v/>
      </c>
      <c r="M38" s="215" t="str">
        <f>IF(ISBLANK($F38),"",VLOOKUP($F38,'Electricity Prices'!$B$4:$F$31,5,FALSE)*References!$B$38/References!$B$37)</f>
        <v/>
      </c>
      <c r="N38" s="216" t="str">
        <f>IF(OR(ISBLANK($B38),ISBLANK($C38)),"",INDEX('TRU Ops &amp; Costs'!$I$4:$I$74,MATCH($B38&amp;$C38,'TRU Ops &amp; Costs'!$P$4:$P$74,0)))</f>
        <v/>
      </c>
      <c r="O38" s="216" t="str">
        <f>IF(OR(ISBLANK($B38),ISBLANK($C38)),"",IF(E38="Yard",INDEX('TRU Ops &amp; Costs'!$J$4:$J$74,MATCH($B38&amp;$C38,'TRU Ops &amp; Costs'!$P$4:$P$74,0)),INDEX('TRU Ops &amp; Costs'!$K$4:$K$74,MATCH($B38&amp;$C38,'TRU Ops &amp; Costs'!$P$4:$P$74,0))))</f>
        <v/>
      </c>
      <c r="P38" s="216" t="str">
        <f>IF(OR(ISBLANK($B38),ISBLANK($C38)),"",$K38*INDEX('TRU Ops &amp; Costs'!$M$4:$M$74,MATCH($B38&amp;$C38,'TRU Ops &amp; Costs'!$P$4:$P$74,0))*-INDEX('TRU Ops &amp; Costs'!$L$4:$L$74,MATCH($B38&amp;$C38,'TRU Ops &amp; Costs'!$P$4:$P$74,0)))</f>
        <v/>
      </c>
      <c r="Q38" s="212"/>
      <c r="R38" s="234" t="str">
        <f t="shared" si="18"/>
        <v/>
      </c>
      <c r="S38" s="227" t="str">
        <f t="shared" si="0"/>
        <v/>
      </c>
      <c r="T38" s="228" t="str">
        <f>IF(ISBLANK($F38),"",INDEX('eGRID2018 Subregion'!$J$7:$J$33,MATCH($F38,RegionGEN,0)))</f>
        <v/>
      </c>
      <c r="U38" s="212"/>
      <c r="V38" s="229" t="str">
        <f>IF(OR(ISBLANK($B38),ISBLANK($C38),$R38=""),"",ROUND($R38*INDEX('Diesel TRU Emission Factors'!$D$6:$D$76,MATCH($B38&amp;$C38,'Diesel TRU Emission Factors'!$R$6:$R$77,0))*GramsToMT,4))</f>
        <v/>
      </c>
      <c r="W38" s="229" t="str">
        <f>IF(OR(ISBLANK($B38),ISBLANK($C38),$R38=""),"",ROUND($R38*INDEX('Diesel TRU Emission Factors'!$E$6:$E$76,MATCH($B38&amp;$C38,'Diesel TRU Emission Factors'!$R$6:$R$77,0))*GramsToMT,4))</f>
        <v/>
      </c>
      <c r="X38" s="229" t="str">
        <f>IF(OR(ISBLANK($B38),ISBLANK($C38),$R38=""),"",ROUND($R38*INDEX('Diesel TRU Emission Factors'!$H$6:$H$76,MATCH($B38&amp;$C38,'Diesel TRU Emission Factors'!$R$6:$R$77,0))*GramsToMT,4))</f>
        <v/>
      </c>
      <c r="Y38" s="230" t="str">
        <f>IF(OR(ISBLANK($B38),ISBLANK($C38),$R38=""),"",ROUND($R38*INDEX('Diesel TRU Emission Factors'!$F$6:$F$76,MATCH($B38&amp;$C38,'Diesel TRU Emission Factors'!$R$6:$R$77,0))*GramsToMT,1))</f>
        <v/>
      </c>
      <c r="Z38" s="230" t="str">
        <f>IF(OR(ISBLANK($B38),ISBLANK($C38),$R38=""),"",$R38*INDEX('Diesel TRU Emission Factors'!$G$6:$G$76,MATCH($B38&amp;$C38,'Diesel TRU Emission Factors'!$R$6:$R$77,0))*GramsToMT)</f>
        <v/>
      </c>
      <c r="AA38" s="231" t="str">
        <f>IF(ISBLANK(F38),"",R38*GalTokWh*'Diesel TRU Emission Factors'!$P$4/1000000)</f>
        <v/>
      </c>
      <c r="AB38" s="231" t="str">
        <f>IF(ISBLANK($F38),"",ROUND(Y38*References!$B$28+Z38*References!$B$29+AA38*References!$B$30,1))</f>
        <v/>
      </c>
      <c r="AC38" s="222"/>
      <c r="AD38" s="229" t="str">
        <f>IF(OR(ISBLANK($F38),$S38="",$T38=""),"",ROUND($S38*(1+$T38)*INDEX('eGRID2018 Subregion'!$C$7:$C$33,MATCH($F38,RegionGEN,0))*GramsToMT,4))</f>
        <v/>
      </c>
      <c r="AE38" s="229" t="str">
        <f>IF(OR(ISBLANK($F38),$S38="",$T38=""),"",ROUND($S38*(1+$T38)*INDEX('eGRID2018 Subregion'!$D$7:$D$33,MATCH($F38,RegionGEN,0))*GramsToMT,4))</f>
        <v/>
      </c>
      <c r="AF38" s="229" t="str">
        <f>IF(OR(ISBLANK($F38),$S38="",$T38=""),"",ROUND($S38*(1+$T38)*INDEX('eGRID2018 Subregion'!$I$7:$I$33,MATCH($F38,RegionGEN,0))*GramsToMT,4))</f>
        <v/>
      </c>
      <c r="AG38" s="230" t="str">
        <f>IF(OR(ISBLANK($F38),$S38="",$T38=""),"",ROUND($S38*(1+$T38)*INDEX('eGRID2018 Subregion'!$E$7:$E$33,MATCH($F38,RegionGEN,0))*GramsToMT,1))</f>
        <v/>
      </c>
      <c r="AH38" s="230" t="str">
        <f>IF(OR(ISBLANK($F38),$S38="",$T38=""),"",$S38*(1+$T38)*INDEX('eGRID2018 Subregion'!$F$7:$F$33,MATCH($F38,RegionGEN,0))*GramsToMT)</f>
        <v/>
      </c>
      <c r="AI38" s="230" t="str">
        <f>IF(OR(ISBLANK($F38),$S38="",$T38=""),"",$S38*(1+$T38)*INDEX('eGRID2018 Subregion'!$G$7:$G$33,MATCH($F38,RegionGEN,0))*GramsToMT)</f>
        <v/>
      </c>
      <c r="AJ38" s="230" t="str">
        <f>IF(ISBLANK($F38),"",ROUND(AG38*References!$B$28+AH38*References!$B$29+AI38*References!$B$30,1))</f>
        <v/>
      </c>
      <c r="AK38" s="222"/>
      <c r="AL38" s="229" t="str">
        <f t="shared" si="1"/>
        <v/>
      </c>
      <c r="AM38" s="229" t="str">
        <f t="shared" si="2"/>
        <v/>
      </c>
      <c r="AN38" s="229" t="str">
        <f t="shared" si="3"/>
        <v/>
      </c>
      <c r="AO38" s="230" t="str">
        <f t="shared" si="4"/>
        <v/>
      </c>
      <c r="AP38" s="230" t="str">
        <f t="shared" si="5"/>
        <v/>
      </c>
      <c r="AQ38" s="223"/>
      <c r="AR38" s="232" t="str">
        <f t="shared" si="6"/>
        <v/>
      </c>
      <c r="AS38" s="232" t="str">
        <f t="shared" ref="AS38" si="34">IF(OR(W38="",AM38="",W38=0),"", AM38/W38)</f>
        <v/>
      </c>
      <c r="AT38" s="232" t="str">
        <f t="shared" si="7"/>
        <v/>
      </c>
      <c r="AU38" s="232" t="str">
        <f t="shared" si="8"/>
        <v/>
      </c>
      <c r="AV38" s="232" t="str">
        <f t="shared" si="9"/>
        <v/>
      </c>
      <c r="AW38" s="212"/>
      <c r="AX38" s="300" t="str">
        <f t="shared" si="10"/>
        <v/>
      </c>
      <c r="AY38" s="300" t="str">
        <f t="shared" si="11"/>
        <v/>
      </c>
      <c r="AZ38" s="300" t="str">
        <f t="shared" si="15"/>
        <v/>
      </c>
      <c r="BA38" s="222"/>
      <c r="BB38" s="300" t="str">
        <f t="shared" si="12"/>
        <v/>
      </c>
      <c r="BC38" s="300" t="str">
        <f t="shared" si="16"/>
        <v/>
      </c>
      <c r="BD38" s="300" t="str">
        <f t="shared" si="17"/>
        <v/>
      </c>
      <c r="BE38" s="5"/>
    </row>
    <row r="39" spans="1:57">
      <c r="A39" s="103"/>
      <c r="B39" s="210"/>
      <c r="C39" s="210"/>
      <c r="D39" s="211"/>
      <c r="E39" s="410"/>
      <c r="F39" s="210"/>
      <c r="G39" s="212" t="str">
        <f>IF(OR(ISBLANK($B39),ISBLANK($C39)),"",INDEX('TRU Ops &amp; Costs'!$D$4:$D$74,MATCH($B39&amp;$C39,'TRU Ops &amp; Costs'!$P$4:$P$74,0))/0.7457)</f>
        <v/>
      </c>
      <c r="H39" s="213" t="str">
        <f>IF(OR(ISBLANK($B39),ISBLANK($C39)),"",INDEX('TRU Ops &amp; Costs'!$E$4:$E$74,MATCH($B39&amp;$C39,'TRU Ops &amp; Costs'!$P$4:$P$74,0)))</f>
        <v/>
      </c>
      <c r="I39" s="212" t="str">
        <f>IF(OR(ISBLANK($B39),ISBLANK($C39)),"",INDEX('TRU Ops &amp; Costs'!$F$4:$F$74,MATCH($B39&amp;$C39,'TRU Ops &amp; Costs'!$P$4:$P$74,0)))</f>
        <v/>
      </c>
      <c r="J39" s="214" t="str">
        <f>IF(OR(ISBLANK($B39),ISBLANK($C39)),"",INDEX('TRU Ops &amp; Costs'!$G$4:$G$74,MATCH($B39&amp;$C39,'TRU Ops &amp; Costs'!$P$4:$P$74,0)))</f>
        <v/>
      </c>
      <c r="K39" s="212" t="str">
        <f t="shared" si="13"/>
        <v/>
      </c>
      <c r="L39" s="215" t="str">
        <f>IF(ISBLANK($F39),"",INDEX('Diesel Fuel Prices'!$D$5:$D$31,MATCH($F39,'Diesel Fuel Prices'!$B$5:$B$31,0))*References!$B$38/References!$B$37)</f>
        <v/>
      </c>
      <c r="M39" s="215" t="str">
        <f>IF(ISBLANK($F39),"",VLOOKUP($F39,'Electricity Prices'!$B$4:$F$31,5,FALSE)*References!$B$38/References!$B$37)</f>
        <v/>
      </c>
      <c r="N39" s="216" t="str">
        <f>IF(OR(ISBLANK($B39),ISBLANK($C39)),"",INDEX('TRU Ops &amp; Costs'!$I$4:$I$74,MATCH($B39&amp;$C39,'TRU Ops &amp; Costs'!$P$4:$P$74,0)))</f>
        <v/>
      </c>
      <c r="O39" s="216" t="str">
        <f>IF(OR(ISBLANK($B39),ISBLANK($C39)),"",IF(E39="Yard",INDEX('TRU Ops &amp; Costs'!$J$4:$J$74,MATCH($B39&amp;$C39,'TRU Ops &amp; Costs'!$P$4:$P$74,0)),INDEX('TRU Ops &amp; Costs'!$K$4:$K$74,MATCH($B39&amp;$C39,'TRU Ops &amp; Costs'!$P$4:$P$74,0))))</f>
        <v/>
      </c>
      <c r="P39" s="216" t="str">
        <f>IF(OR(ISBLANK($B39),ISBLANK($C39)),"",$K39*INDEX('TRU Ops &amp; Costs'!$M$4:$M$74,MATCH($B39&amp;$C39,'TRU Ops &amp; Costs'!$P$4:$P$74,0))*-INDEX('TRU Ops &amp; Costs'!$L$4:$L$74,MATCH($B39&amp;$C39,'TRU Ops &amp; Costs'!$P$4:$P$74,0)))</f>
        <v/>
      </c>
      <c r="Q39" s="212"/>
      <c r="R39" s="233" t="str">
        <f t="shared" si="18"/>
        <v/>
      </c>
      <c r="S39" s="217" t="str">
        <f t="shared" si="0"/>
        <v/>
      </c>
      <c r="T39" s="218" t="str">
        <f>IF(ISBLANK($F39),"",INDEX('eGRID2018 Subregion'!$J$7:$J$33,MATCH($F39,RegionGEN,0)))</f>
        <v/>
      </c>
      <c r="U39" s="212"/>
      <c r="V39" s="219" t="str">
        <f>IF(OR(ISBLANK($B39),ISBLANK($C39),$R39=""),"",ROUND($R39*INDEX('Diesel TRU Emission Factors'!$D$6:$D$76,MATCH($B39&amp;$C39,'Diesel TRU Emission Factors'!$R$6:$R$77,0))*GramsToMT,4))</f>
        <v/>
      </c>
      <c r="W39" s="219" t="str">
        <f>IF(OR(ISBLANK($B39),ISBLANK($C39),$R39=""),"",ROUND($R39*INDEX('Diesel TRU Emission Factors'!$E$6:$E$76,MATCH($B39&amp;$C39,'Diesel TRU Emission Factors'!$R$6:$R$77,0))*GramsToMT,4))</f>
        <v/>
      </c>
      <c r="X39" s="219" t="str">
        <f>IF(OR(ISBLANK($B39),ISBLANK($C39),$R39=""),"",ROUND($R39*INDEX('Diesel TRU Emission Factors'!$H$6:$H$76,MATCH($B39&amp;$C39,'Diesel TRU Emission Factors'!$R$6:$R$77,0))*GramsToMT,4))</f>
        <v/>
      </c>
      <c r="Y39" s="220" t="str">
        <f>IF(OR(ISBLANK($B39),ISBLANK($C39),$R39=""),"",ROUND($R39*INDEX('Diesel TRU Emission Factors'!$F$6:$F$76,MATCH($B39&amp;$C39,'Diesel TRU Emission Factors'!$R$6:$R$77,0))*GramsToMT,1))</f>
        <v/>
      </c>
      <c r="Z39" s="220" t="str">
        <f>IF(OR(ISBLANK($B39),ISBLANK($C39),$R39=""),"",$R39*INDEX('Diesel TRU Emission Factors'!$G$6:$G$76,MATCH($B39&amp;$C39,'Diesel TRU Emission Factors'!$R$6:$R$77,0))*GramsToMT)</f>
        <v/>
      </c>
      <c r="AA39" s="221" t="str">
        <f>IF(ISBLANK(F39),"",R39*GalTokWh*'Diesel TRU Emission Factors'!$P$4/1000000)</f>
        <v/>
      </c>
      <c r="AB39" s="221" t="str">
        <f>IF(ISBLANK($F39),"",ROUND(Y39*References!$B$28+Z39*References!$B$29+AA39*References!$B$30,1))</f>
        <v/>
      </c>
      <c r="AC39" s="222"/>
      <c r="AD39" s="219" t="str">
        <f>IF(OR(ISBLANK($F39),$S39="",$T39=""),"",ROUND($S39*(1+$T39)*INDEX('eGRID2018 Subregion'!$C$7:$C$33,MATCH($F39,RegionGEN,0))*GramsToMT,4))</f>
        <v/>
      </c>
      <c r="AE39" s="219" t="str">
        <f>IF(OR(ISBLANK($F39),$S39="",$T39=""),"",ROUND($S39*(1+$T39)*INDEX('eGRID2018 Subregion'!$D$7:$D$33,MATCH($F39,RegionGEN,0))*GramsToMT,4))</f>
        <v/>
      </c>
      <c r="AF39" s="219" t="str">
        <f>IF(OR(ISBLANK($F39),$S39="",$T39=""),"",ROUND($S39*(1+$T39)*INDEX('eGRID2018 Subregion'!$I$7:$I$33,MATCH($F39,RegionGEN,0))*GramsToMT,4))</f>
        <v/>
      </c>
      <c r="AG39" s="220" t="str">
        <f>IF(OR(ISBLANK($F39),$S39="",$T39=""),"",ROUND($S39*(1+$T39)*INDEX('eGRID2018 Subregion'!$E$7:$E$33,MATCH($F39,RegionGEN,0))*GramsToMT,1))</f>
        <v/>
      </c>
      <c r="AH39" s="220" t="str">
        <f>IF(OR(ISBLANK($F39),$S39="",$T39=""),"",$S39*(1+$T39)*INDEX('eGRID2018 Subregion'!$F$7:$F$33,MATCH($F39,RegionGEN,0))*GramsToMT)</f>
        <v/>
      </c>
      <c r="AI39" s="220" t="str">
        <f>IF(OR(ISBLANK($F39),$S39="",$T39=""),"",$S39*(1+$T39)*INDEX('eGRID2018 Subregion'!$G$7:$G$33,MATCH($F39,RegionGEN,0))*GramsToMT)</f>
        <v/>
      </c>
      <c r="AJ39" s="220" t="str">
        <f>IF(ISBLANK($F39),"",ROUND(AG39*References!$B$28+AH39*References!$B$29+AI39*References!$B$30,1))</f>
        <v/>
      </c>
      <c r="AK39" s="222"/>
      <c r="AL39" s="219" t="str">
        <f t="shared" si="1"/>
        <v/>
      </c>
      <c r="AM39" s="219" t="str">
        <f t="shared" si="2"/>
        <v/>
      </c>
      <c r="AN39" s="219" t="str">
        <f t="shared" si="3"/>
        <v/>
      </c>
      <c r="AO39" s="220" t="str">
        <f t="shared" si="4"/>
        <v/>
      </c>
      <c r="AP39" s="220" t="str">
        <f t="shared" si="5"/>
        <v/>
      </c>
      <c r="AQ39" s="223"/>
      <c r="AR39" s="224" t="str">
        <f t="shared" si="6"/>
        <v/>
      </c>
      <c r="AS39" s="224" t="str">
        <f>IF(OR($W39="",$AM39="",$W39=0),"", $AM39/$W39)</f>
        <v/>
      </c>
      <c r="AT39" s="224" t="str">
        <f t="shared" si="7"/>
        <v/>
      </c>
      <c r="AU39" s="224" t="str">
        <f t="shared" si="8"/>
        <v/>
      </c>
      <c r="AV39" s="224" t="str">
        <f t="shared" si="9"/>
        <v/>
      </c>
      <c r="AW39" s="212"/>
      <c r="AX39" s="301" t="str">
        <f t="shared" si="10"/>
        <v/>
      </c>
      <c r="AY39" s="301" t="str">
        <f t="shared" si="11"/>
        <v/>
      </c>
      <c r="AZ39" s="301" t="str">
        <f t="shared" si="15"/>
        <v/>
      </c>
      <c r="BA39" s="222"/>
      <c r="BB39" s="301" t="str">
        <f t="shared" si="12"/>
        <v/>
      </c>
      <c r="BC39" s="301" t="str">
        <f t="shared" si="16"/>
        <v/>
      </c>
      <c r="BD39" s="301" t="str">
        <f t="shared" si="17"/>
        <v/>
      </c>
      <c r="BE39" s="5"/>
    </row>
    <row r="40" spans="1:57">
      <c r="A40" s="105"/>
      <c r="B40" s="393"/>
      <c r="C40" s="393"/>
      <c r="D40" s="394"/>
      <c r="E40" s="412"/>
      <c r="F40" s="393"/>
      <c r="G40" s="395" t="str">
        <f>IF(OR(ISBLANK($B40),ISBLANK($C40)),"",INDEX('TRU Ops &amp; Costs'!$D$4:$D$74,MATCH($B40&amp;$C40,'TRU Ops &amp; Costs'!$P$4:$P$74,0))/0.7457)</f>
        <v/>
      </c>
      <c r="H40" s="396" t="str">
        <f>IF(OR(ISBLANK($B40),ISBLANK($C40)),"",INDEX('TRU Ops &amp; Costs'!$E$4:$E$74,MATCH($B40&amp;$C40,'TRU Ops &amp; Costs'!$P$4:$P$74,0)))</f>
        <v/>
      </c>
      <c r="I40" s="395" t="str">
        <f>IF(OR(ISBLANK($B40),ISBLANK($C40)),"",INDEX('TRU Ops &amp; Costs'!$F$4:$F$74,MATCH($B40&amp;$C40,'TRU Ops &amp; Costs'!$P$4:$P$74,0)))</f>
        <v/>
      </c>
      <c r="J40" s="397" t="str">
        <f>IF(OR(ISBLANK($B40),ISBLANK($C40)),"",INDEX('TRU Ops &amp; Costs'!$G$4:$G$74,MATCH($B40&amp;$C40,'TRU Ops &amp; Costs'!$P$4:$P$74,0)))</f>
        <v/>
      </c>
      <c r="K40" s="395" t="str">
        <f t="shared" si="13"/>
        <v/>
      </c>
      <c r="L40" s="398" t="str">
        <f>IF(ISBLANK($F40),"",INDEX('Diesel Fuel Prices'!$D$5:$D$31,MATCH($F40,'Diesel Fuel Prices'!$B$5:$B$31,0))*References!$B$38/References!$B$37)</f>
        <v/>
      </c>
      <c r="M40" s="398" t="str">
        <f>IF(ISBLANK($F40),"",VLOOKUP($F40,'Electricity Prices'!$B$4:$F$31,5,FALSE)*References!$B$38/References!$B$37)</f>
        <v/>
      </c>
      <c r="N40" s="399" t="str">
        <f>IF(OR(ISBLANK($B40),ISBLANK($C40)),"",INDEX('TRU Ops &amp; Costs'!$I$4:$I$74,MATCH($B40&amp;$C40,'TRU Ops &amp; Costs'!$P$4:$P$74,0)))</f>
        <v/>
      </c>
      <c r="O40" s="399" t="str">
        <f>IF(OR(ISBLANK($B40),ISBLANK($C40)),"",IF(E40="Yard",INDEX('TRU Ops &amp; Costs'!$J$4:$J$74,MATCH($B40&amp;$C40,'TRU Ops &amp; Costs'!$P$4:$P$74,0)),INDEX('TRU Ops &amp; Costs'!$K$4:$K$74,MATCH($B40&amp;$C40,'TRU Ops &amp; Costs'!$P$4:$P$74,0))))</f>
        <v/>
      </c>
      <c r="P40" s="399" t="str">
        <f>IF(OR(ISBLANK($B40),ISBLANK($C40)),"",$K40*INDEX('TRU Ops &amp; Costs'!$M$4:$M$74,MATCH($B40&amp;$C40,'TRU Ops &amp; Costs'!$P$4:$P$74,0))*-INDEX('TRU Ops &amp; Costs'!$L$4:$L$74,MATCH($B40&amp;$C40,'TRU Ops &amp; Costs'!$P$4:$P$74,0)))</f>
        <v/>
      </c>
      <c r="Q40" s="395"/>
      <c r="R40" s="400" t="str">
        <f t="shared" si="18"/>
        <v/>
      </c>
      <c r="S40" s="401" t="str">
        <f t="shared" si="0"/>
        <v/>
      </c>
      <c r="T40" s="402" t="str">
        <f>IF(ISBLANK($F40),"",INDEX('eGRID2018 Subregion'!$J$7:$J$33,MATCH($F40,RegionGEN,0)))</f>
        <v/>
      </c>
      <c r="U40" s="395"/>
      <c r="V40" s="403" t="str">
        <f>IF(OR(ISBLANK($B40),ISBLANK($C40),$R40=""),"",ROUND($R40*INDEX('Diesel TRU Emission Factors'!$D$6:$D$76,MATCH($B40&amp;$C40,'Diesel TRU Emission Factors'!$R$6:$R$77,0))*GramsToMT,4))</f>
        <v/>
      </c>
      <c r="W40" s="403" t="str">
        <f>IF(OR(ISBLANK($B40),ISBLANK($C40),$R40=""),"",ROUND($R40*INDEX('Diesel TRU Emission Factors'!$E$6:$E$76,MATCH($B40&amp;$C40,'Diesel TRU Emission Factors'!$R$6:$R$77,0))*GramsToMT,4))</f>
        <v/>
      </c>
      <c r="X40" s="403" t="str">
        <f>IF(OR(ISBLANK($B40),ISBLANK($C40),$R40=""),"",ROUND($R40*INDEX('Diesel TRU Emission Factors'!$H$6:$H$76,MATCH($B40&amp;$C40,'Diesel TRU Emission Factors'!$R$6:$R$77,0))*GramsToMT,4))</f>
        <v/>
      </c>
      <c r="Y40" s="404" t="str">
        <f>IF(OR(ISBLANK($B40),ISBLANK($C40),$R40=""),"",ROUND($R40*INDEX('Diesel TRU Emission Factors'!$F$6:$F$76,MATCH($B40&amp;$C40,'Diesel TRU Emission Factors'!$R$6:$R$77,0))*GramsToMT,1))</f>
        <v/>
      </c>
      <c r="Z40" s="404" t="str">
        <f>IF(OR(ISBLANK($B40),ISBLANK($C40),$R40=""),"",$R40*INDEX('Diesel TRU Emission Factors'!$G$6:$G$76,MATCH($B40&amp;$C40,'Diesel TRU Emission Factors'!$R$6:$R$77,0))*GramsToMT)</f>
        <v/>
      </c>
      <c r="AA40" s="405" t="str">
        <f>IF(ISBLANK(F40),"",R40*GalTokWh*'Diesel TRU Emission Factors'!$P$4/1000000)</f>
        <v/>
      </c>
      <c r="AB40" s="405" t="str">
        <f>IF(ISBLANK($F40),"",ROUND(Y40*References!$B$28+Z40*References!$B$29+AA40*References!$B$30,1))</f>
        <v/>
      </c>
      <c r="AC40" s="406"/>
      <c r="AD40" s="403" t="str">
        <f>IF(OR(ISBLANK($F40),$S40="",$T40=""),"",ROUND($S40*(1+$T40)*INDEX('eGRID2018 Subregion'!$C$7:$C$33,MATCH($F40,RegionGEN,0))*GramsToMT,4))</f>
        <v/>
      </c>
      <c r="AE40" s="403" t="str">
        <f>IF(OR(ISBLANK($F40),$S40="",$T40=""),"",ROUND($S40*(1+$T40)*INDEX('eGRID2018 Subregion'!$D$7:$D$33,MATCH($F40,RegionGEN,0))*GramsToMT,4))</f>
        <v/>
      </c>
      <c r="AF40" s="403" t="str">
        <f>IF(OR(ISBLANK($F40),$S40="",$T40=""),"",ROUND($S40*(1+$T40)*INDEX('eGRID2018 Subregion'!$I$7:$I$33,MATCH($F40,RegionGEN,0))*GramsToMT,4))</f>
        <v/>
      </c>
      <c r="AG40" s="404" t="str">
        <f>IF(OR(ISBLANK($F40),$S40="",$T40=""),"",ROUND($S40*(1+$T40)*INDEX('eGRID2018 Subregion'!$E$7:$E$33,MATCH($F40,RegionGEN,0))*GramsToMT,1))</f>
        <v/>
      </c>
      <c r="AH40" s="404" t="str">
        <f>IF(OR(ISBLANK($F40),$S40="",$T40=""),"",$S40*(1+$T40)*INDEX('eGRID2018 Subregion'!$F$7:$F$33,MATCH($F40,RegionGEN,0))*GramsToMT)</f>
        <v/>
      </c>
      <c r="AI40" s="404" t="str">
        <f>IF(OR(ISBLANK($F40),$S40="",$T40=""),"",$S40*(1+$T40)*INDEX('eGRID2018 Subregion'!$G$7:$G$33,MATCH($F40,RegionGEN,0))*GramsToMT)</f>
        <v/>
      </c>
      <c r="AJ40" s="404" t="str">
        <f>IF(ISBLANK($F40),"",ROUND(AG40*References!$B$28+AH40*References!$B$29+AI40*References!$B$30,1))</f>
        <v/>
      </c>
      <c r="AK40" s="406"/>
      <c r="AL40" s="403" t="str">
        <f t="shared" si="1"/>
        <v/>
      </c>
      <c r="AM40" s="403" t="str">
        <f t="shared" si="2"/>
        <v/>
      </c>
      <c r="AN40" s="403" t="str">
        <f t="shared" si="3"/>
        <v/>
      </c>
      <c r="AO40" s="404" t="str">
        <f t="shared" si="4"/>
        <v/>
      </c>
      <c r="AP40" s="404" t="str">
        <f t="shared" si="5"/>
        <v/>
      </c>
      <c r="AQ40" s="407"/>
      <c r="AR40" s="408" t="str">
        <f t="shared" si="6"/>
        <v/>
      </c>
      <c r="AS40" s="408" t="str">
        <f t="shared" ref="AS40" si="35">IF(OR(W40="",AM40="",W40=0),"", AM40/W40)</f>
        <v/>
      </c>
      <c r="AT40" s="408" t="str">
        <f t="shared" si="7"/>
        <v/>
      </c>
      <c r="AU40" s="408" t="str">
        <f t="shared" si="8"/>
        <v/>
      </c>
      <c r="AV40" s="408" t="str">
        <f t="shared" si="9"/>
        <v/>
      </c>
      <c r="AW40" s="395"/>
      <c r="AX40" s="409" t="str">
        <f t="shared" si="10"/>
        <v/>
      </c>
      <c r="AY40" s="409" t="str">
        <f t="shared" si="11"/>
        <v/>
      </c>
      <c r="AZ40" s="409" t="str">
        <f t="shared" si="15"/>
        <v/>
      </c>
      <c r="BA40" s="406"/>
      <c r="BB40" s="409" t="str">
        <f t="shared" si="12"/>
        <v/>
      </c>
      <c r="BC40" s="409" t="str">
        <f t="shared" si="16"/>
        <v/>
      </c>
      <c r="BD40" s="409" t="str">
        <f t="shared" si="17"/>
        <v/>
      </c>
      <c r="BE40" s="5"/>
    </row>
    <row r="41" spans="1:57">
      <c r="B41" s="235"/>
      <c r="C41" s="235"/>
      <c r="D41" s="235"/>
      <c r="E41" s="235"/>
      <c r="F41" s="235"/>
      <c r="G41" s="235"/>
      <c r="H41" s="235"/>
      <c r="I41" s="235"/>
      <c r="J41" s="235"/>
      <c r="K41" s="235"/>
      <c r="L41" s="235"/>
      <c r="M41" s="235"/>
      <c r="N41" s="235"/>
      <c r="O41" s="235"/>
      <c r="P41" s="235"/>
      <c r="Q41" s="235"/>
      <c r="R41" s="235"/>
      <c r="S41" s="235"/>
      <c r="T41" s="235"/>
      <c r="U41" s="236"/>
      <c r="V41" s="389">
        <f>SUMIF(V5:V40, "&lt;&gt;#N/A")</f>
        <v>2.5573000000000001</v>
      </c>
      <c r="W41" s="389">
        <f t="shared" ref="W41:AB41" si="36">SUMIF(W5:W40, "&lt;&gt;#N/A")</f>
        <v>1.4E-3</v>
      </c>
      <c r="X41" s="389">
        <f t="shared" si="36"/>
        <v>0.1588</v>
      </c>
      <c r="Y41" s="390">
        <f t="shared" si="36"/>
        <v>373.29999999999995</v>
      </c>
      <c r="Z41" s="390">
        <f t="shared" si="36"/>
        <v>2.0526359203429746E-2</v>
      </c>
      <c r="AA41" s="390">
        <f t="shared" si="36"/>
        <v>5.994609716990746E-3</v>
      </c>
      <c r="AB41" s="390">
        <f t="shared" si="36"/>
        <v>375.59999999999997</v>
      </c>
      <c r="AC41" s="237"/>
      <c r="AD41" s="389">
        <f>SUMIF(AD5:AD40, "&lt;&gt;#N/A")</f>
        <v>6.1100000000000002E-2</v>
      </c>
      <c r="AE41" s="389">
        <f t="shared" ref="AE41" si="37">SUMIF(AE5:AE40, "&lt;&gt;#N/A")</f>
        <v>4.1800000000000004E-2</v>
      </c>
      <c r="AF41" s="389">
        <f>SUMIF(AF5:AF40, "&lt;&gt;#N/A")</f>
        <v>6.4999999999999997E-3</v>
      </c>
      <c r="AG41" s="390">
        <f>SUMIF(AG5:AG40, "&lt;&gt;#N/A")</f>
        <v>89.100000000000009</v>
      </c>
      <c r="AH41" s="390">
        <f t="shared" ref="AH41:AI41" si="38">SUMIF(AH5:AH40, "&lt;&gt;#N/A")</f>
        <v>6.9700610407041792E-3</v>
      </c>
      <c r="AI41" s="390">
        <f t="shared" si="38"/>
        <v>9.9385734452790307E-4</v>
      </c>
      <c r="AJ41" s="390">
        <f>SUMIF(AJ5:AJ40, "&lt;&gt;#N/A")</f>
        <v>89.6</v>
      </c>
      <c r="AK41" s="237"/>
      <c r="AL41" s="389">
        <f>SUMIF(AL5:AL40, "&lt;&gt;#N/A")</f>
        <v>-2.4962</v>
      </c>
      <c r="AM41" s="389">
        <f t="shared" ref="AM41" si="39">SUMIF(AM5:AM40, "&lt;&gt;#N/A")</f>
        <v>4.0399999999999998E-2</v>
      </c>
      <c r="AN41" s="389">
        <f>SUMIF(AN5:AN40, "&lt;&gt;#N/A")</f>
        <v>-0.15229999999999999</v>
      </c>
      <c r="AO41" s="390">
        <f>SUMIF(AO5:AO40, "&lt;&gt;#N/A")</f>
        <v>-284.2</v>
      </c>
      <c r="AP41" s="390">
        <f>SUMIF(AP5:AP40, "&lt;&gt;#N/A")</f>
        <v>-286</v>
      </c>
      <c r="AQ41" s="223"/>
      <c r="AR41" s="391">
        <f t="shared" ref="AR41" si="40">IF(OR(V41="",AL41="",V41=0),"", AL41/V41)</f>
        <v>-0.97610761349861175</v>
      </c>
      <c r="AS41" s="391">
        <f t="shared" ref="AS41" si="41">IF(OR(W41="",AM41="",W41=0),"", AM41/W41)</f>
        <v>28.857142857142858</v>
      </c>
      <c r="AT41" s="391">
        <f t="shared" ref="AT41" si="42">IF(OR(X41="",AN41="",X41=0),"", AN41/X41)</f>
        <v>-0.95906801007556675</v>
      </c>
      <c r="AU41" s="391">
        <f t="shared" ref="AU41" si="43">IF(OR(AB41="",AO41="",AB41=0),"", AO41/AB41)</f>
        <v>-0.75665601703940366</v>
      </c>
      <c r="AV41" s="391">
        <f t="shared" ref="AV41" si="44">IF(OR(AB41="",AP41="",AB41=0),"", AP41/AB41)</f>
        <v>-0.76144834930777427</v>
      </c>
      <c r="AW41" s="236"/>
      <c r="AX41" s="392">
        <f>SUMIF(AX5:AX40, "&lt;&gt;#N/A")</f>
        <v>120059.4237222021</v>
      </c>
      <c r="AY41" s="392">
        <f t="shared" ref="AY41:AZ41" si="45">SUMIF(AY5:AY40, "&lt;&gt;#N/A")</f>
        <v>244290.02959518018</v>
      </c>
      <c r="AZ41" s="392">
        <f t="shared" si="45"/>
        <v>364349.45331738231</v>
      </c>
      <c r="BA41" s="238"/>
      <c r="BB41" s="392">
        <f>SUMIF(BB5:BB40, "&lt;&gt;#N/A")</f>
        <v>6660.6985434377648</v>
      </c>
      <c r="BC41" s="392">
        <f t="shared" ref="BC41" si="46">SUMIF(BC5:BC40, "&lt;&gt;#N/A")</f>
        <v>20546.508371259821</v>
      </c>
      <c r="BD41" s="392">
        <f>SUMIF(BD5:BD40, "&lt;&gt;#N/A")</f>
        <v>27207.206914697585</v>
      </c>
      <c r="BE41" s="8"/>
    </row>
    <row r="42" spans="1:57">
      <c r="E42" s="235"/>
      <c r="U42" s="13"/>
      <c r="V42" s="1"/>
      <c r="W42" s="1"/>
      <c r="X42" s="1"/>
      <c r="Y42" s="1"/>
      <c r="Z42" s="1"/>
      <c r="AA42" s="1"/>
      <c r="AB42" s="1"/>
      <c r="AC42" s="6"/>
      <c r="AD42" s="1"/>
      <c r="AE42" s="1"/>
      <c r="AF42" s="1"/>
      <c r="AG42" s="1"/>
      <c r="AH42" s="1"/>
      <c r="AI42" s="1"/>
      <c r="AJ42" s="1"/>
      <c r="AK42" s="6"/>
      <c r="AL42" s="1"/>
      <c r="AM42" s="1"/>
      <c r="AN42" s="1"/>
      <c r="AO42" s="1"/>
      <c r="AP42" s="1"/>
      <c r="AQ42" s="1"/>
      <c r="AW42" s="13"/>
      <c r="AX42" s="1"/>
      <c r="AY42" s="1"/>
      <c r="AZ42" s="1"/>
      <c r="BA42" s="6"/>
      <c r="BB42" s="1"/>
      <c r="BC42" s="1"/>
      <c r="BD42" s="1"/>
      <c r="BE42" s="6"/>
    </row>
  </sheetData>
  <sheetProtection sheet="1" objects="1" scenarios="1"/>
  <mergeCells count="8">
    <mergeCell ref="V1:AV1"/>
    <mergeCell ref="AX1:BD1"/>
    <mergeCell ref="V2:AB2"/>
    <mergeCell ref="AD2:AJ2"/>
    <mergeCell ref="AL2:AP2"/>
    <mergeCell ref="AR2:AV2"/>
    <mergeCell ref="AX2:AZ2"/>
    <mergeCell ref="BB2:BD2"/>
  </mergeCells>
  <dataValidations count="8">
    <dataValidation type="decimal" operator="lessThanOrEqual" allowBlank="1" showInputMessage="1" showErrorMessage="1" sqref="K5:K40" xr:uid="{E0BA8522-F142-4C19-AB36-796534A5832B}">
      <formula1>$I5</formula1>
    </dataValidation>
    <dataValidation type="whole" allowBlank="1" showInputMessage="1" showErrorMessage="1" sqref="Q5:Q40 I5:I40" xr:uid="{0029671B-E944-4C05-A479-DDF16A467110}">
      <formula1>1</formula1>
      <formula2>8760</formula2>
    </dataValidation>
    <dataValidation type="list" allowBlank="1" showInputMessage="1" showErrorMessage="1" sqref="C5:D40" xr:uid="{3897891E-CD53-4B91-A0D9-E227C1F0ED03}">
      <formula1>IF(LEFT(B5,5)="Trail",ModelYearTrail,IF(LEFT(B5,5)="Truck",ModelYearTruck,""))</formula1>
    </dataValidation>
    <dataValidation type="list" allowBlank="1" showInputMessage="1" showErrorMessage="1" sqref="B5:B40" xr:uid="{0774DE14-DD68-4A4C-AE69-087977429FA1}">
      <formula1>TRUType</formula1>
    </dataValidation>
    <dataValidation type="list" allowBlank="1" showInputMessage="1" showErrorMessage="1" sqref="A5:A40" xr:uid="{A6E5AB37-8669-49EF-8DBE-5C42F6C0AE42}">
      <formula1>UserType</formula1>
    </dataValidation>
    <dataValidation type="list" showInputMessage="1" showErrorMessage="1" promptTitle="Region" sqref="F5:F40" xr:uid="{04503ED3-FCDD-4BF4-B257-D1FF369572F8}">
      <formula1>RegionGEN</formula1>
    </dataValidation>
    <dataValidation type="whole" allowBlank="1" showInputMessage="1" showErrorMessage="1" error="Must enter integer value greater than or equal to 1 and less than 100,000" sqref="D5:D40" xr:uid="{F2403D55-1DA6-4B73-8294-E11F8FD1E2A3}">
      <formula1>1</formula1>
      <formula2>100000</formula2>
    </dataValidation>
    <dataValidation type="list" allowBlank="1" showInputMessage="1" showErrorMessage="1" error="Must enter integer value greater than or equal to 1 and less than 100,000" sqref="E5:E40" xr:uid="{544D4E3A-DBB5-4BD4-BFB9-031A4C4323AE}">
      <formula1>"Dock,Yard"</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N35"/>
  <sheetViews>
    <sheetView zoomScaleNormal="60" workbookViewId="0">
      <pane ySplit="6" topLeftCell="A7" activePane="bottomLeft" state="frozenSplit"/>
      <selection pane="bottomLeft" activeCell="A7" sqref="A7"/>
    </sheetView>
  </sheetViews>
  <sheetFormatPr defaultColWidth="11" defaultRowHeight="15.6"/>
  <cols>
    <col min="1" max="1" width="17.09765625" style="10" customWidth="1"/>
    <col min="2" max="2" width="21.09765625" style="10" bestFit="1" customWidth="1"/>
    <col min="3" max="9" width="8" style="10" customWidth="1"/>
    <col min="10" max="10" width="11" style="10"/>
    <col min="11" max="11" width="18.5" style="10" customWidth="1"/>
    <col min="12" max="16384" width="11" style="10"/>
  </cols>
  <sheetData>
    <row r="1" spans="1:12">
      <c r="A1" s="18" t="s">
        <v>218</v>
      </c>
    </row>
    <row r="2" spans="1:12">
      <c r="A2" s="18"/>
    </row>
    <row r="3" spans="1:12">
      <c r="A3" s="129" t="s">
        <v>103</v>
      </c>
      <c r="K3" s="474" t="s">
        <v>177</v>
      </c>
      <c r="L3" s="474"/>
    </row>
    <row r="4" spans="1:12">
      <c r="A4" s="20" t="s">
        <v>290</v>
      </c>
      <c r="B4" s="20" t="s">
        <v>291</v>
      </c>
      <c r="K4" s="474" t="s">
        <v>296</v>
      </c>
      <c r="L4" s="474"/>
    </row>
    <row r="5" spans="1:12">
      <c r="A5" s="95"/>
      <c r="B5" s="95"/>
      <c r="C5" s="473" t="s">
        <v>0</v>
      </c>
      <c r="D5" s="473"/>
      <c r="E5" s="473"/>
      <c r="F5" s="473"/>
      <c r="G5" s="473"/>
      <c r="H5" s="473"/>
      <c r="I5" s="473"/>
      <c r="J5" s="54"/>
    </row>
    <row r="6" spans="1:12" ht="16.2">
      <c r="A6" s="55" t="s">
        <v>1</v>
      </c>
      <c r="B6" s="55" t="s">
        <v>2</v>
      </c>
      <c r="C6" s="87" t="s">
        <v>228</v>
      </c>
      <c r="D6" s="87" t="s">
        <v>229</v>
      </c>
      <c r="E6" s="87" t="s">
        <v>230</v>
      </c>
      <c r="F6" s="87" t="s">
        <v>245</v>
      </c>
      <c r="G6" s="87" t="s">
        <v>246</v>
      </c>
      <c r="H6" s="88" t="s">
        <v>309</v>
      </c>
      <c r="I6" s="88" t="s">
        <v>418</v>
      </c>
      <c r="J6" s="89" t="s">
        <v>71</v>
      </c>
      <c r="K6"/>
    </row>
    <row r="7" spans="1:12" ht="18" customHeight="1">
      <c r="A7" s="11"/>
      <c r="B7" s="11"/>
      <c r="C7" s="90"/>
      <c r="D7" s="90"/>
      <c r="E7" s="90"/>
      <c r="F7" s="90"/>
      <c r="G7" s="90"/>
      <c r="H7" s="90"/>
      <c r="I7" s="90"/>
      <c r="J7" s="90"/>
    </row>
    <row r="8" spans="1:12" ht="18" customHeight="1">
      <c r="A8" s="12" t="s">
        <v>3</v>
      </c>
      <c r="B8" s="12" t="s">
        <v>4</v>
      </c>
      <c r="C8" s="91">
        <v>2.4809999999999999</v>
      </c>
      <c r="D8" s="91">
        <v>0.499</v>
      </c>
      <c r="E8" s="199">
        <v>471.6</v>
      </c>
      <c r="F8" s="91">
        <v>3.6999999999999998E-2</v>
      </c>
      <c r="G8" s="91">
        <v>5.0000000000000001E-3</v>
      </c>
      <c r="H8" s="91">
        <v>473.99900000000002</v>
      </c>
      <c r="I8" s="91">
        <v>9.2999999999999999E-2</v>
      </c>
      <c r="J8" s="91">
        <v>5.1234595525500998E-2</v>
      </c>
      <c r="K8" s="17"/>
    </row>
    <row r="9" spans="1:12" ht="18" customHeight="1">
      <c r="A9" s="12" t="s">
        <v>5</v>
      </c>
      <c r="B9" s="12" t="s">
        <v>6</v>
      </c>
      <c r="C9" s="91">
        <v>3.4980000000000002</v>
      </c>
      <c r="D9" s="91">
        <v>0.307</v>
      </c>
      <c r="E9" s="199">
        <v>238.2</v>
      </c>
      <c r="F9" s="91">
        <v>1.0999999999999999E-2</v>
      </c>
      <c r="G9" s="91">
        <v>2E-3</v>
      </c>
      <c r="H9" s="91">
        <v>239.02600000000001</v>
      </c>
      <c r="I9" s="91">
        <v>0.35499999999999998</v>
      </c>
      <c r="J9" s="91">
        <v>5.1234595525500998E-2</v>
      </c>
      <c r="K9" s="17"/>
    </row>
    <row r="10" spans="1:12" ht="18" customHeight="1">
      <c r="A10" s="12" t="s">
        <v>53</v>
      </c>
      <c r="B10" s="12" t="s">
        <v>54</v>
      </c>
      <c r="C10" s="91">
        <v>0.33100000000000002</v>
      </c>
      <c r="D10" s="91">
        <v>0.11899999999999999</v>
      </c>
      <c r="E10" s="199">
        <v>463.7</v>
      </c>
      <c r="F10" s="91">
        <v>3.5000000000000003E-2</v>
      </c>
      <c r="G10" s="91">
        <v>5.0000000000000001E-3</v>
      </c>
      <c r="H10" s="91">
        <v>466.08800000000002</v>
      </c>
      <c r="I10" s="91">
        <v>3.5999999999999997E-2</v>
      </c>
      <c r="J10" s="91">
        <v>4.8044463575380503E-2</v>
      </c>
      <c r="K10" s="17"/>
    </row>
    <row r="11" spans="1:12" ht="18" customHeight="1">
      <c r="A11" s="12" t="s">
        <v>47</v>
      </c>
      <c r="B11" s="12" t="s">
        <v>48</v>
      </c>
      <c r="C11" s="91">
        <v>0.21</v>
      </c>
      <c r="D11" s="91">
        <v>2.1000000000000001E-2</v>
      </c>
      <c r="E11" s="199">
        <v>225.2</v>
      </c>
      <c r="F11" s="91">
        <v>1.4999999999999999E-2</v>
      </c>
      <c r="G11" s="91">
        <v>2E-3</v>
      </c>
      <c r="H11" s="91">
        <v>226.2</v>
      </c>
      <c r="I11" s="91">
        <v>1.4E-2</v>
      </c>
      <c r="J11" s="91">
        <v>4.8044463575380503E-2</v>
      </c>
      <c r="K11" s="17"/>
    </row>
    <row r="12" spans="1:12" ht="18" customHeight="1">
      <c r="A12" s="12" t="s">
        <v>7</v>
      </c>
      <c r="B12" s="12" t="s">
        <v>8</v>
      </c>
      <c r="C12" s="91">
        <v>0.247</v>
      </c>
      <c r="D12" s="91">
        <v>0.376</v>
      </c>
      <c r="E12" s="199">
        <v>422.6</v>
      </c>
      <c r="F12" s="91">
        <v>0.03</v>
      </c>
      <c r="G12" s="91">
        <v>4.0000000000000001E-3</v>
      </c>
      <c r="H12" s="91">
        <v>424.59899999999999</v>
      </c>
      <c r="I12" s="91">
        <v>2.1000000000000001E-2</v>
      </c>
      <c r="J12" s="91">
        <v>4.8710581507916302E-2</v>
      </c>
      <c r="K12" s="17"/>
    </row>
    <row r="13" spans="1:12" ht="18" customHeight="1">
      <c r="A13" s="12" t="s">
        <v>9</v>
      </c>
      <c r="B13" s="12" t="s">
        <v>10</v>
      </c>
      <c r="C13" s="91">
        <v>0.161</v>
      </c>
      <c r="D13" s="91">
        <v>0.126</v>
      </c>
      <c r="E13" s="199">
        <v>422.7</v>
      </c>
      <c r="F13" s="91">
        <v>0.03</v>
      </c>
      <c r="G13" s="91">
        <v>4.0000000000000001E-3</v>
      </c>
      <c r="H13" s="91">
        <v>424.62799999999999</v>
      </c>
      <c r="I13" s="91">
        <v>2.9000000000000001E-2</v>
      </c>
      <c r="J13" s="91">
        <v>4.8819734408505198E-2</v>
      </c>
      <c r="K13" s="17"/>
    </row>
    <row r="14" spans="1:12" ht="18" customHeight="1">
      <c r="A14" s="12" t="s">
        <v>11</v>
      </c>
      <c r="B14" s="12" t="s">
        <v>12</v>
      </c>
      <c r="C14" s="91">
        <v>3.4649999999999999</v>
      </c>
      <c r="D14" s="91">
        <v>1.8</v>
      </c>
      <c r="E14" s="199">
        <v>503.8</v>
      </c>
      <c r="F14" s="91">
        <v>5.3999999999999999E-2</v>
      </c>
      <c r="G14" s="91">
        <v>8.0000000000000002E-3</v>
      </c>
      <c r="H14" s="91">
        <v>507.60399999999998</v>
      </c>
      <c r="I14" s="91">
        <v>0.42</v>
      </c>
      <c r="J14" s="91">
        <v>5.1411995377670001E-2</v>
      </c>
      <c r="K14" s="17"/>
    </row>
    <row r="15" spans="1:12" ht="18" customHeight="1">
      <c r="A15" s="12" t="s">
        <v>13</v>
      </c>
      <c r="B15" s="12" t="s">
        <v>14</v>
      </c>
      <c r="C15" s="91">
        <v>1.5940000000000001</v>
      </c>
      <c r="D15" s="91">
        <v>3.6269999999999998</v>
      </c>
      <c r="E15" s="199">
        <v>757.5</v>
      </c>
      <c r="F15" s="91">
        <v>8.2000000000000003E-2</v>
      </c>
      <c r="G15" s="91">
        <v>1.2E-2</v>
      </c>
      <c r="H15" s="91">
        <v>763.21199999999999</v>
      </c>
      <c r="I15" s="91">
        <v>0.26200000000000001</v>
      </c>
      <c r="J15" s="91">
        <v>5.1411995377670001E-2</v>
      </c>
      <c r="K15" s="17"/>
    </row>
    <row r="16" spans="1:12" ht="18" customHeight="1">
      <c r="A16" s="12" t="s">
        <v>15</v>
      </c>
      <c r="B16" s="12" t="s">
        <v>16</v>
      </c>
      <c r="C16" s="91">
        <v>0.39900000000000002</v>
      </c>
      <c r="D16" s="91">
        <v>0.40400000000000003</v>
      </c>
      <c r="E16" s="199">
        <v>761.1</v>
      </c>
      <c r="F16" s="91">
        <v>7.6999999999999999E-2</v>
      </c>
      <c r="G16" s="91">
        <v>1.0999999999999999E-2</v>
      </c>
      <c r="H16" s="91">
        <v>766.41200000000003</v>
      </c>
      <c r="I16" s="91">
        <v>1.7000000000000001E-2</v>
      </c>
      <c r="J16" s="91">
        <v>4.8819734408505198E-2</v>
      </c>
      <c r="K16" s="17"/>
    </row>
    <row r="17" spans="1:14" ht="18" customHeight="1">
      <c r="A17" s="12" t="s">
        <v>17</v>
      </c>
      <c r="B17" s="12" t="s">
        <v>18</v>
      </c>
      <c r="C17" s="91">
        <v>0.443</v>
      </c>
      <c r="D17" s="91">
        <v>0.61299999999999999</v>
      </c>
      <c r="E17" s="199">
        <v>562.4</v>
      </c>
      <c r="F17" s="91">
        <v>6.3E-2</v>
      </c>
      <c r="G17" s="91">
        <v>8.9999999999999993E-3</v>
      </c>
      <c r="H17" s="91">
        <v>566.62800000000004</v>
      </c>
      <c r="I17" s="91">
        <v>0.03</v>
      </c>
      <c r="J17" s="91">
        <v>4.8819734408505198E-2</v>
      </c>
      <c r="K17" s="17"/>
      <c r="N17"/>
    </row>
    <row r="18" spans="1:14" ht="18" customHeight="1">
      <c r="A18" s="12" t="s">
        <v>23</v>
      </c>
      <c r="B18" s="12" t="s">
        <v>24</v>
      </c>
      <c r="C18" s="91">
        <v>0.17599999999999999</v>
      </c>
      <c r="D18" s="91">
        <v>6.2E-2</v>
      </c>
      <c r="E18" s="199">
        <v>236.9</v>
      </c>
      <c r="F18" s="91">
        <v>3.6999999999999998E-2</v>
      </c>
      <c r="G18" s="91">
        <v>5.0000000000000001E-3</v>
      </c>
      <c r="H18" s="91">
        <v>239.29900000000001</v>
      </c>
      <c r="I18" s="91">
        <v>2.1000000000000001E-2</v>
      </c>
      <c r="J18" s="91">
        <v>4.8819734408505198E-2</v>
      </c>
      <c r="K18" s="17"/>
    </row>
    <row r="19" spans="1:14" ht="18" customHeight="1">
      <c r="A19" s="12" t="s">
        <v>49</v>
      </c>
      <c r="B19" s="12" t="s">
        <v>50</v>
      </c>
      <c r="C19" s="91">
        <v>0.26300000000000001</v>
      </c>
      <c r="D19" s="91">
        <v>0.17100000000000001</v>
      </c>
      <c r="E19" s="199">
        <v>289.89999999999998</v>
      </c>
      <c r="F19" s="91">
        <v>2.9000000000000001E-2</v>
      </c>
      <c r="G19" s="91">
        <v>4.0000000000000001E-3</v>
      </c>
      <c r="H19" s="91">
        <v>291.82400000000001</v>
      </c>
      <c r="I19" s="91">
        <v>1.7000000000000001E-2</v>
      </c>
      <c r="J19" s="91">
        <v>4.8044463575380503E-2</v>
      </c>
      <c r="K19" s="17"/>
    </row>
    <row r="20" spans="1:14" ht="18" customHeight="1">
      <c r="A20" s="12" t="s">
        <v>21</v>
      </c>
      <c r="B20" s="12" t="s">
        <v>22</v>
      </c>
      <c r="C20" s="91">
        <v>0.114</v>
      </c>
      <c r="D20" s="91">
        <v>1.2E-2</v>
      </c>
      <c r="E20" s="199">
        <v>270.5</v>
      </c>
      <c r="F20" s="91">
        <v>0.01</v>
      </c>
      <c r="G20" s="91">
        <v>1E-3</v>
      </c>
      <c r="H20" s="91">
        <v>271.14</v>
      </c>
      <c r="I20" s="91">
        <v>3.3000000000000002E-2</v>
      </c>
      <c r="J20" s="91">
        <v>4.8819734408505198E-2</v>
      </c>
      <c r="K20" s="17"/>
    </row>
    <row r="21" spans="1:14" ht="18" customHeight="1">
      <c r="A21" s="12" t="s">
        <v>19</v>
      </c>
      <c r="B21" s="12" t="s">
        <v>20</v>
      </c>
      <c r="C21" s="91">
        <v>0.39</v>
      </c>
      <c r="D21" s="91">
        <v>0.106</v>
      </c>
      <c r="E21" s="199">
        <v>537.20000000000005</v>
      </c>
      <c r="F21" s="91">
        <v>6.3E-2</v>
      </c>
      <c r="G21" s="91">
        <v>8.0000000000000002E-3</v>
      </c>
      <c r="H21" s="91">
        <v>541.17700000000002</v>
      </c>
      <c r="I21" s="91">
        <v>2.8000000000000001E-2</v>
      </c>
      <c r="J21" s="91">
        <v>4.8819734408505198E-2</v>
      </c>
      <c r="K21" s="17"/>
    </row>
    <row r="22" spans="1:14" ht="18" customHeight="1">
      <c r="A22" s="12" t="s">
        <v>25</v>
      </c>
      <c r="B22" s="12" t="s">
        <v>26</v>
      </c>
      <c r="C22" s="91">
        <v>6.2E-2</v>
      </c>
      <c r="D22" s="91">
        <v>4.2000000000000003E-2</v>
      </c>
      <c r="E22" s="199">
        <v>114.8</v>
      </c>
      <c r="F22" s="91">
        <v>8.0000000000000002E-3</v>
      </c>
      <c r="G22" s="91">
        <v>1E-3</v>
      </c>
      <c r="H22" s="91">
        <v>115.16200000000001</v>
      </c>
      <c r="I22" s="91">
        <v>8.0000000000000002E-3</v>
      </c>
      <c r="J22" s="91">
        <v>4.8819734408505198E-2</v>
      </c>
      <c r="K22" s="17"/>
    </row>
    <row r="23" spans="1:14" ht="18" customHeight="1">
      <c r="A23" s="12" t="s">
        <v>27</v>
      </c>
      <c r="B23" s="12" t="s">
        <v>28</v>
      </c>
      <c r="C23" s="91">
        <v>0.151</v>
      </c>
      <c r="D23" s="91">
        <v>0.218</v>
      </c>
      <c r="E23" s="199">
        <v>324.8</v>
      </c>
      <c r="F23" s="91">
        <v>2.8000000000000001E-2</v>
      </c>
      <c r="G23" s="91">
        <v>4.0000000000000001E-3</v>
      </c>
      <c r="H23" s="91">
        <v>326.577</v>
      </c>
      <c r="I23" s="91">
        <v>2.1999999999999999E-2</v>
      </c>
      <c r="J23" s="91">
        <v>4.8819734408505198E-2</v>
      </c>
      <c r="K23" s="17"/>
    </row>
    <row r="24" spans="1:14" ht="18" customHeight="1">
      <c r="A24" s="12" t="s">
        <v>29</v>
      </c>
      <c r="B24" s="12" t="s">
        <v>30</v>
      </c>
      <c r="C24" s="91">
        <v>0.36199999999999999</v>
      </c>
      <c r="D24" s="91">
        <v>0.58799999999999997</v>
      </c>
      <c r="E24" s="199">
        <v>595.4</v>
      </c>
      <c r="F24" s="91">
        <v>5.8999999999999997E-2</v>
      </c>
      <c r="G24" s="91">
        <v>8.0000000000000002E-3</v>
      </c>
      <c r="H24" s="91">
        <v>599.279</v>
      </c>
      <c r="I24" s="91">
        <v>2.9000000000000001E-2</v>
      </c>
      <c r="J24" s="91">
        <v>4.8819734408505198E-2</v>
      </c>
      <c r="K24" s="17"/>
    </row>
    <row r="25" spans="1:14" ht="18" customHeight="1">
      <c r="A25" s="12" t="s">
        <v>31</v>
      </c>
      <c r="B25" s="12" t="s">
        <v>32</v>
      </c>
      <c r="C25" s="91">
        <v>0.374</v>
      </c>
      <c r="D25" s="91">
        <v>0.42</v>
      </c>
      <c r="E25" s="199">
        <v>528.9</v>
      </c>
      <c r="F25" s="91">
        <v>5.2999999999999999E-2</v>
      </c>
      <c r="G25" s="91">
        <v>8.0000000000000002E-3</v>
      </c>
      <c r="H25" s="91">
        <v>532.53</v>
      </c>
      <c r="I25" s="91">
        <v>4.8000000000000001E-2</v>
      </c>
      <c r="J25" s="91">
        <v>4.8819734408505198E-2</v>
      </c>
      <c r="K25" s="17"/>
    </row>
    <row r="26" spans="1:14" ht="18" customHeight="1">
      <c r="A26" s="12" t="s">
        <v>51</v>
      </c>
      <c r="B26" s="12" t="s">
        <v>52</v>
      </c>
      <c r="C26" s="91">
        <v>0.30499999999999999</v>
      </c>
      <c r="D26" s="91">
        <v>0.19</v>
      </c>
      <c r="E26" s="199">
        <v>577.70000000000005</v>
      </c>
      <c r="F26" s="91">
        <v>5.6000000000000001E-2</v>
      </c>
      <c r="G26" s="91">
        <v>8.0000000000000002E-3</v>
      </c>
      <c r="H26" s="91">
        <v>581.48</v>
      </c>
      <c r="I26" s="91">
        <v>1.0999999999999999E-2</v>
      </c>
      <c r="J26" s="91">
        <v>4.8044463575380503E-2</v>
      </c>
      <c r="K26" s="17"/>
    </row>
    <row r="27" spans="1:14" ht="18" customHeight="1">
      <c r="A27" s="12" t="s">
        <v>43</v>
      </c>
      <c r="B27" s="12" t="s">
        <v>44</v>
      </c>
      <c r="C27" s="91">
        <v>0.29099999999999998</v>
      </c>
      <c r="D27" s="91">
        <v>0.151</v>
      </c>
      <c r="E27" s="199">
        <v>527.6</v>
      </c>
      <c r="F27" s="91">
        <v>5.6000000000000001E-2</v>
      </c>
      <c r="G27" s="91">
        <v>8.0000000000000002E-3</v>
      </c>
      <c r="H27" s="91">
        <v>531.43100000000004</v>
      </c>
      <c r="I27" s="91">
        <v>2.3E-2</v>
      </c>
      <c r="J27" s="91">
        <v>4.8819734408505198E-2</v>
      </c>
      <c r="K27" s="17"/>
    </row>
    <row r="28" spans="1:14" ht="18" customHeight="1">
      <c r="A28" s="12" t="s">
        <v>45</v>
      </c>
      <c r="B28" s="12" t="s">
        <v>46</v>
      </c>
      <c r="C28" s="91">
        <v>0.377</v>
      </c>
      <c r="D28" s="91">
        <v>0.56299999999999994</v>
      </c>
      <c r="E28" s="199">
        <v>529.20000000000005</v>
      </c>
      <c r="F28" s="91">
        <v>4.1000000000000002E-2</v>
      </c>
      <c r="G28" s="91">
        <v>6.0000000000000001E-3</v>
      </c>
      <c r="H28" s="91">
        <v>531.952</v>
      </c>
      <c r="I28" s="91">
        <v>2.3E-2</v>
      </c>
      <c r="J28" s="91">
        <v>4.8819734408505198E-2</v>
      </c>
      <c r="K28" s="17"/>
    </row>
    <row r="29" spans="1:14" ht="18" customHeight="1">
      <c r="A29" s="12" t="s">
        <v>35</v>
      </c>
      <c r="B29" s="12" t="s">
        <v>36</v>
      </c>
      <c r="C29" s="91">
        <v>0.27900000000000003</v>
      </c>
      <c r="D29" s="91">
        <v>0.435</v>
      </c>
      <c r="E29" s="199">
        <v>387.7</v>
      </c>
      <c r="F29" s="91">
        <v>2.5000000000000001E-2</v>
      </c>
      <c r="G29" s="91">
        <v>4.0000000000000001E-3</v>
      </c>
      <c r="H29" s="91">
        <v>389.34899999999999</v>
      </c>
      <c r="I29" s="91">
        <v>0.02</v>
      </c>
      <c r="J29" s="91">
        <v>4.8819734408505198E-2</v>
      </c>
      <c r="K29" s="17"/>
    </row>
    <row r="30" spans="1:14" ht="18" customHeight="1">
      <c r="A30" s="12" t="s">
        <v>33</v>
      </c>
      <c r="B30" s="12" t="s">
        <v>34</v>
      </c>
      <c r="C30" s="91">
        <v>0.48099999999999998</v>
      </c>
      <c r="D30" s="91">
        <v>1.129</v>
      </c>
      <c r="E30" s="199">
        <v>754.8</v>
      </c>
      <c r="F30" s="91">
        <v>8.4000000000000005E-2</v>
      </c>
      <c r="G30" s="91">
        <v>1.2E-2</v>
      </c>
      <c r="H30" s="91">
        <v>760.57500000000005</v>
      </c>
      <c r="I30" s="91">
        <v>2.9000000000000001E-2</v>
      </c>
      <c r="J30" s="91">
        <v>4.8819734408505198E-2</v>
      </c>
      <c r="K30" s="17"/>
    </row>
    <row r="31" spans="1:14" ht="18" customHeight="1">
      <c r="A31" s="12" t="s">
        <v>37</v>
      </c>
      <c r="B31" s="12" t="s">
        <v>38</v>
      </c>
      <c r="C31" s="91">
        <v>0.22500000000000001</v>
      </c>
      <c r="D31" s="91">
        <v>0.13500000000000001</v>
      </c>
      <c r="E31" s="199">
        <v>466.3</v>
      </c>
      <c r="F31" s="91">
        <v>3.6999999999999998E-2</v>
      </c>
      <c r="G31" s="91">
        <v>5.0000000000000001E-3</v>
      </c>
      <c r="H31" s="91">
        <v>468.774</v>
      </c>
      <c r="I31" s="91">
        <v>1.6E-2</v>
      </c>
      <c r="J31" s="91">
        <v>4.8819734408505198E-2</v>
      </c>
      <c r="K31" s="17"/>
    </row>
    <row r="32" spans="1:14" ht="18" customHeight="1">
      <c r="A32" s="12" t="s">
        <v>39</v>
      </c>
      <c r="B32" s="12" t="s">
        <v>40</v>
      </c>
      <c r="C32" s="91">
        <v>0.25</v>
      </c>
      <c r="D32" s="91">
        <v>0.28100000000000003</v>
      </c>
      <c r="E32" s="199">
        <v>467.9</v>
      </c>
      <c r="F32" s="91">
        <v>4.3999999999999997E-2</v>
      </c>
      <c r="G32" s="91">
        <v>6.0000000000000001E-3</v>
      </c>
      <c r="H32" s="91">
        <v>470.88600000000002</v>
      </c>
      <c r="I32" s="91">
        <v>7.1999999999999995E-2</v>
      </c>
      <c r="J32" s="91">
        <v>4.8819734408505198E-2</v>
      </c>
      <c r="K32" s="17"/>
    </row>
    <row r="33" spans="1:11" ht="18" customHeight="1">
      <c r="A33" s="12" t="s">
        <v>41</v>
      </c>
      <c r="B33" s="12" t="s">
        <v>42</v>
      </c>
      <c r="C33" s="91">
        <v>0.19800000000000001</v>
      </c>
      <c r="D33" s="91">
        <v>0.11899999999999999</v>
      </c>
      <c r="E33" s="199">
        <v>337.2</v>
      </c>
      <c r="F33" s="91">
        <v>0.03</v>
      </c>
      <c r="G33" s="91">
        <v>4.0000000000000001E-3</v>
      </c>
      <c r="H33" s="91">
        <v>339.06599999999997</v>
      </c>
      <c r="I33" s="91">
        <v>2.3E-2</v>
      </c>
      <c r="J33" s="91">
        <v>4.8819734408505198E-2</v>
      </c>
      <c r="K33" s="17"/>
    </row>
    <row r="34" spans="1:11">
      <c r="A34" s="19" t="s">
        <v>72</v>
      </c>
      <c r="B34" s="19" t="s">
        <v>72</v>
      </c>
      <c r="C34" s="146">
        <v>0.33300000000000002</v>
      </c>
      <c r="D34" s="146">
        <v>1.1599999999999999</v>
      </c>
      <c r="E34" s="200">
        <v>515</v>
      </c>
      <c r="F34" s="145">
        <v>2.9000000000000001E-2</v>
      </c>
      <c r="G34" s="107">
        <v>6.0000000000000001E-3</v>
      </c>
      <c r="H34" s="201">
        <f>E34*References!$B$28+'eGRID2018 Subregion'!F34*References!$B$29+'eGRID2018 Subregion'!G34*References!$B$30</f>
        <v>517.51300000000003</v>
      </c>
      <c r="I34" s="107">
        <v>0.155</v>
      </c>
      <c r="J34" s="145">
        <v>5.1999999999999998E-2</v>
      </c>
    </row>
    <row r="35" spans="1:11">
      <c r="A35" s="19" t="s">
        <v>73</v>
      </c>
      <c r="B35" s="19" t="s">
        <v>73</v>
      </c>
      <c r="C35" s="146"/>
      <c r="D35" s="146"/>
      <c r="E35" s="107"/>
      <c r="F35" s="107"/>
      <c r="G35" s="107"/>
      <c r="H35" s="107"/>
      <c r="I35" s="107"/>
      <c r="J35" s="107"/>
    </row>
  </sheetData>
  <sheetProtection sheet="1" objects="1" scenarios="1"/>
  <sortState xmlns:xlrd2="http://schemas.microsoft.com/office/spreadsheetml/2017/richdata2" ref="A8:H33">
    <sortCondition ref="A8"/>
  </sortState>
  <mergeCells count="3">
    <mergeCell ref="C5:I5"/>
    <mergeCell ref="K3:L3"/>
    <mergeCell ref="K4:L4"/>
  </mergeCells>
  <phoneticPr fontId="24" type="noConversion"/>
  <dataValidations count="1">
    <dataValidation allowBlank="1" showInputMessage="1" showErrorMessage="1" promptTitle="User Defined" prompt=" " sqref="A34:G35 I34:J35 H35" xr:uid="{34E65B9F-8C3C-461B-8CB8-C7CCC1952AE5}"/>
  </dataValidations>
  <hyperlinks>
    <hyperlink ref="K3" location="'General Calculator'!A3" display="Return to General Calculator" xr:uid="{5E4F27F6-0077-4E37-A9F4-84ABCF7BF38C}"/>
    <hyperlink ref="K4" location="'User Entry Calculator'!A3" display="Return to User Entry Calculator" xr:uid="{DDD98123-B62C-46BB-86AC-755DC13B2F9C}"/>
    <hyperlink ref="K4:L4" location="'Detailed Calculator'!A1" display="Go to Detailed Calculator" xr:uid="{0BC54E98-8256-4546-91C6-1956C43AD0F6}"/>
  </hyperlinks>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7C883-4B6F-4A9E-AED7-870E8B046119}">
  <sheetPr codeName="Sheet6">
    <tabColor theme="8" tint="0.39997558519241921"/>
  </sheetPr>
  <dimension ref="A1:R98"/>
  <sheetViews>
    <sheetView workbookViewId="0">
      <pane ySplit="5" topLeftCell="A6" activePane="bottomLeft" state="frozen"/>
      <selection pane="bottomLeft" activeCell="A6" sqref="A6"/>
    </sheetView>
  </sheetViews>
  <sheetFormatPr defaultColWidth="9" defaultRowHeight="15.6"/>
  <cols>
    <col min="1" max="1" width="5.59765625" style="22" customWidth="1"/>
    <col min="2" max="2" width="17.59765625" style="22" customWidth="1"/>
    <col min="3" max="3" width="12.3984375" style="22" customWidth="1"/>
    <col min="4" max="4" width="13.5" style="22" bestFit="1" customWidth="1"/>
    <col min="5" max="5" width="10.8984375" style="22" bestFit="1" customWidth="1"/>
    <col min="6" max="6" width="9.8984375" style="22" bestFit="1" customWidth="1"/>
    <col min="7" max="7" width="10.8984375" style="22" bestFit="1" customWidth="1"/>
    <col min="8" max="8" width="9" style="22"/>
    <col min="9" max="9" width="9.8984375" style="22" bestFit="1" customWidth="1"/>
    <col min="10" max="13" width="9" style="22"/>
    <col min="14" max="14" width="11.19921875" bestFit="1" customWidth="1"/>
    <col min="15" max="15" width="11.19921875" style="22" bestFit="1" customWidth="1"/>
    <col min="16" max="17" width="9" style="22"/>
    <col min="18" max="18" width="9" style="22" hidden="1" customWidth="1"/>
    <col min="19" max="16384" width="9" style="22"/>
  </cols>
  <sheetData>
    <row r="1" spans="1:18">
      <c r="A1" s="33" t="s">
        <v>101</v>
      </c>
    </row>
    <row r="2" spans="1:18">
      <c r="A2" s="359" t="s">
        <v>323</v>
      </c>
      <c r="B2" s="118"/>
    </row>
    <row r="3" spans="1:18" ht="16.2" thickBot="1">
      <c r="B3" s="118"/>
    </row>
    <row r="4" spans="1:18" ht="18.600000000000001" thickBot="1">
      <c r="B4" s="21"/>
      <c r="C4" s="56"/>
      <c r="D4" s="475" t="s">
        <v>240</v>
      </c>
      <c r="E4" s="476"/>
      <c r="F4" s="476"/>
      <c r="G4" s="477"/>
      <c r="H4" s="478"/>
      <c r="I4" s="475" t="s">
        <v>241</v>
      </c>
      <c r="J4" s="476"/>
      <c r="K4" s="476"/>
      <c r="L4" s="477"/>
      <c r="M4" s="478"/>
      <c r="O4" s="274" t="s">
        <v>242</v>
      </c>
      <c r="P4" s="33">
        <v>0.47</v>
      </c>
    </row>
    <row r="5" spans="1:18">
      <c r="B5" s="123" t="s">
        <v>76</v>
      </c>
      <c r="C5" s="138" t="s">
        <v>113</v>
      </c>
      <c r="D5" s="121" t="s">
        <v>107</v>
      </c>
      <c r="E5" s="120" t="s">
        <v>229</v>
      </c>
      <c r="F5" s="119" t="s">
        <v>238</v>
      </c>
      <c r="G5" s="148" t="s">
        <v>239</v>
      </c>
      <c r="H5" s="122" t="s">
        <v>108</v>
      </c>
      <c r="I5" s="121" t="s">
        <v>107</v>
      </c>
      <c r="J5" s="120" t="s">
        <v>229</v>
      </c>
      <c r="K5" s="119" t="s">
        <v>238</v>
      </c>
      <c r="L5" s="148" t="s">
        <v>239</v>
      </c>
      <c r="M5" s="122" t="s">
        <v>108</v>
      </c>
      <c r="O5" s="18" t="s">
        <v>103</v>
      </c>
      <c r="P5" s="147" t="s">
        <v>259</v>
      </c>
      <c r="R5" s="67" t="s">
        <v>124</v>
      </c>
    </row>
    <row r="6" spans="1:18">
      <c r="B6" s="243" t="s">
        <v>114</v>
      </c>
      <c r="C6" s="244" t="s">
        <v>310</v>
      </c>
      <c r="D6" s="245">
        <f>I6*1.341</f>
        <v>11.67204994536883</v>
      </c>
      <c r="E6" s="246">
        <f t="shared" ref="E6:G54" si="0">J6*1.341</f>
        <v>2.8825647448795688E-3</v>
      </c>
      <c r="F6" s="247">
        <f t="shared" ref="F6:F54" si="1">K6*1.341</f>
        <v>784.07139622843204</v>
      </c>
      <c r="G6" s="246">
        <f t="shared" si="0"/>
        <v>1.2172911197797731E-2</v>
      </c>
      <c r="H6" s="248">
        <f t="shared" ref="H6:H55" si="2">M6*1.341</f>
        <v>1.599703013727428</v>
      </c>
      <c r="I6" s="245">
        <v>8.7039895192907011</v>
      </c>
      <c r="J6" s="246">
        <v>2.1495635681428554E-3</v>
      </c>
      <c r="K6" s="247">
        <v>584.69157064014325</v>
      </c>
      <c r="L6" s="249">
        <v>9.0774878432496129E-3</v>
      </c>
      <c r="M6" s="250">
        <v>1.192917981899648</v>
      </c>
      <c r="R6" s="67" t="str">
        <f>B6&amp;C6</f>
        <v>Trailer TRU &lt; 25 hpPre-1999</v>
      </c>
    </row>
    <row r="7" spans="1:18">
      <c r="B7" s="243" t="s">
        <v>114</v>
      </c>
      <c r="C7" s="244">
        <v>1999</v>
      </c>
      <c r="D7" s="245">
        <f>I7*1.341</f>
        <v>11.67204994536883</v>
      </c>
      <c r="E7" s="246">
        <f t="shared" ref="E7" si="3">J7*1.341</f>
        <v>2.8825647448795688E-3</v>
      </c>
      <c r="F7" s="247">
        <f t="shared" ref="F7" si="4">K7*1.341</f>
        <v>784.07139622843204</v>
      </c>
      <c r="G7" s="246">
        <f t="shared" ref="G7" si="5">L7*1.341</f>
        <v>1.2172911197797731E-2</v>
      </c>
      <c r="H7" s="248">
        <f t="shared" ref="H7" si="6">M7*1.341</f>
        <v>1.599703013727428</v>
      </c>
      <c r="I7" s="245">
        <v>8.7039895192907011</v>
      </c>
      <c r="J7" s="246">
        <v>2.1495635681428554E-3</v>
      </c>
      <c r="K7" s="247">
        <v>584.69157064014325</v>
      </c>
      <c r="L7" s="249">
        <v>9.0774878432496129E-3</v>
      </c>
      <c r="M7" s="250">
        <v>1.192917981899648</v>
      </c>
      <c r="R7" s="67" t="str">
        <f t="shared" ref="R7:R70" si="7">B7&amp;C7</f>
        <v>Trailer TRU &lt; 25 hp1999</v>
      </c>
    </row>
    <row r="8" spans="1:18">
      <c r="B8" s="243" t="s">
        <v>114</v>
      </c>
      <c r="C8" s="251">
        <v>2000</v>
      </c>
      <c r="D8" s="245">
        <f t="shared" ref="D8:D55" si="8">I8*1.341</f>
        <v>7.2119573000106483</v>
      </c>
      <c r="E8" s="246">
        <f t="shared" si="0"/>
        <v>2.8996100154747243E-3</v>
      </c>
      <c r="F8" s="247">
        <f t="shared" si="1"/>
        <v>788.60291813581023</v>
      </c>
      <c r="G8" s="246">
        <f t="shared" si="0"/>
        <v>1.3408295889261235E-2</v>
      </c>
      <c r="H8" s="248">
        <f t="shared" si="2"/>
        <v>0.63402314526996406</v>
      </c>
      <c r="I8" s="245">
        <v>5.3780442207387384</v>
      </c>
      <c r="J8" s="246">
        <v>2.1622744336127699E-3</v>
      </c>
      <c r="K8" s="247">
        <v>588.07078160761387</v>
      </c>
      <c r="L8" s="249">
        <v>9.9987292239084521E-3</v>
      </c>
      <c r="M8" s="250">
        <v>0.47279876604769877</v>
      </c>
      <c r="R8" s="67" t="str">
        <f t="shared" si="7"/>
        <v>Trailer TRU &lt; 25 hp2000</v>
      </c>
    </row>
    <row r="9" spans="1:18">
      <c r="B9" s="243" t="s">
        <v>114</v>
      </c>
      <c r="C9" s="251">
        <v>2001</v>
      </c>
      <c r="D9" s="245">
        <f t="shared" ref="D9:D29" si="9">I9*1.341</f>
        <v>7.2119635430947326</v>
      </c>
      <c r="E9" s="246">
        <f t="shared" ref="E9:E29" si="10">J9*1.341</f>
        <v>2.8996109197301475E-3</v>
      </c>
      <c r="F9" s="247">
        <f t="shared" ref="F9:F29" si="11">K9*1.341</f>
        <v>788.60300726687899</v>
      </c>
      <c r="G9" s="246">
        <f t="shared" ref="G9:G29" si="12">L9*1.341</f>
        <v>1.3408313542032995E-2</v>
      </c>
      <c r="H9" s="248">
        <f t="shared" ref="H9:H29" si="13">M9*1.341</f>
        <v>0.63402336903650391</v>
      </c>
      <c r="I9" s="245">
        <v>5.3780488762824259</v>
      </c>
      <c r="J9" s="246">
        <v>2.1622751079270301E-3</v>
      </c>
      <c r="K9" s="247">
        <v>588.07084807373531</v>
      </c>
      <c r="L9" s="249">
        <v>9.9987423877949261E-3</v>
      </c>
      <c r="M9" s="250">
        <v>0.47279893291312747</v>
      </c>
      <c r="R9" s="67" t="str">
        <f t="shared" si="7"/>
        <v>Trailer TRU &lt; 25 hp2001</v>
      </c>
    </row>
    <row r="10" spans="1:18">
      <c r="B10" s="243" t="s">
        <v>114</v>
      </c>
      <c r="C10" s="251">
        <v>2002</v>
      </c>
      <c r="D10" s="245">
        <f t="shared" si="9"/>
        <v>6.6544526713139298</v>
      </c>
      <c r="E10" s="246">
        <f t="shared" si="10"/>
        <v>2.901743819516038E-3</v>
      </c>
      <c r="F10" s="247">
        <f t="shared" si="11"/>
        <v>789.16917574628349</v>
      </c>
      <c r="G10" s="246">
        <f t="shared" si="12"/>
        <v>1.3562755436791842E-2</v>
      </c>
      <c r="H10" s="248">
        <f t="shared" si="13"/>
        <v>0.51331324009681012</v>
      </c>
      <c r="I10" s="245">
        <v>4.962306242590552</v>
      </c>
      <c r="J10" s="246">
        <v>2.1638656372229962E-3</v>
      </c>
      <c r="K10" s="247">
        <v>588.49304679066631</v>
      </c>
      <c r="L10" s="249">
        <v>1.0113911585974527E-2</v>
      </c>
      <c r="M10" s="250">
        <v>0.38278392251812837</v>
      </c>
      <c r="R10" s="67" t="str">
        <f t="shared" si="7"/>
        <v>Trailer TRU &lt; 25 hp2002</v>
      </c>
    </row>
    <row r="11" spans="1:18">
      <c r="B11" s="243" t="s">
        <v>114</v>
      </c>
      <c r="C11" s="251">
        <v>2003</v>
      </c>
      <c r="D11" s="245">
        <f t="shared" si="9"/>
        <v>6.6544525108775501</v>
      </c>
      <c r="E11" s="246">
        <f t="shared" si="10"/>
        <v>2.901742722937624E-3</v>
      </c>
      <c r="F11" s="247">
        <f t="shared" si="11"/>
        <v>789.16930451616042</v>
      </c>
      <c r="G11" s="246">
        <f t="shared" si="12"/>
        <v>1.3562737776368966E-2</v>
      </c>
      <c r="H11" s="248">
        <f t="shared" si="13"/>
        <v>0.51331325379556614</v>
      </c>
      <c r="I11" s="245">
        <v>4.9623061229511931</v>
      </c>
      <c r="J11" s="246">
        <v>2.1638648194911439E-3</v>
      </c>
      <c r="K11" s="247">
        <v>588.49314281592876</v>
      </c>
      <c r="L11" s="249">
        <v>1.0113898416382525E-2</v>
      </c>
      <c r="M11" s="250">
        <v>0.38278393273345723</v>
      </c>
      <c r="R11" s="67" t="str">
        <f t="shared" si="7"/>
        <v>Trailer TRU &lt; 25 hp2003</v>
      </c>
    </row>
    <row r="12" spans="1:18">
      <c r="B12" s="243" t="s">
        <v>114</v>
      </c>
      <c r="C12" s="251">
        <v>2004</v>
      </c>
      <c r="D12" s="245">
        <f t="shared" si="9"/>
        <v>6.6544525108775501</v>
      </c>
      <c r="E12" s="246">
        <f t="shared" si="10"/>
        <v>2.9017713715507481E-3</v>
      </c>
      <c r="F12" s="247">
        <f t="shared" si="11"/>
        <v>789.16930451616042</v>
      </c>
      <c r="G12" s="246">
        <f t="shared" si="12"/>
        <v>1.3562737776368966E-2</v>
      </c>
      <c r="H12" s="248">
        <f t="shared" si="13"/>
        <v>0.51331325379556614</v>
      </c>
      <c r="I12" s="245">
        <v>4.9623061229511931</v>
      </c>
      <c r="J12" s="246">
        <v>2.1638861831101775E-3</v>
      </c>
      <c r="K12" s="247">
        <v>588.49314281592876</v>
      </c>
      <c r="L12" s="249">
        <v>1.0113898416382525E-2</v>
      </c>
      <c r="M12" s="250">
        <v>0.38278393273345723</v>
      </c>
      <c r="R12" s="67" t="str">
        <f t="shared" si="7"/>
        <v>Trailer TRU &lt; 25 hp2004</v>
      </c>
    </row>
    <row r="13" spans="1:18">
      <c r="B13" s="243" t="s">
        <v>114</v>
      </c>
      <c r="C13" s="251">
        <v>2005</v>
      </c>
      <c r="D13" s="245">
        <f t="shared" si="9"/>
        <v>6.0076240923642708</v>
      </c>
      <c r="E13" s="246">
        <f t="shared" si="10"/>
        <v>2.9038861148554754E-3</v>
      </c>
      <c r="F13" s="247">
        <f t="shared" si="11"/>
        <v>789.73987635095</v>
      </c>
      <c r="G13" s="246">
        <f t="shared" si="12"/>
        <v>6.0985782396551801E-2</v>
      </c>
      <c r="H13" s="248">
        <f t="shared" si="13"/>
        <v>0.44182681517299249</v>
      </c>
      <c r="I13" s="245">
        <v>4.4799583089964736</v>
      </c>
      <c r="J13" s="246">
        <v>2.1654631728974462E-3</v>
      </c>
      <c r="K13" s="247">
        <v>588.91862516849369</v>
      </c>
      <c r="L13" s="249">
        <v>4.5477839221887993E-2</v>
      </c>
      <c r="M13" s="250">
        <v>0.32947562652721291</v>
      </c>
      <c r="R13" s="67" t="str">
        <f t="shared" si="7"/>
        <v>Trailer TRU &lt; 25 hp2005</v>
      </c>
    </row>
    <row r="14" spans="1:18">
      <c r="B14" s="243" t="s">
        <v>114</v>
      </c>
      <c r="C14" s="251">
        <v>2006</v>
      </c>
      <c r="D14" s="245">
        <f t="shared" si="9"/>
        <v>6.0076240923642708</v>
      </c>
      <c r="E14" s="246">
        <f t="shared" si="10"/>
        <v>2.9038861148554754E-3</v>
      </c>
      <c r="F14" s="247">
        <f t="shared" si="11"/>
        <v>789.73987635095</v>
      </c>
      <c r="G14" s="246">
        <f t="shared" si="12"/>
        <v>6.0985782396551801E-2</v>
      </c>
      <c r="H14" s="248">
        <f t="shared" si="13"/>
        <v>0.44182681517299249</v>
      </c>
      <c r="I14" s="245">
        <v>4.4799583089964736</v>
      </c>
      <c r="J14" s="246">
        <v>2.1654631728974462E-3</v>
      </c>
      <c r="K14" s="247">
        <v>588.91862516849369</v>
      </c>
      <c r="L14" s="249">
        <v>4.5477839221887993E-2</v>
      </c>
      <c r="M14" s="250">
        <v>0.32947562652721291</v>
      </c>
      <c r="R14" s="67" t="str">
        <f t="shared" si="7"/>
        <v>Trailer TRU &lt; 25 hp2006</v>
      </c>
    </row>
    <row r="15" spans="1:18">
      <c r="B15" s="243" t="s">
        <v>114</v>
      </c>
      <c r="C15" s="251">
        <v>2007</v>
      </c>
      <c r="D15" s="245">
        <f t="shared" si="9"/>
        <v>6.0076285697480811</v>
      </c>
      <c r="E15" s="246">
        <f t="shared" si="10"/>
        <v>2.9038897707812043E-3</v>
      </c>
      <c r="F15" s="247">
        <f t="shared" si="11"/>
        <v>789.73955560524848</v>
      </c>
      <c r="G15" s="246">
        <f t="shared" si="12"/>
        <v>6.098576829825849E-2</v>
      </c>
      <c r="H15" s="248">
        <f t="shared" si="13"/>
        <v>0.44182733594029228</v>
      </c>
      <c r="I15" s="245">
        <v>4.4799616478360038</v>
      </c>
      <c r="J15" s="246">
        <v>2.1654658991657003E-3</v>
      </c>
      <c r="K15" s="247">
        <v>588.91838598452534</v>
      </c>
      <c r="L15" s="249">
        <v>4.5477828708619307E-2</v>
      </c>
      <c r="M15" s="250">
        <v>0.32947601486971834</v>
      </c>
      <c r="R15" s="67" t="str">
        <f t="shared" si="7"/>
        <v>Trailer TRU &lt; 25 hp2007</v>
      </c>
    </row>
    <row r="16" spans="1:18">
      <c r="B16" s="243" t="s">
        <v>114</v>
      </c>
      <c r="C16" s="251">
        <v>2008</v>
      </c>
      <c r="D16" s="245">
        <f t="shared" si="9"/>
        <v>5.4569218686455647</v>
      </c>
      <c r="E16" s="246">
        <f t="shared" si="10"/>
        <v>2.9022826489993252E-3</v>
      </c>
      <c r="F16" s="247">
        <f t="shared" si="11"/>
        <v>789.31399034904496</v>
      </c>
      <c r="G16" s="246">
        <f t="shared" si="12"/>
        <v>7.2881848066325972E-2</v>
      </c>
      <c r="H16" s="248">
        <f t="shared" si="13"/>
        <v>0.38940985657355182</v>
      </c>
      <c r="I16" s="245">
        <v>4.0692929669243583</v>
      </c>
      <c r="J16" s="246">
        <v>2.1642674489182143E-3</v>
      </c>
      <c r="K16" s="247">
        <v>588.60103680018267</v>
      </c>
      <c r="L16" s="249">
        <v>5.434887998980311E-2</v>
      </c>
      <c r="M16" s="250">
        <v>0.29038766336581046</v>
      </c>
      <c r="R16" s="67" t="str">
        <f t="shared" si="7"/>
        <v>Trailer TRU &lt; 25 hp2008</v>
      </c>
    </row>
    <row r="17" spans="2:18">
      <c r="B17" s="243" t="s">
        <v>114</v>
      </c>
      <c r="C17" s="251">
        <v>2009</v>
      </c>
      <c r="D17" s="245">
        <f t="shared" si="9"/>
        <v>5.4569292410339338</v>
      </c>
      <c r="E17" s="246">
        <f t="shared" si="10"/>
        <v>2.9022826740094038E-3</v>
      </c>
      <c r="F17" s="247">
        <f t="shared" si="11"/>
        <v>789.31146515941657</v>
      </c>
      <c r="G17" s="246">
        <f t="shared" si="12"/>
        <v>7.2881803882672305E-2</v>
      </c>
      <c r="H17" s="248">
        <f t="shared" si="13"/>
        <v>0.38940990065568271</v>
      </c>
      <c r="I17" s="245">
        <v>4.0692984646039774</v>
      </c>
      <c r="J17" s="246">
        <v>2.1642674675685339E-3</v>
      </c>
      <c r="K17" s="247">
        <v>588.59915373558283</v>
      </c>
      <c r="L17" s="249">
        <v>5.4348847041515512E-2</v>
      </c>
      <c r="M17" s="250">
        <v>0.29038769623839128</v>
      </c>
      <c r="R17" s="67" t="str">
        <f t="shared" si="7"/>
        <v>Trailer TRU &lt; 25 hp2009</v>
      </c>
    </row>
    <row r="18" spans="2:18">
      <c r="B18" s="243" t="s">
        <v>114</v>
      </c>
      <c r="C18" s="251">
        <v>2010</v>
      </c>
      <c r="D18" s="245">
        <f t="shared" si="9"/>
        <v>5.4569205157535698</v>
      </c>
      <c r="E18" s="246">
        <f t="shared" si="10"/>
        <v>2.9022826384214233E-3</v>
      </c>
      <c r="F18" s="247">
        <f t="shared" si="11"/>
        <v>789.31272413380202</v>
      </c>
      <c r="G18" s="246">
        <f t="shared" si="12"/>
        <v>7.2881745351361188E-2</v>
      </c>
      <c r="H18" s="248">
        <f t="shared" si="13"/>
        <v>0.38940997400835758</v>
      </c>
      <c r="I18" s="245">
        <v>4.0692919580563531</v>
      </c>
      <c r="J18" s="246">
        <v>2.1642674410301444E-3</v>
      </c>
      <c r="K18" s="247">
        <v>588.60009256808507</v>
      </c>
      <c r="L18" s="249">
        <v>5.4348803394005364E-2</v>
      </c>
      <c r="M18" s="250">
        <v>0.29038775093837255</v>
      </c>
      <c r="R18" s="67" t="str">
        <f t="shared" si="7"/>
        <v>Trailer TRU &lt; 25 hp2010</v>
      </c>
    </row>
    <row r="19" spans="2:18">
      <c r="B19" s="243" t="s">
        <v>114</v>
      </c>
      <c r="C19" s="251">
        <v>2011</v>
      </c>
      <c r="D19" s="245">
        <f t="shared" si="9"/>
        <v>5.0925484280457063</v>
      </c>
      <c r="E19" s="246">
        <f t="shared" si="10"/>
        <v>2.9058142224634687E-3</v>
      </c>
      <c r="F19" s="247">
        <f t="shared" si="11"/>
        <v>790.251402387506</v>
      </c>
      <c r="G19" s="246">
        <f t="shared" si="12"/>
        <v>4.4052529646398796E-2</v>
      </c>
      <c r="H19" s="248">
        <f t="shared" si="13"/>
        <v>0.25662757920082374</v>
      </c>
      <c r="I19" s="245">
        <v>3.7975752632704749</v>
      </c>
      <c r="J19" s="246">
        <v>2.1669009861770834E-3</v>
      </c>
      <c r="K19" s="247">
        <v>589.3000763516078</v>
      </c>
      <c r="L19" s="249">
        <v>3.2850506820580758E-2</v>
      </c>
      <c r="M19" s="250">
        <v>0.19137030514602815</v>
      </c>
      <c r="R19" s="67" t="str">
        <f t="shared" si="7"/>
        <v>Trailer TRU &lt; 25 hp2011</v>
      </c>
    </row>
    <row r="20" spans="2:18">
      <c r="B20" s="243" t="s">
        <v>114</v>
      </c>
      <c r="C20" s="251">
        <v>2012</v>
      </c>
      <c r="D20" s="245">
        <f t="shared" si="9"/>
        <v>5.0956824718242713</v>
      </c>
      <c r="E20" s="246">
        <f t="shared" si="10"/>
        <v>2.9058027914729786E-3</v>
      </c>
      <c r="F20" s="247">
        <f t="shared" si="11"/>
        <v>790.24875333195337</v>
      </c>
      <c r="G20" s="246">
        <f t="shared" si="12"/>
        <v>4.4142576840453453E-2</v>
      </c>
      <c r="H20" s="248">
        <f t="shared" si="13"/>
        <v>0.26322554570643791</v>
      </c>
      <c r="I20" s="245">
        <v>3.7999123578107912</v>
      </c>
      <c r="J20" s="246">
        <v>2.1668924619485299E-3</v>
      </c>
      <c r="K20" s="247">
        <v>589.29810091868262</v>
      </c>
      <c r="L20" s="249">
        <v>3.2917656107720697E-2</v>
      </c>
      <c r="M20" s="250">
        <v>0.19629048896826096</v>
      </c>
      <c r="R20" s="67" t="str">
        <f t="shared" si="7"/>
        <v>Trailer TRU &lt; 25 hp2012</v>
      </c>
    </row>
    <row r="21" spans="2:18">
      <c r="B21" s="243" t="s">
        <v>114</v>
      </c>
      <c r="C21" s="251">
        <v>2013</v>
      </c>
      <c r="D21" s="245">
        <f t="shared" si="9"/>
        <v>5.1915222852414553</v>
      </c>
      <c r="E21" s="246">
        <f t="shared" si="10"/>
        <v>2.905766229273347E-3</v>
      </c>
      <c r="F21" s="247">
        <f t="shared" si="11"/>
        <v>790.23825752090715</v>
      </c>
      <c r="G21" s="246">
        <f t="shared" si="12"/>
        <v>4.459807955579629E-2</v>
      </c>
      <c r="H21" s="248">
        <f t="shared" si="13"/>
        <v>0.27869229168152571</v>
      </c>
      <c r="I21" s="245">
        <v>3.8713812716192808</v>
      </c>
      <c r="J21" s="246">
        <v>2.1668651970718471E-3</v>
      </c>
      <c r="K21" s="247">
        <v>589.2902740648077</v>
      </c>
      <c r="L21" s="249">
        <v>3.3257330019236607E-2</v>
      </c>
      <c r="M21" s="250">
        <v>0.20782422944185361</v>
      </c>
      <c r="R21" s="67" t="str">
        <f t="shared" si="7"/>
        <v>Trailer TRU &lt; 25 hp2013</v>
      </c>
    </row>
    <row r="22" spans="2:18">
      <c r="B22" s="243" t="s">
        <v>114</v>
      </c>
      <c r="C22" s="251">
        <v>2014</v>
      </c>
      <c r="D22" s="245">
        <f t="shared" si="9"/>
        <v>5.1063085485488084</v>
      </c>
      <c r="E22" s="246">
        <f t="shared" si="10"/>
        <v>2.905961971334622E-3</v>
      </c>
      <c r="F22" s="247">
        <f t="shared" si="11"/>
        <v>790.29053654006782</v>
      </c>
      <c r="G22" s="246">
        <f t="shared" si="12"/>
        <v>4.2887012761803969E-2</v>
      </c>
      <c r="H22" s="248">
        <f t="shared" si="13"/>
        <v>0.2616593676841778</v>
      </c>
      <c r="I22" s="245">
        <v>3.8078363523853906</v>
      </c>
      <c r="J22" s="246">
        <v>2.1670111643062057E-3</v>
      </c>
      <c r="K22" s="247">
        <v>589.32925916485294</v>
      </c>
      <c r="L22" s="249">
        <v>3.1981366712754637E-2</v>
      </c>
      <c r="M22" s="250">
        <v>0.19512257097999836</v>
      </c>
      <c r="R22" s="67" t="str">
        <f t="shared" si="7"/>
        <v>Trailer TRU &lt; 25 hp2014</v>
      </c>
    </row>
    <row r="23" spans="2:18">
      <c r="B23" s="243" t="s">
        <v>114</v>
      </c>
      <c r="C23" s="251">
        <v>2015</v>
      </c>
      <c r="D23" s="245">
        <f t="shared" si="9"/>
        <v>5.0608705530564055</v>
      </c>
      <c r="E23" s="246">
        <f t="shared" si="10"/>
        <v>2.9060685273455261E-3</v>
      </c>
      <c r="F23" s="247">
        <f t="shared" si="11"/>
        <v>790.31923780860598</v>
      </c>
      <c r="G23" s="246">
        <f t="shared" si="12"/>
        <v>4.1974507662884485E-2</v>
      </c>
      <c r="H23" s="248">
        <f t="shared" si="13"/>
        <v>0.2525757909470116</v>
      </c>
      <c r="I23" s="245">
        <v>3.7739526868429571</v>
      </c>
      <c r="J23" s="246">
        <v>2.1670906244187368E-3</v>
      </c>
      <c r="K23" s="247">
        <v>589.35066204966893</v>
      </c>
      <c r="L23" s="249">
        <v>3.1300900568892231E-2</v>
      </c>
      <c r="M23" s="250">
        <v>0.18834883739523611</v>
      </c>
      <c r="R23" s="67" t="str">
        <f t="shared" si="7"/>
        <v>Trailer TRU &lt; 25 hp2015</v>
      </c>
    </row>
    <row r="24" spans="2:18">
      <c r="B24" s="243" t="s">
        <v>114</v>
      </c>
      <c r="C24" s="251">
        <v>2016</v>
      </c>
      <c r="D24" s="245">
        <f t="shared" si="9"/>
        <v>5.0608633085139703</v>
      </c>
      <c r="E24" s="246">
        <f t="shared" si="10"/>
        <v>2.906068559218317E-3</v>
      </c>
      <c r="F24" s="247">
        <f t="shared" si="11"/>
        <v>790.31905468442994</v>
      </c>
      <c r="G24" s="246">
        <f t="shared" si="12"/>
        <v>4.1974364739014169E-2</v>
      </c>
      <c r="H24" s="248">
        <f t="shared" si="13"/>
        <v>0.25257575849387176</v>
      </c>
      <c r="I24" s="245">
        <v>3.7739472844996054</v>
      </c>
      <c r="J24" s="246">
        <v>2.1670906481866645E-3</v>
      </c>
      <c r="K24" s="247">
        <v>589.35052549174497</v>
      </c>
      <c r="L24" s="249">
        <v>3.1300793988824883E-2</v>
      </c>
      <c r="M24" s="250">
        <v>0.18834881319453525</v>
      </c>
      <c r="R24" s="67" t="str">
        <f t="shared" si="7"/>
        <v>Trailer TRU &lt; 25 hp2016</v>
      </c>
    </row>
    <row r="25" spans="2:18">
      <c r="B25" s="243" t="s">
        <v>114</v>
      </c>
      <c r="C25" s="251">
        <v>2017</v>
      </c>
      <c r="D25" s="245">
        <f t="shared" si="9"/>
        <v>5.0608742022870352</v>
      </c>
      <c r="E25" s="246">
        <f t="shared" si="10"/>
        <v>2.9060694979297138E-3</v>
      </c>
      <c r="F25" s="247">
        <f t="shared" si="11"/>
        <v>790.31949776388365</v>
      </c>
      <c r="G25" s="246">
        <f t="shared" si="12"/>
        <v>4.1974540120597106E-2</v>
      </c>
      <c r="H25" s="248">
        <f t="shared" si="13"/>
        <v>0.25257616440273511</v>
      </c>
      <c r="I25" s="245">
        <v>3.7739554081185949</v>
      </c>
      <c r="J25" s="246">
        <v>2.1670913481951631E-3</v>
      </c>
      <c r="K25" s="247">
        <v>589.35085590147924</v>
      </c>
      <c r="L25" s="249">
        <v>3.1300924773003065E-2</v>
      </c>
      <c r="M25" s="250">
        <v>0.18834911588570852</v>
      </c>
      <c r="R25" s="67" t="str">
        <f t="shared" si="7"/>
        <v>Trailer TRU &lt; 25 hp2017</v>
      </c>
    </row>
    <row r="26" spans="2:18">
      <c r="B26" s="243" t="s">
        <v>114</v>
      </c>
      <c r="C26" s="251">
        <v>2018</v>
      </c>
      <c r="D26" s="245">
        <f t="shared" si="9"/>
        <v>5.0577610206362094</v>
      </c>
      <c r="E26" s="246">
        <f t="shared" si="10"/>
        <v>2.9060790577190537E-3</v>
      </c>
      <c r="F26" s="247">
        <f t="shared" si="11"/>
        <v>790.32096118803179</v>
      </c>
      <c r="G26" s="246">
        <f t="shared" si="12"/>
        <v>4.1889118859918639E-2</v>
      </c>
      <c r="H26" s="248">
        <f t="shared" si="13"/>
        <v>0.24629030227452353</v>
      </c>
      <c r="I26" s="245">
        <v>3.7716338707205144</v>
      </c>
      <c r="J26" s="246">
        <v>2.1670984770462741E-3</v>
      </c>
      <c r="K26" s="247">
        <v>589.3519471946546</v>
      </c>
      <c r="L26" s="249">
        <v>3.1237225100610468E-2</v>
      </c>
      <c r="M26" s="250">
        <v>0.1836616720913673</v>
      </c>
      <c r="R26" s="67" t="str">
        <f t="shared" si="7"/>
        <v>Trailer TRU &lt; 25 hp2018</v>
      </c>
    </row>
    <row r="27" spans="2:18">
      <c r="B27" s="243" t="s">
        <v>114</v>
      </c>
      <c r="C27" s="251">
        <v>2019</v>
      </c>
      <c r="D27" s="245">
        <f t="shared" si="9"/>
        <v>5.0484959765328039</v>
      </c>
      <c r="E27" s="246">
        <f t="shared" si="10"/>
        <v>2.9061103940023108E-3</v>
      </c>
      <c r="F27" s="247">
        <f t="shared" si="11"/>
        <v>790.32910217993037</v>
      </c>
      <c r="G27" s="246">
        <f t="shared" si="12"/>
        <v>4.1634557139794422E-2</v>
      </c>
      <c r="H27" s="248">
        <f t="shared" si="13"/>
        <v>0.22755799125172432</v>
      </c>
      <c r="I27" s="245">
        <v>3.7647248147149921</v>
      </c>
      <c r="J27" s="246">
        <v>2.1671218448935949E-3</v>
      </c>
      <c r="K27" s="247">
        <v>589.35801803126799</v>
      </c>
      <c r="L27" s="249">
        <v>3.1047395331688606E-2</v>
      </c>
      <c r="M27" s="250">
        <v>0.16969276006839995</v>
      </c>
      <c r="R27" s="67" t="str">
        <f t="shared" si="7"/>
        <v>Trailer TRU &lt; 25 hp2019</v>
      </c>
    </row>
    <row r="28" spans="2:18">
      <c r="B28" s="243" t="s">
        <v>114</v>
      </c>
      <c r="C28" s="251">
        <v>2020</v>
      </c>
      <c r="D28" s="245">
        <f t="shared" si="9"/>
        <v>5.0392310359052264</v>
      </c>
      <c r="E28" s="246">
        <f t="shared" si="10"/>
        <v>2.9061406206538627E-3</v>
      </c>
      <c r="F28" s="247">
        <f t="shared" si="11"/>
        <v>790.33817857536428</v>
      </c>
      <c r="G28" s="246">
        <f t="shared" si="12"/>
        <v>4.1380025155248128E-2</v>
      </c>
      <c r="H28" s="248">
        <f t="shared" si="13"/>
        <v>0.20882531430755089</v>
      </c>
      <c r="I28" s="245">
        <v>3.7578158358726519</v>
      </c>
      <c r="J28" s="246">
        <v>2.1671443852750655E-3</v>
      </c>
      <c r="K28" s="247">
        <v>589.36478640966766</v>
      </c>
      <c r="L28" s="249">
        <v>3.0857587736948643E-2</v>
      </c>
      <c r="M28" s="250">
        <v>0.15572357517341603</v>
      </c>
      <c r="R28" s="67" t="str">
        <f t="shared" si="7"/>
        <v>Trailer TRU &lt; 25 hp2020</v>
      </c>
    </row>
    <row r="29" spans="2:18">
      <c r="B29" s="243" t="s">
        <v>114</v>
      </c>
      <c r="C29" s="251">
        <v>2021</v>
      </c>
      <c r="D29" s="245">
        <f t="shared" si="9"/>
        <v>5.0299660363266803</v>
      </c>
      <c r="E29" s="246">
        <f t="shared" si="10"/>
        <v>2.9061716028552609E-3</v>
      </c>
      <c r="F29" s="247">
        <f t="shared" si="11"/>
        <v>790.34578915594966</v>
      </c>
      <c r="G29" s="246">
        <f t="shared" si="12"/>
        <v>4.1125522313317869E-2</v>
      </c>
      <c r="H29" s="248">
        <f t="shared" si="13"/>
        <v>0.19009325202300167</v>
      </c>
      <c r="I29" s="245">
        <v>3.7509068130698586</v>
      </c>
      <c r="J29" s="246">
        <v>2.16716748907924E-3</v>
      </c>
      <c r="K29" s="247">
        <v>589.37046171211762</v>
      </c>
      <c r="L29" s="249">
        <v>3.0667801874211684E-2</v>
      </c>
      <c r="M29" s="250">
        <v>0.14175484863758514</v>
      </c>
      <c r="R29" s="67" t="str">
        <f t="shared" si="7"/>
        <v>Trailer TRU &lt; 25 hp2021</v>
      </c>
    </row>
    <row r="30" spans="2:18">
      <c r="B30" s="252" t="s">
        <v>115</v>
      </c>
      <c r="C30" s="253" t="s">
        <v>310</v>
      </c>
      <c r="D30" s="254">
        <f t="shared" si="8"/>
        <v>9.5409528296887771</v>
      </c>
      <c r="E30" s="255">
        <f t="shared" si="0"/>
        <v>2.9009427212999352E-3</v>
      </c>
      <c r="F30" s="256">
        <f t="shared" si="1"/>
        <v>789.08050912255987</v>
      </c>
      <c r="G30" s="255">
        <f t="shared" si="0"/>
        <v>1.2978736564810321E-2</v>
      </c>
      <c r="H30" s="257">
        <f t="shared" si="2"/>
        <v>1.4179068921546303</v>
      </c>
      <c r="I30" s="254">
        <v>7.1148044964122121</v>
      </c>
      <c r="J30" s="255">
        <v>2.1632682485458131E-3</v>
      </c>
      <c r="K30" s="256">
        <v>588.4269270116032</v>
      </c>
      <c r="L30" s="258">
        <v>9.6784016143253698E-3</v>
      </c>
      <c r="M30" s="259">
        <v>1.0573504042912978</v>
      </c>
      <c r="R30" s="67" t="str">
        <f t="shared" si="7"/>
        <v>Trailer TRU &gt; 25 hpPre-1999</v>
      </c>
    </row>
    <row r="31" spans="2:18">
      <c r="B31" s="252" t="s">
        <v>115</v>
      </c>
      <c r="C31" s="260">
        <v>1999</v>
      </c>
      <c r="D31" s="254">
        <f t="shared" si="8"/>
        <v>7.0911221134002762</v>
      </c>
      <c r="E31" s="255">
        <f t="shared" si="0"/>
        <v>2.901407570202874E-3</v>
      </c>
      <c r="F31" s="256">
        <f t="shared" si="1"/>
        <v>789.08050912255987</v>
      </c>
      <c r="G31" s="255">
        <f t="shared" si="0"/>
        <v>9.5610699418381805E-3</v>
      </c>
      <c r="H31" s="257">
        <f t="shared" si="2"/>
        <v>0.70300013642557646</v>
      </c>
      <c r="I31" s="254">
        <v>5.287935953318625</v>
      </c>
      <c r="J31" s="255">
        <v>2.1636148920230231E-3</v>
      </c>
      <c r="K31" s="256">
        <v>588.4269270116032</v>
      </c>
      <c r="L31" s="258">
        <v>7.1298060714676962E-3</v>
      </c>
      <c r="M31" s="259">
        <v>0.52423574677522478</v>
      </c>
      <c r="R31" s="67" t="str">
        <f t="shared" si="7"/>
        <v>Trailer TRU &gt; 25 hp1999</v>
      </c>
    </row>
    <row r="32" spans="2:18">
      <c r="B32" s="252" t="s">
        <v>115</v>
      </c>
      <c r="C32" s="260">
        <v>2000</v>
      </c>
      <c r="D32" s="254">
        <f t="shared" ref="D32:D53" si="14">I32*1.341</f>
        <v>7.091125701199271</v>
      </c>
      <c r="E32" s="255">
        <f t="shared" ref="E32:E53" si="15">J32*1.341</f>
        <v>2.9014092883898192E-3</v>
      </c>
      <c r="F32" s="256">
        <f t="shared" ref="F32:F53" si="16">K32*1.341</f>
        <v>789.08011274778369</v>
      </c>
      <c r="G32" s="255">
        <f t="shared" ref="G32:G53" si="17">L32*1.341</f>
        <v>9.5610698091863761E-3</v>
      </c>
      <c r="H32" s="257">
        <f t="shared" ref="H32:H53" si="18">M32*1.341</f>
        <v>0.70300024034387598</v>
      </c>
      <c r="I32" s="254">
        <v>5.2879386287839454</v>
      </c>
      <c r="J32" s="255">
        <v>2.1636161732959129E-3</v>
      </c>
      <c r="K32" s="256">
        <v>588.42663143011464</v>
      </c>
      <c r="L32" s="258">
        <v>7.129805972547633E-3</v>
      </c>
      <c r="M32" s="259">
        <v>0.5242358242683639</v>
      </c>
      <c r="R32" s="67" t="str">
        <f t="shared" si="7"/>
        <v>Trailer TRU &gt; 25 hp2000</v>
      </c>
    </row>
    <row r="33" spans="2:18">
      <c r="B33" s="252" t="s">
        <v>115</v>
      </c>
      <c r="C33" s="260">
        <v>2001</v>
      </c>
      <c r="D33" s="254">
        <f t="shared" si="14"/>
        <v>6.7931382661835347</v>
      </c>
      <c r="E33" s="255">
        <f t="shared" si="15"/>
        <v>2.9039731129725118E-3</v>
      </c>
      <c r="F33" s="256">
        <f t="shared" si="16"/>
        <v>789.76219967735778</v>
      </c>
      <c r="G33" s="255">
        <f t="shared" si="17"/>
        <v>9.1450844665360749E-3</v>
      </c>
      <c r="H33" s="257">
        <f t="shared" si="18"/>
        <v>0.6148625087910633</v>
      </c>
      <c r="I33" s="254">
        <v>5.0657257764232178</v>
      </c>
      <c r="J33" s="255">
        <v>2.1655280484507919E-3</v>
      </c>
      <c r="K33" s="256">
        <v>588.93527194433841</v>
      </c>
      <c r="L33" s="258">
        <v>6.819600646186484E-3</v>
      </c>
      <c r="M33" s="259">
        <v>0.45851044652577427</v>
      </c>
      <c r="R33" s="67" t="str">
        <f t="shared" si="7"/>
        <v>Trailer TRU &gt; 25 hp2001</v>
      </c>
    </row>
    <row r="34" spans="2:18">
      <c r="B34" s="252" t="s">
        <v>115</v>
      </c>
      <c r="C34" s="260">
        <v>2002</v>
      </c>
      <c r="D34" s="254">
        <f t="shared" si="14"/>
        <v>6.7931420198530734</v>
      </c>
      <c r="E34" s="255">
        <f t="shared" si="15"/>
        <v>2.9039745467143215E-3</v>
      </c>
      <c r="F34" s="256">
        <f t="shared" si="16"/>
        <v>789.76234354826124</v>
      </c>
      <c r="G34" s="255">
        <f t="shared" si="17"/>
        <v>9.1450859974953232E-3</v>
      </c>
      <c r="H34" s="257">
        <f t="shared" si="18"/>
        <v>0.61486287008850149</v>
      </c>
      <c r="I34" s="254">
        <v>5.0657285755802191</v>
      </c>
      <c r="J34" s="255">
        <v>2.1655291176094866E-3</v>
      </c>
      <c r="K34" s="256">
        <v>588.9353792306199</v>
      </c>
      <c r="L34" s="258">
        <v>6.8196017878414039E-3</v>
      </c>
      <c r="M34" s="259">
        <v>0.45851071594966553</v>
      </c>
      <c r="R34" s="67" t="str">
        <f t="shared" si="7"/>
        <v>Trailer TRU &gt; 25 hp2002</v>
      </c>
    </row>
    <row r="35" spans="2:18">
      <c r="B35" s="252" t="s">
        <v>115</v>
      </c>
      <c r="C35" s="260">
        <v>2003</v>
      </c>
      <c r="D35" s="254">
        <f t="shared" si="14"/>
        <v>6.7931473333404906</v>
      </c>
      <c r="E35" s="255">
        <f t="shared" si="15"/>
        <v>2.9039739845394289E-3</v>
      </c>
      <c r="F35" s="256">
        <f t="shared" si="16"/>
        <v>789.76258707946181</v>
      </c>
      <c r="G35" s="255">
        <f t="shared" si="17"/>
        <v>9.1451037302914366E-3</v>
      </c>
      <c r="H35" s="257">
        <f t="shared" si="18"/>
        <v>0.61486272369470663</v>
      </c>
      <c r="I35" s="254">
        <v>5.0657325379123721</v>
      </c>
      <c r="J35" s="255">
        <v>2.1655286983888358E-3</v>
      </c>
      <c r="K35" s="256">
        <v>588.93556083479632</v>
      </c>
      <c r="L35" s="258">
        <v>6.8196150114030098E-3</v>
      </c>
      <c r="M35" s="259">
        <v>0.45851060678203331</v>
      </c>
      <c r="R35" s="67" t="str">
        <f t="shared" si="7"/>
        <v>Trailer TRU &gt; 25 hp2003</v>
      </c>
    </row>
    <row r="36" spans="2:18">
      <c r="B36" s="252" t="s">
        <v>115</v>
      </c>
      <c r="C36" s="260">
        <v>2004</v>
      </c>
      <c r="D36" s="254">
        <f t="shared" si="14"/>
        <v>6.4000152113316879</v>
      </c>
      <c r="E36" s="255">
        <f t="shared" si="15"/>
        <v>2.9065507849652204E-3</v>
      </c>
      <c r="F36" s="256">
        <f t="shared" si="16"/>
        <v>790.44659530058493</v>
      </c>
      <c r="G36" s="255">
        <f t="shared" si="17"/>
        <v>3.8809096680412179E-2</v>
      </c>
      <c r="H36" s="257">
        <f t="shared" si="18"/>
        <v>0.575949564137749</v>
      </c>
      <c r="I36" s="254">
        <v>4.7725691359669558</v>
      </c>
      <c r="J36" s="255">
        <v>2.1674502497876363E-3</v>
      </c>
      <c r="K36" s="256">
        <v>589.44563407948169</v>
      </c>
      <c r="L36" s="258">
        <v>2.8940415123349873E-2</v>
      </c>
      <c r="M36" s="259">
        <v>0.429492590706748</v>
      </c>
      <c r="R36" s="67" t="str">
        <f t="shared" si="7"/>
        <v>Trailer TRU &gt; 25 hp2004</v>
      </c>
    </row>
    <row r="37" spans="2:18">
      <c r="B37" s="252" t="s">
        <v>115</v>
      </c>
      <c r="C37" s="260">
        <v>2005</v>
      </c>
      <c r="D37" s="254">
        <f t="shared" si="14"/>
        <v>6.4000152113316879</v>
      </c>
      <c r="E37" s="255">
        <f t="shared" si="15"/>
        <v>2.9065507849652204E-3</v>
      </c>
      <c r="F37" s="256">
        <f t="shared" si="16"/>
        <v>790.44659530058493</v>
      </c>
      <c r="G37" s="255">
        <f t="shared" si="17"/>
        <v>3.8809096680412179E-2</v>
      </c>
      <c r="H37" s="257">
        <f t="shared" si="18"/>
        <v>0.575949564137749</v>
      </c>
      <c r="I37" s="254">
        <v>4.7725691359669558</v>
      </c>
      <c r="J37" s="255">
        <v>2.1674502497876363E-3</v>
      </c>
      <c r="K37" s="256">
        <v>589.44563407948169</v>
      </c>
      <c r="L37" s="258">
        <v>2.8940415123349873E-2</v>
      </c>
      <c r="M37" s="259">
        <v>0.429492590706748</v>
      </c>
      <c r="R37" s="67" t="str">
        <f t="shared" si="7"/>
        <v>Trailer TRU &gt; 25 hp2005</v>
      </c>
    </row>
    <row r="38" spans="2:18">
      <c r="B38" s="252" t="s">
        <v>115</v>
      </c>
      <c r="C38" s="260">
        <v>2006</v>
      </c>
      <c r="D38" s="254">
        <f t="shared" si="14"/>
        <v>6.4000152113316879</v>
      </c>
      <c r="E38" s="255">
        <f t="shared" si="15"/>
        <v>2.9065507849652204E-3</v>
      </c>
      <c r="F38" s="256">
        <f t="shared" si="16"/>
        <v>790.44659530058493</v>
      </c>
      <c r="G38" s="255">
        <f t="shared" si="17"/>
        <v>3.8809096680412179E-2</v>
      </c>
      <c r="H38" s="257">
        <f t="shared" si="18"/>
        <v>0.575949564137749</v>
      </c>
      <c r="I38" s="254">
        <v>4.7725691359669558</v>
      </c>
      <c r="J38" s="255">
        <v>2.1674502497876363E-3</v>
      </c>
      <c r="K38" s="256">
        <v>589.44563407948169</v>
      </c>
      <c r="L38" s="258">
        <v>2.8940415123349873E-2</v>
      </c>
      <c r="M38" s="259">
        <v>0.429492590706748</v>
      </c>
      <c r="R38" s="67" t="str">
        <f t="shared" si="7"/>
        <v>Trailer TRU &gt; 25 hp2006</v>
      </c>
    </row>
    <row r="39" spans="2:18">
      <c r="B39" s="252" t="s">
        <v>115</v>
      </c>
      <c r="C39" s="260">
        <v>2007</v>
      </c>
      <c r="D39" s="254">
        <f t="shared" si="14"/>
        <v>6.4000152254373051</v>
      </c>
      <c r="E39" s="255">
        <f t="shared" si="15"/>
        <v>2.9065462583467289E-3</v>
      </c>
      <c r="F39" s="256">
        <f t="shared" si="16"/>
        <v>790.44549599563902</v>
      </c>
      <c r="G39" s="255">
        <f t="shared" si="17"/>
        <v>3.8809055745754169E-2</v>
      </c>
      <c r="H39" s="257">
        <f t="shared" si="18"/>
        <v>0.57594839215002958</v>
      </c>
      <c r="I39" s="254">
        <v>4.7725691464856865</v>
      </c>
      <c r="J39" s="255">
        <v>2.1674468742332057E-3</v>
      </c>
      <c r="K39" s="256">
        <v>589.44481431442136</v>
      </c>
      <c r="L39" s="258">
        <v>2.894038459787783E-2</v>
      </c>
      <c r="M39" s="259">
        <v>0.42949171674125991</v>
      </c>
      <c r="R39" s="67" t="str">
        <f t="shared" si="7"/>
        <v>Trailer TRU &gt; 25 hp2007</v>
      </c>
    </row>
    <row r="40" spans="2:18">
      <c r="B40" s="252" t="s">
        <v>115</v>
      </c>
      <c r="C40" s="260">
        <v>2008</v>
      </c>
      <c r="D40" s="254">
        <f t="shared" si="14"/>
        <v>5.2785028741715641</v>
      </c>
      <c r="E40" s="255">
        <f t="shared" si="15"/>
        <v>2.9042633679477628E-3</v>
      </c>
      <c r="F40" s="256">
        <f t="shared" si="16"/>
        <v>789.84039812187871</v>
      </c>
      <c r="G40" s="255">
        <f t="shared" si="17"/>
        <v>5.6685853991856806E-2</v>
      </c>
      <c r="H40" s="257">
        <f t="shared" si="18"/>
        <v>0.28977645540527885</v>
      </c>
      <c r="I40" s="254">
        <v>3.9362437540429265</v>
      </c>
      <c r="J40" s="255">
        <v>2.1657444951139171E-3</v>
      </c>
      <c r="K40" s="256">
        <v>588.99358547492818</v>
      </c>
      <c r="L40" s="258">
        <v>4.2271330344412238E-2</v>
      </c>
      <c r="M40" s="259">
        <v>0.2160898250598649</v>
      </c>
      <c r="R40" s="67" t="str">
        <f t="shared" si="7"/>
        <v>Trailer TRU &gt; 25 hp2008</v>
      </c>
    </row>
    <row r="41" spans="2:18">
      <c r="B41" s="252" t="s">
        <v>115</v>
      </c>
      <c r="C41" s="260">
        <v>2009</v>
      </c>
      <c r="D41" s="254">
        <f t="shared" si="14"/>
        <v>5.2784946991833079</v>
      </c>
      <c r="E41" s="255">
        <f t="shared" si="15"/>
        <v>2.9042660078611318E-3</v>
      </c>
      <c r="F41" s="256">
        <f t="shared" si="16"/>
        <v>789.84004181600528</v>
      </c>
      <c r="G41" s="255">
        <f t="shared" si="17"/>
        <v>5.6685842638451035E-2</v>
      </c>
      <c r="H41" s="257">
        <f t="shared" si="18"/>
        <v>0.28977632677457171</v>
      </c>
      <c r="I41" s="254">
        <v>3.9362376578548162</v>
      </c>
      <c r="J41" s="255">
        <v>2.1657464637294048E-3</v>
      </c>
      <c r="K41" s="256">
        <v>588.99331977330746</v>
      </c>
      <c r="L41" s="258">
        <v>4.2271321878039551E-2</v>
      </c>
      <c r="M41" s="259">
        <v>0.21608972913838309</v>
      </c>
      <c r="R41" s="67" t="str">
        <f t="shared" si="7"/>
        <v>Trailer TRU &gt; 25 hp2009</v>
      </c>
    </row>
    <row r="42" spans="2:18">
      <c r="B42" s="252" t="s">
        <v>115</v>
      </c>
      <c r="C42" s="260">
        <v>2010</v>
      </c>
      <c r="D42" s="254">
        <f t="shared" si="14"/>
        <v>5.278496201373641</v>
      </c>
      <c r="E42" s="255">
        <f t="shared" si="15"/>
        <v>2.9042676232132157E-3</v>
      </c>
      <c r="F42" s="256">
        <f t="shared" si="16"/>
        <v>789.83936776666451</v>
      </c>
      <c r="G42" s="255">
        <f t="shared" si="17"/>
        <v>5.6685871686341364E-2</v>
      </c>
      <c r="H42" s="257">
        <f t="shared" si="18"/>
        <v>0.28977610375534135</v>
      </c>
      <c r="I42" s="254">
        <v>3.9362387780564063</v>
      </c>
      <c r="J42" s="255">
        <v>2.1657476683170887E-3</v>
      </c>
      <c r="K42" s="256">
        <v>588.99281712652089</v>
      </c>
      <c r="L42" s="258">
        <v>4.2271343539404448E-2</v>
      </c>
      <c r="M42" s="259">
        <v>0.21608956283023217</v>
      </c>
      <c r="R42" s="67" t="str">
        <f t="shared" si="7"/>
        <v>Trailer TRU &gt; 25 hp2010</v>
      </c>
    </row>
    <row r="43" spans="2:18">
      <c r="B43" s="252" t="s">
        <v>115</v>
      </c>
      <c r="C43" s="260">
        <v>2011</v>
      </c>
      <c r="D43" s="254">
        <f t="shared" si="14"/>
        <v>5.278496201373641</v>
      </c>
      <c r="E43" s="255">
        <f t="shared" si="15"/>
        <v>2.9042676232132157E-3</v>
      </c>
      <c r="F43" s="256">
        <f t="shared" si="16"/>
        <v>789.83936776666451</v>
      </c>
      <c r="G43" s="255">
        <f t="shared" si="17"/>
        <v>5.6685871686341364E-2</v>
      </c>
      <c r="H43" s="257">
        <f t="shared" si="18"/>
        <v>0.28977610375534135</v>
      </c>
      <c r="I43" s="254">
        <v>3.9362387780564063</v>
      </c>
      <c r="J43" s="255">
        <v>2.1657476683170887E-3</v>
      </c>
      <c r="K43" s="256">
        <v>588.99281712652089</v>
      </c>
      <c r="L43" s="258">
        <v>4.2271343539404448E-2</v>
      </c>
      <c r="M43" s="259">
        <v>0.21608956283023217</v>
      </c>
      <c r="R43" s="67" t="str">
        <f t="shared" si="7"/>
        <v>Trailer TRU &gt; 25 hp2011</v>
      </c>
    </row>
    <row r="44" spans="2:18">
      <c r="B44" s="252" t="s">
        <v>115</v>
      </c>
      <c r="C44" s="260">
        <v>2012</v>
      </c>
      <c r="D44" s="254">
        <f t="shared" si="14"/>
        <v>5.2785042571761869</v>
      </c>
      <c r="E44" s="255">
        <f t="shared" si="15"/>
        <v>2.904270706440169E-3</v>
      </c>
      <c r="F44" s="256">
        <f t="shared" si="16"/>
        <v>789.84139576638722</v>
      </c>
      <c r="G44" s="255">
        <f t="shared" si="17"/>
        <v>5.6685875005048653E-2</v>
      </c>
      <c r="H44" s="257">
        <f t="shared" si="18"/>
        <v>0.28977663440599855</v>
      </c>
      <c r="I44" s="254">
        <v>3.9362447853662843</v>
      </c>
      <c r="J44" s="255">
        <v>2.1657499675169045E-3</v>
      </c>
      <c r="K44" s="256">
        <v>588.99432943056468</v>
      </c>
      <c r="L44" s="258">
        <v>4.2271346014204812E-2</v>
      </c>
      <c r="M44" s="259">
        <v>0.21608995854287735</v>
      </c>
      <c r="R44" s="67" t="str">
        <f t="shared" si="7"/>
        <v>Trailer TRU &gt; 25 hp2012</v>
      </c>
    </row>
    <row r="45" spans="2:18">
      <c r="B45" s="252" t="s">
        <v>115</v>
      </c>
      <c r="C45" s="260">
        <v>2013</v>
      </c>
      <c r="D45" s="254">
        <f t="shared" si="14"/>
        <v>5.2684134179186097</v>
      </c>
      <c r="E45" s="255">
        <f t="shared" si="15"/>
        <v>2.6169431191165639E-3</v>
      </c>
      <c r="F45" s="256">
        <f t="shared" si="16"/>
        <v>790.80051454955606</v>
      </c>
      <c r="G45" s="255">
        <f t="shared" si="17"/>
        <v>3.0682104564305219E-2</v>
      </c>
      <c r="H45" s="257">
        <f t="shared" si="18"/>
        <v>0.37816946459882061</v>
      </c>
      <c r="I45" s="254">
        <v>3.9287199238766668</v>
      </c>
      <c r="J45" s="255">
        <v>1.9514862931518002E-3</v>
      </c>
      <c r="K45" s="256">
        <v>589.70955596536623</v>
      </c>
      <c r="L45" s="258">
        <v>2.2880018317900985E-2</v>
      </c>
      <c r="M45" s="259">
        <v>0.28200556644207353</v>
      </c>
      <c r="R45" s="67" t="str">
        <f t="shared" si="7"/>
        <v>Trailer TRU &gt; 25 hp2013</v>
      </c>
    </row>
    <row r="46" spans="2:18">
      <c r="B46" s="252" t="s">
        <v>115</v>
      </c>
      <c r="C46" s="260">
        <v>2014</v>
      </c>
      <c r="D46" s="254">
        <f t="shared" si="14"/>
        <v>4.0685980328656974</v>
      </c>
      <c r="E46" s="255">
        <f t="shared" si="15"/>
        <v>2.282649488294835E-3</v>
      </c>
      <c r="F46" s="256">
        <f t="shared" si="16"/>
        <v>791.1380276977718</v>
      </c>
      <c r="G46" s="255">
        <f t="shared" si="17"/>
        <v>2.1814765992262734E-2</v>
      </c>
      <c r="H46" s="257">
        <f t="shared" si="18"/>
        <v>0.15641270275434413</v>
      </c>
      <c r="I46" s="254">
        <v>3.0340030073569704</v>
      </c>
      <c r="J46" s="255">
        <v>1.7021994692728076E-3</v>
      </c>
      <c r="K46" s="256">
        <v>589.96124362249952</v>
      </c>
      <c r="L46" s="258">
        <v>1.626753616126975E-2</v>
      </c>
      <c r="M46" s="259">
        <v>0.11663885365722904</v>
      </c>
      <c r="R46" s="67" t="str">
        <f t="shared" si="7"/>
        <v>Trailer TRU &gt; 25 hp2014</v>
      </c>
    </row>
    <row r="47" spans="2:18">
      <c r="B47" s="252" t="s">
        <v>115</v>
      </c>
      <c r="C47" s="260">
        <v>2015</v>
      </c>
      <c r="D47" s="254">
        <f t="shared" si="14"/>
        <v>3.61282440664099</v>
      </c>
      <c r="E47" s="255">
        <f t="shared" si="15"/>
        <v>2.1583409238207446E-3</v>
      </c>
      <c r="F47" s="256">
        <f t="shared" si="16"/>
        <v>791.27008220387347</v>
      </c>
      <c r="G47" s="255">
        <f t="shared" si="17"/>
        <v>1.8470952342458397E-2</v>
      </c>
      <c r="H47" s="257">
        <f t="shared" si="18"/>
        <v>7.3360682600050187E-2</v>
      </c>
      <c r="I47" s="254">
        <v>2.6941270743034975</v>
      </c>
      <c r="J47" s="255">
        <v>1.6095010617604359E-3</v>
      </c>
      <c r="K47" s="256">
        <v>590.05971827283634</v>
      </c>
      <c r="L47" s="258">
        <v>1.3774013678194183E-2</v>
      </c>
      <c r="M47" s="259">
        <v>5.4705952721886789E-2</v>
      </c>
      <c r="R47" s="67" t="str">
        <f t="shared" si="7"/>
        <v>Trailer TRU &gt; 25 hp2015</v>
      </c>
    </row>
    <row r="48" spans="2:18">
      <c r="B48" s="252" t="s">
        <v>115</v>
      </c>
      <c r="C48" s="260">
        <v>2016</v>
      </c>
      <c r="D48" s="254">
        <f t="shared" si="14"/>
        <v>3.5356657969490186</v>
      </c>
      <c r="E48" s="255">
        <f t="shared" si="15"/>
        <v>2.1228100868200296E-3</v>
      </c>
      <c r="F48" s="256">
        <f t="shared" si="16"/>
        <v>791.27319267114478</v>
      </c>
      <c r="G48" s="255">
        <f t="shared" si="17"/>
        <v>1.7771646829137299E-2</v>
      </c>
      <c r="H48" s="257">
        <f t="shared" si="18"/>
        <v>5.2888519522609617E-2</v>
      </c>
      <c r="I48" s="254">
        <v>2.6365889611849505</v>
      </c>
      <c r="J48" s="255">
        <v>1.5830052847278372E-3</v>
      </c>
      <c r="K48" s="256">
        <v>590.06203778608858</v>
      </c>
      <c r="L48" s="258">
        <v>1.3252533056776509E-2</v>
      </c>
      <c r="M48" s="259">
        <v>3.9439611873683535E-2</v>
      </c>
      <c r="R48" s="67" t="str">
        <f t="shared" si="7"/>
        <v>Trailer TRU &gt; 25 hp2016</v>
      </c>
    </row>
    <row r="49" spans="2:18">
      <c r="B49" s="252" t="s">
        <v>115</v>
      </c>
      <c r="C49" s="260">
        <v>2017</v>
      </c>
      <c r="D49" s="254">
        <f t="shared" si="14"/>
        <v>3.4006399779952554</v>
      </c>
      <c r="E49" s="255">
        <f t="shared" si="15"/>
        <v>2.0832723282623845E-3</v>
      </c>
      <c r="F49" s="256">
        <f t="shared" si="16"/>
        <v>791.30838067299555</v>
      </c>
      <c r="G49" s="255">
        <f t="shared" si="17"/>
        <v>1.6756105291418941E-2</v>
      </c>
      <c r="H49" s="257">
        <f t="shared" si="18"/>
        <v>2.7083108558881436E-2</v>
      </c>
      <c r="I49" s="254">
        <v>2.5358985667376999</v>
      </c>
      <c r="J49" s="255">
        <v>1.5535214975856708E-3</v>
      </c>
      <c r="K49" s="256">
        <v>590.08827790678265</v>
      </c>
      <c r="L49" s="258">
        <v>1.2495231388082732E-2</v>
      </c>
      <c r="M49" s="259">
        <v>2.0196203250470869E-2</v>
      </c>
      <c r="R49" s="67" t="str">
        <f t="shared" si="7"/>
        <v>Trailer TRU &gt; 25 hp2017</v>
      </c>
    </row>
    <row r="50" spans="2:18">
      <c r="B50" s="252" t="s">
        <v>115</v>
      </c>
      <c r="C50" s="260">
        <v>2018</v>
      </c>
      <c r="D50" s="254">
        <f t="shared" si="14"/>
        <v>3.398552105844769</v>
      </c>
      <c r="E50" s="255">
        <f t="shared" si="15"/>
        <v>2.0832749746886509E-3</v>
      </c>
      <c r="F50" s="256">
        <f t="shared" si="16"/>
        <v>791.30972890379098</v>
      </c>
      <c r="G50" s="255">
        <f t="shared" si="17"/>
        <v>1.6722004249269316E-2</v>
      </c>
      <c r="H50" s="257">
        <f t="shared" si="18"/>
        <v>2.6345145782409336E-2</v>
      </c>
      <c r="I50" s="254">
        <v>2.5343416150967704</v>
      </c>
      <c r="J50" s="255">
        <v>1.5535234710579052E-3</v>
      </c>
      <c r="K50" s="256">
        <v>590.08928329887476</v>
      </c>
      <c r="L50" s="258">
        <v>1.2469801826449901E-2</v>
      </c>
      <c r="M50" s="259">
        <v>1.9645895438038283E-2</v>
      </c>
      <c r="R50" s="67" t="str">
        <f t="shared" si="7"/>
        <v>Trailer TRU &gt; 25 hp2018</v>
      </c>
    </row>
    <row r="51" spans="2:18">
      <c r="B51" s="252" t="s">
        <v>115</v>
      </c>
      <c r="C51" s="260">
        <v>2019</v>
      </c>
      <c r="D51" s="254">
        <f t="shared" si="14"/>
        <v>3.3923258823483913</v>
      </c>
      <c r="E51" s="255">
        <f t="shared" si="15"/>
        <v>2.0832839007959673E-3</v>
      </c>
      <c r="F51" s="256">
        <f t="shared" si="16"/>
        <v>791.3121581012648</v>
      </c>
      <c r="G51" s="255">
        <f t="shared" si="17"/>
        <v>1.6620398667993322E-2</v>
      </c>
      <c r="H51" s="257">
        <f t="shared" si="18"/>
        <v>2.4145801672968786E-2</v>
      </c>
      <c r="I51" s="254">
        <v>2.5296986445551015</v>
      </c>
      <c r="J51" s="255">
        <v>1.5535301273646291E-3</v>
      </c>
      <c r="K51" s="256">
        <v>590.09109478095809</v>
      </c>
      <c r="L51" s="258">
        <v>1.2394033309465565E-2</v>
      </c>
      <c r="M51" s="259">
        <v>1.8005817802363003E-2</v>
      </c>
      <c r="R51" s="67" t="str">
        <f t="shared" si="7"/>
        <v>Trailer TRU &gt; 25 hp2019</v>
      </c>
    </row>
    <row r="52" spans="2:18">
      <c r="B52" s="252" t="s">
        <v>115</v>
      </c>
      <c r="C52" s="260">
        <v>2020</v>
      </c>
      <c r="D52" s="254">
        <f t="shared" si="14"/>
        <v>3.3861005657934236</v>
      </c>
      <c r="E52" s="255">
        <f t="shared" si="15"/>
        <v>2.0832928745173661E-3</v>
      </c>
      <c r="F52" s="256">
        <f t="shared" si="16"/>
        <v>791.31418591639169</v>
      </c>
      <c r="G52" s="255">
        <f t="shared" si="17"/>
        <v>1.6518793397319514E-2</v>
      </c>
      <c r="H52" s="257">
        <f t="shared" si="18"/>
        <v>2.1946441325355476E-2</v>
      </c>
      <c r="I52" s="254">
        <v>2.5250563503306664</v>
      </c>
      <c r="J52" s="255">
        <v>1.5535368191777524E-3</v>
      </c>
      <c r="K52" s="256">
        <v>590.09260694734655</v>
      </c>
      <c r="L52" s="258">
        <v>1.2318265024101056E-2</v>
      </c>
      <c r="M52" s="259">
        <v>1.6365728057684919E-2</v>
      </c>
      <c r="R52" s="67" t="str">
        <f t="shared" si="7"/>
        <v>Trailer TRU &gt; 25 hp2020</v>
      </c>
    </row>
    <row r="53" spans="2:18">
      <c r="B53" s="252" t="s">
        <v>115</v>
      </c>
      <c r="C53" s="260">
        <v>2021</v>
      </c>
      <c r="D53" s="254">
        <f t="shared" si="14"/>
        <v>3.3798714226569513</v>
      </c>
      <c r="E53" s="255">
        <f t="shared" si="15"/>
        <v>2.0832995776844743E-3</v>
      </c>
      <c r="F53" s="256">
        <f t="shared" si="16"/>
        <v>791.31566514027304</v>
      </c>
      <c r="G53" s="255">
        <f t="shared" si="17"/>
        <v>1.6417174737726841E-2</v>
      </c>
      <c r="H53" s="257">
        <f t="shared" si="18"/>
        <v>1.974704660694249E-2</v>
      </c>
      <c r="I53" s="254">
        <v>2.5204112025778906</v>
      </c>
      <c r="J53" s="255">
        <v>1.5535418178109427E-3</v>
      </c>
      <c r="K53" s="256">
        <v>590.09371002257501</v>
      </c>
      <c r="L53" s="258">
        <v>1.2242486754457004E-2</v>
      </c>
      <c r="M53" s="259">
        <v>1.4725612682283735E-2</v>
      </c>
      <c r="R53" s="67" t="str">
        <f t="shared" si="7"/>
        <v>Trailer TRU &gt; 25 hp2021</v>
      </c>
    </row>
    <row r="54" spans="2:18">
      <c r="B54" s="124" t="s">
        <v>116</v>
      </c>
      <c r="C54" s="242" t="s">
        <v>311</v>
      </c>
      <c r="D54" s="149">
        <f t="shared" si="8"/>
        <v>12.065158632077878</v>
      </c>
      <c r="E54" s="150">
        <f t="shared" si="0"/>
        <v>2.8832089994270558E-3</v>
      </c>
      <c r="F54" s="151">
        <f t="shared" si="1"/>
        <v>784.24314255500815</v>
      </c>
      <c r="G54" s="150">
        <f t="shared" si="0"/>
        <v>1.1899601814089205E-2</v>
      </c>
      <c r="H54" s="152">
        <f t="shared" si="2"/>
        <v>1.6362699413872557</v>
      </c>
      <c r="I54" s="149">
        <v>8.9971354452482313</v>
      </c>
      <c r="J54" s="150">
        <v>2.1500439965898999E-3</v>
      </c>
      <c r="K54" s="151">
        <v>584.81964396346621</v>
      </c>
      <c r="L54" s="159">
        <v>8.8736777137130539E-3</v>
      </c>
      <c r="M54" s="153">
        <v>1.2201863843305412</v>
      </c>
      <c r="R54" s="67" t="str">
        <f t="shared" si="7"/>
        <v>Truck TRUPre-2000</v>
      </c>
    </row>
    <row r="55" spans="2:18">
      <c r="B55" s="266" t="s">
        <v>116</v>
      </c>
      <c r="C55" s="242">
        <v>2000</v>
      </c>
      <c r="D55" s="149">
        <f t="shared" si="8"/>
        <v>7.4561996170600837</v>
      </c>
      <c r="E55" s="150">
        <f t="shared" ref="E55" si="19">J55*1.341</f>
        <v>2.8989239862194536E-3</v>
      </c>
      <c r="F55" s="151">
        <f t="shared" ref="F55" si="20">K55*1.341</f>
        <v>788.42014358301333</v>
      </c>
      <c r="G55" s="150">
        <f t="shared" ref="G55" si="21">L55*1.341</f>
        <v>1.4876714643229262E-2</v>
      </c>
      <c r="H55" s="152">
        <f t="shared" si="2"/>
        <v>0.69399089242308265</v>
      </c>
      <c r="I55" s="150">
        <v>5.5601786853542761</v>
      </c>
      <c r="J55" s="150">
        <v>2.1617628532583548E-3</v>
      </c>
      <c r="K55" s="151">
        <v>587.93448440194879</v>
      </c>
      <c r="L55" s="150">
        <v>1.1093746937531143E-2</v>
      </c>
      <c r="M55" s="153">
        <v>0.51751744401423017</v>
      </c>
      <c r="R55" s="67" t="str">
        <f t="shared" si="7"/>
        <v>Truck TRU2000</v>
      </c>
    </row>
    <row r="56" spans="2:18">
      <c r="B56" s="266" t="s">
        <v>116</v>
      </c>
      <c r="C56" s="242">
        <v>2001</v>
      </c>
      <c r="D56" s="149">
        <f t="shared" ref="D56:D75" si="22">I56*1.341</f>
        <v>7.4562044057796166</v>
      </c>
      <c r="E56" s="150">
        <f t="shared" ref="E56:E75" si="23">J56*1.341</f>
        <v>2.8989267026674876E-3</v>
      </c>
      <c r="F56" s="151">
        <f t="shared" ref="F56:F75" si="24">K56*1.341</f>
        <v>788.42059102383507</v>
      </c>
      <c r="G56" s="150">
        <f t="shared" ref="G56:G75" si="25">L56*1.341</f>
        <v>1.4876728212684048E-2</v>
      </c>
      <c r="H56" s="152">
        <f t="shared" ref="H56:H75" si="26">M56*1.341</f>
        <v>0.69399077737928039</v>
      </c>
      <c r="I56" s="267">
        <v>5.5601822563606387</v>
      </c>
      <c r="J56" s="268">
        <v>2.1617648789466724E-3</v>
      </c>
      <c r="K56" s="269">
        <v>587.93481806400825</v>
      </c>
      <c r="L56" s="270">
        <v>1.1093757056438515E-2</v>
      </c>
      <c r="M56" s="271">
        <v>0.51751735822466849</v>
      </c>
      <c r="R56" s="67" t="str">
        <f t="shared" si="7"/>
        <v>Truck TRU2001</v>
      </c>
    </row>
    <row r="57" spans="2:18">
      <c r="B57" s="124" t="s">
        <v>116</v>
      </c>
      <c r="C57" s="242">
        <v>2002</v>
      </c>
      <c r="D57" s="149">
        <f t="shared" si="22"/>
        <v>6.8800823627612866</v>
      </c>
      <c r="E57" s="150">
        <f t="shared" si="23"/>
        <v>2.9008880969500855E-3</v>
      </c>
      <c r="F57" s="151">
        <f t="shared" si="24"/>
        <v>788.94219198459984</v>
      </c>
      <c r="G57" s="150">
        <f t="shared" si="25"/>
        <v>1.5248857809281403E-2</v>
      </c>
      <c r="H57" s="152">
        <f t="shared" si="26"/>
        <v>0.57620584467716762</v>
      </c>
      <c r="I57" s="261">
        <v>5.1305610460561422</v>
      </c>
      <c r="J57" s="262">
        <v>2.1632275145041652E-3</v>
      </c>
      <c r="K57" s="263">
        <v>588.32378224056663</v>
      </c>
      <c r="L57" s="264">
        <v>1.1371258619896647E-2</v>
      </c>
      <c r="M57" s="265">
        <v>0.4296837022201101</v>
      </c>
      <c r="R57" s="67" t="str">
        <f t="shared" si="7"/>
        <v>Truck TRU2002</v>
      </c>
    </row>
    <row r="58" spans="2:18">
      <c r="B58" s="124" t="s">
        <v>116</v>
      </c>
      <c r="C58" s="242">
        <v>2003</v>
      </c>
      <c r="D58" s="149">
        <f t="shared" si="22"/>
        <v>6.8800772160139871</v>
      </c>
      <c r="E58" s="150">
        <f t="shared" si="23"/>
        <v>2.9008885200664087E-3</v>
      </c>
      <c r="F58" s="151">
        <f t="shared" si="24"/>
        <v>788.94186095816337</v>
      </c>
      <c r="G58" s="150">
        <f t="shared" si="25"/>
        <v>1.5248854179229847E-2</v>
      </c>
      <c r="H58" s="152">
        <f t="shared" si="26"/>
        <v>0.57620536464323979</v>
      </c>
      <c r="I58" s="261">
        <v>5.130557208064122</v>
      </c>
      <c r="J58" s="262">
        <v>2.1632278300271505E-3</v>
      </c>
      <c r="K58" s="263">
        <v>588.32353539012934</v>
      </c>
      <c r="L58" s="264">
        <v>1.1371255912923078E-2</v>
      </c>
      <c r="M58" s="265">
        <v>0.42968334425297527</v>
      </c>
      <c r="R58" s="67" t="str">
        <f t="shared" si="7"/>
        <v>Truck TRU2003</v>
      </c>
    </row>
    <row r="59" spans="2:18">
      <c r="B59" s="124" t="s">
        <v>116</v>
      </c>
      <c r="C59" s="242">
        <v>2004</v>
      </c>
      <c r="D59" s="149">
        <f t="shared" si="22"/>
        <v>6.8800772160139871</v>
      </c>
      <c r="E59" s="150">
        <f t="shared" si="23"/>
        <v>2.9009195849093554E-3</v>
      </c>
      <c r="F59" s="151">
        <f t="shared" si="24"/>
        <v>788.94186095816337</v>
      </c>
      <c r="G59" s="150">
        <f t="shared" si="25"/>
        <v>1.5248854179229847E-2</v>
      </c>
      <c r="H59" s="152">
        <f t="shared" si="26"/>
        <v>0.57620536464323979</v>
      </c>
      <c r="I59" s="261">
        <v>5.130557208064122</v>
      </c>
      <c r="J59" s="262">
        <v>2.1632509954581324E-3</v>
      </c>
      <c r="K59" s="263">
        <v>588.32353539012934</v>
      </c>
      <c r="L59" s="264">
        <v>1.1371255912923078E-2</v>
      </c>
      <c r="M59" s="265">
        <v>0.42968334425297527</v>
      </c>
      <c r="R59" s="67" t="str">
        <f t="shared" si="7"/>
        <v>Truck TRU2004</v>
      </c>
    </row>
    <row r="60" spans="2:18">
      <c r="B60" s="124" t="s">
        <v>116</v>
      </c>
      <c r="C60" s="242">
        <v>2005</v>
      </c>
      <c r="D60" s="149">
        <f t="shared" si="22"/>
        <v>5.9714783343179487</v>
      </c>
      <c r="E60" s="150">
        <f t="shared" si="23"/>
        <v>2.9035392998057056E-3</v>
      </c>
      <c r="F60" s="151">
        <f t="shared" si="24"/>
        <v>789.64670289501055</v>
      </c>
      <c r="G60" s="150">
        <f t="shared" si="25"/>
        <v>6.3895390849456363E-2</v>
      </c>
      <c r="H60" s="152">
        <f t="shared" si="26"/>
        <v>0.52592850266813429</v>
      </c>
      <c r="I60" s="261">
        <v>4.453003977865734</v>
      </c>
      <c r="J60" s="262">
        <v>2.1652045486992583E-3</v>
      </c>
      <c r="K60" s="263">
        <v>588.84914458986623</v>
      </c>
      <c r="L60" s="264">
        <v>4.7647569611824286E-2</v>
      </c>
      <c r="M60" s="265">
        <v>0.39219127715744539</v>
      </c>
      <c r="R60" s="67" t="str">
        <f t="shared" si="7"/>
        <v>Truck TRU2005</v>
      </c>
    </row>
    <row r="61" spans="2:18">
      <c r="B61" s="124" t="s">
        <v>116</v>
      </c>
      <c r="C61" s="242">
        <v>2006</v>
      </c>
      <c r="D61" s="149">
        <f t="shared" si="22"/>
        <v>5.9714783343179487</v>
      </c>
      <c r="E61" s="150">
        <f t="shared" si="23"/>
        <v>2.9035392998057056E-3</v>
      </c>
      <c r="F61" s="151">
        <f t="shared" si="24"/>
        <v>789.64670289501055</v>
      </c>
      <c r="G61" s="150">
        <f t="shared" si="25"/>
        <v>6.3895390849456363E-2</v>
      </c>
      <c r="H61" s="152">
        <f t="shared" si="26"/>
        <v>0.52592850266813429</v>
      </c>
      <c r="I61" s="261">
        <v>4.453003977865734</v>
      </c>
      <c r="J61" s="262">
        <v>2.1652045486992583E-3</v>
      </c>
      <c r="K61" s="263">
        <v>588.84914458986623</v>
      </c>
      <c r="L61" s="264">
        <v>4.7647569611824286E-2</v>
      </c>
      <c r="M61" s="265">
        <v>0.39219127715744539</v>
      </c>
      <c r="R61" s="67" t="str">
        <f t="shared" si="7"/>
        <v>Truck TRU2006</v>
      </c>
    </row>
    <row r="62" spans="2:18">
      <c r="B62" s="124" t="s">
        <v>116</v>
      </c>
      <c r="C62" s="242">
        <v>2007</v>
      </c>
      <c r="D62" s="149">
        <f t="shared" si="22"/>
        <v>5.9714700710841413</v>
      </c>
      <c r="E62" s="150">
        <f t="shared" si="23"/>
        <v>2.9035323182163807E-3</v>
      </c>
      <c r="F62" s="151">
        <f t="shared" si="24"/>
        <v>789.64610812345745</v>
      </c>
      <c r="G62" s="150">
        <f t="shared" si="25"/>
        <v>6.3895312771746926E-2</v>
      </c>
      <c r="H62" s="152">
        <f t="shared" si="26"/>
        <v>0.52592812340012207</v>
      </c>
      <c r="I62" s="261">
        <v>4.4529978158718428</v>
      </c>
      <c r="J62" s="262">
        <v>2.165199342443237E-3</v>
      </c>
      <c r="K62" s="263">
        <v>588.84870106148958</v>
      </c>
      <c r="L62" s="264">
        <v>4.7647511388327318E-2</v>
      </c>
      <c r="M62" s="265">
        <v>0.39219099433267868</v>
      </c>
      <c r="R62" s="67" t="str">
        <f t="shared" si="7"/>
        <v>Truck TRU2007</v>
      </c>
    </row>
    <row r="63" spans="2:18">
      <c r="B63" s="124" t="s">
        <v>116</v>
      </c>
      <c r="C63" s="242">
        <v>2008</v>
      </c>
      <c r="D63" s="149">
        <f t="shared" si="22"/>
        <v>5.4569268067851171</v>
      </c>
      <c r="E63" s="150">
        <f t="shared" si="23"/>
        <v>2.9022859733234844E-3</v>
      </c>
      <c r="F63" s="151">
        <f t="shared" si="24"/>
        <v>789.31304532683021</v>
      </c>
      <c r="G63" s="150">
        <f t="shared" si="25"/>
        <v>7.2881799904742361E-2</v>
      </c>
      <c r="H63" s="152">
        <f t="shared" si="26"/>
        <v>0.38941011934789027</v>
      </c>
      <c r="I63" s="261">
        <v>4.0692966493550466</v>
      </c>
      <c r="J63" s="262">
        <v>2.1642699279071473E-3</v>
      </c>
      <c r="K63" s="263">
        <v>588.60033208563027</v>
      </c>
      <c r="L63" s="264">
        <v>5.4348844075124803E-2</v>
      </c>
      <c r="M63" s="265">
        <v>0.29038785931982869</v>
      </c>
      <c r="R63" s="67" t="str">
        <f t="shared" si="7"/>
        <v>Truck TRU2008</v>
      </c>
    </row>
    <row r="64" spans="2:18">
      <c r="B64" s="124" t="s">
        <v>116</v>
      </c>
      <c r="C64" s="242">
        <v>2009</v>
      </c>
      <c r="D64" s="149">
        <f t="shared" si="22"/>
        <v>5.4569305008525486</v>
      </c>
      <c r="E64" s="150">
        <f t="shared" si="23"/>
        <v>2.9022847617865819E-3</v>
      </c>
      <c r="F64" s="151">
        <f t="shared" si="24"/>
        <v>789.31342635402655</v>
      </c>
      <c r="G64" s="150">
        <f t="shared" si="25"/>
        <v>7.2881810540605788E-2</v>
      </c>
      <c r="H64" s="152">
        <f t="shared" si="26"/>
        <v>0.38941041581993258</v>
      </c>
      <c r="I64" s="261">
        <v>4.0692994040660322</v>
      </c>
      <c r="J64" s="262">
        <v>2.1642690244493526E-3</v>
      </c>
      <c r="K64" s="263">
        <v>588.60061622224202</v>
      </c>
      <c r="L64" s="264">
        <v>5.4348852006417446E-2</v>
      </c>
      <c r="M64" s="265">
        <v>0.29038808040263431</v>
      </c>
      <c r="R64" s="67" t="str">
        <f t="shared" si="7"/>
        <v>Truck TRU2009</v>
      </c>
    </row>
    <row r="65" spans="1:18">
      <c r="B65" s="124" t="s">
        <v>116</v>
      </c>
      <c r="C65" s="242">
        <v>2010</v>
      </c>
      <c r="D65" s="149">
        <f t="shared" si="22"/>
        <v>5.4569267182765318</v>
      </c>
      <c r="E65" s="150">
        <f t="shared" si="23"/>
        <v>2.9022798581559684E-3</v>
      </c>
      <c r="F65" s="151">
        <f t="shared" si="24"/>
        <v>789.31273595600771</v>
      </c>
      <c r="G65" s="150">
        <f t="shared" si="25"/>
        <v>7.28818278591436E-2</v>
      </c>
      <c r="H65" s="152">
        <f t="shared" si="26"/>
        <v>0.3894102070526988</v>
      </c>
      <c r="I65" s="261">
        <v>4.0692965833531183</v>
      </c>
      <c r="J65" s="262">
        <v>2.1642653677524E-3</v>
      </c>
      <c r="K65" s="263">
        <v>588.60010138404755</v>
      </c>
      <c r="L65" s="264">
        <v>5.4348864921061599E-2</v>
      </c>
      <c r="M65" s="265">
        <v>0.29038792472237046</v>
      </c>
      <c r="R65" s="67" t="str">
        <f t="shared" si="7"/>
        <v>Truck TRU2010</v>
      </c>
    </row>
    <row r="66" spans="1:18">
      <c r="B66" s="124" t="s">
        <v>116</v>
      </c>
      <c r="C66" s="242">
        <v>2011</v>
      </c>
      <c r="D66" s="149">
        <f t="shared" si="22"/>
        <v>5.4569267182765318</v>
      </c>
      <c r="E66" s="150">
        <f t="shared" si="23"/>
        <v>2.9022798581559684E-3</v>
      </c>
      <c r="F66" s="151">
        <f t="shared" si="24"/>
        <v>789.31273595600771</v>
      </c>
      <c r="G66" s="150">
        <f t="shared" si="25"/>
        <v>7.28818278591436E-2</v>
      </c>
      <c r="H66" s="152">
        <f t="shared" si="26"/>
        <v>0.3894102070526988</v>
      </c>
      <c r="I66" s="261">
        <v>4.0692965833531183</v>
      </c>
      <c r="J66" s="262">
        <v>2.1642653677524E-3</v>
      </c>
      <c r="K66" s="263">
        <v>588.60010138404755</v>
      </c>
      <c r="L66" s="264">
        <v>5.4348864921061599E-2</v>
      </c>
      <c r="M66" s="265">
        <v>0.29038792472237046</v>
      </c>
      <c r="R66" s="67" t="str">
        <f t="shared" si="7"/>
        <v>Truck TRU2011</v>
      </c>
    </row>
    <row r="67" spans="1:18">
      <c r="B67" s="124" t="s">
        <v>116</v>
      </c>
      <c r="C67" s="242">
        <v>2012</v>
      </c>
      <c r="D67" s="149">
        <f t="shared" si="22"/>
        <v>5.195410664111102</v>
      </c>
      <c r="E67" s="150">
        <f t="shared" si="23"/>
        <v>2.9045442183339358E-3</v>
      </c>
      <c r="F67" s="151">
        <f t="shared" si="24"/>
        <v>789.91388385403184</v>
      </c>
      <c r="G67" s="150">
        <f t="shared" si="25"/>
        <v>5.442763830173683E-2</v>
      </c>
      <c r="H67" s="152">
        <f t="shared" si="26"/>
        <v>0.28201224835901201</v>
      </c>
      <c r="I67" s="261">
        <v>3.8742808830060418</v>
      </c>
      <c r="J67" s="262">
        <v>2.1659539286606531E-3</v>
      </c>
      <c r="K67" s="263">
        <v>589.0483846786218</v>
      </c>
      <c r="L67" s="264">
        <v>4.0587351455433879E-2</v>
      </c>
      <c r="M67" s="265">
        <v>0.21029996149068755</v>
      </c>
      <c r="R67" s="67" t="str">
        <f t="shared" si="7"/>
        <v>Truck TRU2012</v>
      </c>
    </row>
    <row r="68" spans="1:18">
      <c r="B68" s="124" t="s">
        <v>116</v>
      </c>
      <c r="C68" s="242">
        <v>2013</v>
      </c>
      <c r="D68" s="149">
        <f t="shared" si="22"/>
        <v>5.2797041446038131</v>
      </c>
      <c r="E68" s="150">
        <f t="shared" si="23"/>
        <v>2.904549597249046E-3</v>
      </c>
      <c r="F68" s="151">
        <f t="shared" si="24"/>
        <v>789.91475919609718</v>
      </c>
      <c r="G68" s="150">
        <f t="shared" si="25"/>
        <v>5.454668744159772E-2</v>
      </c>
      <c r="H68" s="152">
        <f t="shared" si="26"/>
        <v>0.30700368225050351</v>
      </c>
      <c r="I68" s="261">
        <v>3.9371395560058264</v>
      </c>
      <c r="J68" s="262">
        <v>2.1659579397830322E-3</v>
      </c>
      <c r="K68" s="263">
        <v>589.04903743183979</v>
      </c>
      <c r="L68" s="264">
        <v>4.0676127846083314E-2</v>
      </c>
      <c r="M68" s="265">
        <v>0.22893637751715401</v>
      </c>
      <c r="R68" s="67" t="str">
        <f t="shared" si="7"/>
        <v>Truck TRU2013</v>
      </c>
    </row>
    <row r="69" spans="1:18">
      <c r="B69" s="124" t="s">
        <v>116</v>
      </c>
      <c r="C69" s="242">
        <v>2014</v>
      </c>
      <c r="D69" s="149">
        <f t="shared" si="22"/>
        <v>5.2074762435973865</v>
      </c>
      <c r="E69" s="150">
        <f t="shared" si="23"/>
        <v>2.9046519039377366E-3</v>
      </c>
      <c r="F69" s="151">
        <f t="shared" si="24"/>
        <v>789.94318000802934</v>
      </c>
      <c r="G69" s="150">
        <f t="shared" si="25"/>
        <v>5.3570571646139833E-2</v>
      </c>
      <c r="H69" s="152">
        <f t="shared" si="26"/>
        <v>0.28414629048878032</v>
      </c>
      <c r="I69" s="261">
        <v>3.8832783322873876</v>
      </c>
      <c r="J69" s="262">
        <v>2.1660342311243374E-3</v>
      </c>
      <c r="K69" s="263">
        <v>589.07023117675567</v>
      </c>
      <c r="L69" s="264">
        <v>3.9948226432617327E-2</v>
      </c>
      <c r="M69" s="265">
        <v>0.21189134264636864</v>
      </c>
      <c r="R69" s="67" t="str">
        <f t="shared" si="7"/>
        <v>Truck TRU2014</v>
      </c>
    </row>
    <row r="70" spans="1:18">
      <c r="B70" s="124" t="s">
        <v>116</v>
      </c>
      <c r="C70" s="242">
        <v>2015</v>
      </c>
      <c r="D70" s="149">
        <f t="shared" si="22"/>
        <v>5.1689569516390508</v>
      </c>
      <c r="E70" s="150">
        <f t="shared" si="23"/>
        <v>2.9047129346815781E-3</v>
      </c>
      <c r="F70" s="151">
        <f t="shared" si="24"/>
        <v>789.95872101827536</v>
      </c>
      <c r="G70" s="150">
        <f t="shared" si="25"/>
        <v>5.3050037487375967E-2</v>
      </c>
      <c r="H70" s="152">
        <f t="shared" si="26"/>
        <v>0.27195547839565537</v>
      </c>
      <c r="I70" s="261">
        <v>3.8545540280678976</v>
      </c>
      <c r="J70" s="262">
        <v>2.1660797424918553E-3</v>
      </c>
      <c r="K70" s="263">
        <v>589.08182029699879</v>
      </c>
      <c r="L70" s="264">
        <v>3.9560057783278126E-2</v>
      </c>
      <c r="M70" s="265">
        <v>0.2028005058878862</v>
      </c>
      <c r="R70" s="67" t="str">
        <f t="shared" si="7"/>
        <v>Truck TRU2015</v>
      </c>
    </row>
    <row r="71" spans="1:18">
      <c r="B71" s="124" t="s">
        <v>116</v>
      </c>
      <c r="C71" s="242">
        <v>2016</v>
      </c>
      <c r="D71" s="149">
        <f t="shared" si="22"/>
        <v>5.1689582702435644</v>
      </c>
      <c r="E71" s="150">
        <f t="shared" si="23"/>
        <v>2.9047115051407846E-3</v>
      </c>
      <c r="F71" s="151">
        <f t="shared" si="24"/>
        <v>789.95842623253077</v>
      </c>
      <c r="G71" s="150">
        <f t="shared" si="25"/>
        <v>5.3050004449800063E-2</v>
      </c>
      <c r="H71" s="152">
        <f t="shared" si="26"/>
        <v>0.27195530590100142</v>
      </c>
      <c r="I71" s="261">
        <v>3.8545550113673115</v>
      </c>
      <c r="J71" s="262">
        <v>2.1660786764659094E-3</v>
      </c>
      <c r="K71" s="263">
        <v>589.08160047168587</v>
      </c>
      <c r="L71" s="264">
        <v>3.9560033146756199E-2</v>
      </c>
      <c r="M71" s="265">
        <v>0.20280037725652605</v>
      </c>
      <c r="R71" s="67" t="str">
        <f t="shared" ref="R71:R76" si="27">B71&amp;C71</f>
        <v>Truck TRU2016</v>
      </c>
    </row>
    <row r="72" spans="1:18">
      <c r="B72" s="124" t="s">
        <v>116</v>
      </c>
      <c r="C72" s="242">
        <v>2017</v>
      </c>
      <c r="D72" s="149">
        <f t="shared" si="22"/>
        <v>5.1689567409088788</v>
      </c>
      <c r="E72" s="150">
        <f t="shared" si="23"/>
        <v>2.9047137241623683E-3</v>
      </c>
      <c r="F72" s="151">
        <f t="shared" si="24"/>
        <v>789.95893181958286</v>
      </c>
      <c r="G72" s="150">
        <f t="shared" si="25"/>
        <v>5.3050079869304316E-2</v>
      </c>
      <c r="H72" s="152">
        <f t="shared" si="26"/>
        <v>0.27195557322402858</v>
      </c>
      <c r="I72" s="261">
        <v>3.8545538709238474</v>
      </c>
      <c r="J72" s="262">
        <v>2.166080331217277E-3</v>
      </c>
      <c r="K72" s="263">
        <v>589.08197749409612</v>
      </c>
      <c r="L72" s="264">
        <v>3.9560089387997252E-2</v>
      </c>
      <c r="M72" s="265">
        <v>0.20280057660255674</v>
      </c>
      <c r="R72" s="67" t="str">
        <f t="shared" si="27"/>
        <v>Truck TRU2017</v>
      </c>
    </row>
    <row r="73" spans="1:18">
      <c r="B73" s="124" t="s">
        <v>116</v>
      </c>
      <c r="C73" s="242">
        <v>2018</v>
      </c>
      <c r="D73" s="149">
        <f t="shared" si="22"/>
        <v>5.1657771192018522</v>
      </c>
      <c r="E73" s="150">
        <f t="shared" si="23"/>
        <v>2.9047269929843062E-3</v>
      </c>
      <c r="F73" s="151">
        <f t="shared" si="24"/>
        <v>789.96183021733202</v>
      </c>
      <c r="G73" s="150">
        <f t="shared" si="25"/>
        <v>5.2942058748202236E-2</v>
      </c>
      <c r="H73" s="152">
        <f t="shared" si="26"/>
        <v>0.26518836625188785</v>
      </c>
      <c r="I73" s="261">
        <v>3.8521827883682715</v>
      </c>
      <c r="J73" s="262">
        <v>2.1660902259390798E-3</v>
      </c>
      <c r="K73" s="263">
        <v>589.08413886452797</v>
      </c>
      <c r="L73" s="264">
        <v>3.9479536724983028E-2</v>
      </c>
      <c r="M73" s="265">
        <v>0.19775418810729894</v>
      </c>
      <c r="R73" s="67" t="str">
        <f t="shared" si="27"/>
        <v>Truck TRU2018</v>
      </c>
    </row>
    <row r="74" spans="1:18">
      <c r="B74" s="124" t="s">
        <v>116</v>
      </c>
      <c r="C74" s="242">
        <v>2019</v>
      </c>
      <c r="D74" s="149">
        <f t="shared" si="22"/>
        <v>5.1563194149453224</v>
      </c>
      <c r="E74" s="150">
        <f t="shared" si="23"/>
        <v>2.9047641581768763E-3</v>
      </c>
      <c r="F74" s="151">
        <f t="shared" si="24"/>
        <v>789.97276302586431</v>
      </c>
      <c r="G74" s="150">
        <f t="shared" si="25"/>
        <v>5.2620385950591632E-2</v>
      </c>
      <c r="H74" s="152">
        <f t="shared" si="26"/>
        <v>0.24502083761097651</v>
      </c>
      <c r="I74" s="261">
        <v>3.8451300633447598</v>
      </c>
      <c r="J74" s="262">
        <v>2.1661179404749266E-3</v>
      </c>
      <c r="K74" s="263">
        <v>589.09229159274003</v>
      </c>
      <c r="L74" s="264">
        <v>3.9239661409837159E-2</v>
      </c>
      <c r="M74" s="265">
        <v>0.18271501686128003</v>
      </c>
      <c r="R74" s="67" t="str">
        <f t="shared" si="27"/>
        <v>Truck TRU2019</v>
      </c>
    </row>
    <row r="75" spans="1:18">
      <c r="B75" s="124" t="s">
        <v>116</v>
      </c>
      <c r="C75" s="242">
        <v>2020</v>
      </c>
      <c r="D75" s="149">
        <f t="shared" si="22"/>
        <v>5.1468557279365603</v>
      </c>
      <c r="E75" s="150">
        <f t="shared" si="23"/>
        <v>2.9048015740848611E-3</v>
      </c>
      <c r="F75" s="151">
        <f t="shared" si="24"/>
        <v>789.98277186403686</v>
      </c>
      <c r="G75" s="150">
        <f t="shared" si="25"/>
        <v>5.2298674347128878E-2</v>
      </c>
      <c r="H75" s="152">
        <f t="shared" si="26"/>
        <v>0.22485287902957826</v>
      </c>
      <c r="I75" s="261">
        <v>3.8380728769101866</v>
      </c>
      <c r="J75" s="262">
        <v>2.1661458419723052E-3</v>
      </c>
      <c r="K75" s="263">
        <v>589.09975530502379</v>
      </c>
      <c r="L75" s="264">
        <v>3.8999757156695659E-2</v>
      </c>
      <c r="M75" s="265">
        <v>0.16767552500341407</v>
      </c>
      <c r="R75" s="67" t="str">
        <f t="shared" si="27"/>
        <v>Truck TRU2020</v>
      </c>
    </row>
    <row r="76" spans="1:18" ht="16.2" thickBot="1">
      <c r="B76" s="125" t="s">
        <v>116</v>
      </c>
      <c r="C76" s="273">
        <v>2021</v>
      </c>
      <c r="D76" s="154">
        <f>I76*1.341</f>
        <v>5.1373935916578892</v>
      </c>
      <c r="E76" s="155">
        <f>J76*1.341</f>
        <v>2.9048446354340302E-3</v>
      </c>
      <c r="F76" s="156">
        <f>K76*1.341</f>
        <v>789.99346195231954</v>
      </c>
      <c r="G76" s="155">
        <f>L76*1.341</f>
        <v>5.1977040979323007E-2</v>
      </c>
      <c r="H76" s="157">
        <f>M76*1.341</f>
        <v>0.2046851920133885</v>
      </c>
      <c r="I76" s="154">
        <v>3.8310168468738923</v>
      </c>
      <c r="J76" s="155">
        <v>2.1661779533437959E-3</v>
      </c>
      <c r="K76" s="156">
        <v>589.1077270337953</v>
      </c>
      <c r="L76" s="160">
        <v>3.8759911244834459E-2</v>
      </c>
      <c r="M76" s="158">
        <v>0.15263623565502499</v>
      </c>
      <c r="R76" s="67" t="str">
        <f t="shared" si="27"/>
        <v>Truck TRU2021</v>
      </c>
    </row>
    <row r="77" spans="1:18">
      <c r="R77" s="67"/>
    </row>
    <row r="79" spans="1:18">
      <c r="A79" s="27" t="s">
        <v>103</v>
      </c>
    </row>
    <row r="80" spans="1:18">
      <c r="A80" s="28" t="s">
        <v>102</v>
      </c>
    </row>
    <row r="81" spans="1:14" ht="16.2">
      <c r="A81" s="416" t="s">
        <v>388</v>
      </c>
    </row>
    <row r="83" spans="1:14">
      <c r="A83" s="21" t="s">
        <v>212</v>
      </c>
      <c r="B83"/>
      <c r="C83"/>
      <c r="D83"/>
      <c r="E83"/>
      <c r="F83"/>
      <c r="G83"/>
      <c r="H83"/>
      <c r="I83"/>
      <c r="J83"/>
      <c r="K83"/>
      <c r="L83"/>
      <c r="M83"/>
    </row>
    <row r="84" spans="1:14">
      <c r="A84" t="s">
        <v>389</v>
      </c>
      <c r="B84"/>
      <c r="C84"/>
      <c r="D84"/>
      <c r="E84"/>
      <c r="F84"/>
      <c r="G84"/>
      <c r="H84"/>
      <c r="I84"/>
      <c r="J84"/>
      <c r="K84"/>
      <c r="L84"/>
      <c r="M84"/>
    </row>
    <row r="85" spans="1:14">
      <c r="A85" t="s">
        <v>222</v>
      </c>
      <c r="B85"/>
      <c r="C85"/>
      <c r="D85"/>
      <c r="E85"/>
      <c r="F85"/>
      <c r="G85"/>
      <c r="H85"/>
      <c r="I85"/>
      <c r="J85"/>
      <c r="K85"/>
      <c r="L85"/>
      <c r="M85"/>
    </row>
    <row r="86" spans="1:14">
      <c r="A86" t="s">
        <v>223</v>
      </c>
      <c r="B86"/>
      <c r="C86"/>
      <c r="D86"/>
      <c r="E86"/>
      <c r="F86"/>
      <c r="G86"/>
      <c r="H86"/>
      <c r="I86"/>
      <c r="J86"/>
      <c r="K86"/>
      <c r="L86"/>
      <c r="M86"/>
    </row>
    <row r="87" spans="1:14">
      <c r="A87"/>
      <c r="B87"/>
      <c r="C87"/>
      <c r="D87"/>
      <c r="E87"/>
      <c r="F87"/>
      <c r="G87"/>
      <c r="H87"/>
      <c r="I87"/>
      <c r="J87"/>
      <c r="K87"/>
      <c r="L87"/>
      <c r="M87"/>
    </row>
    <row r="88" spans="1:14">
      <c r="A88" s="416" t="s">
        <v>390</v>
      </c>
      <c r="B88"/>
      <c r="C88"/>
      <c r="D88"/>
      <c r="E88"/>
      <c r="F88"/>
      <c r="G88"/>
      <c r="H88"/>
      <c r="I88"/>
      <c r="J88"/>
      <c r="K88"/>
      <c r="L88"/>
      <c r="M88"/>
    </row>
    <row r="89" spans="1:14">
      <c r="A89" t="s">
        <v>393</v>
      </c>
      <c r="B89"/>
      <c r="C89"/>
      <c r="D89"/>
      <c r="E89"/>
      <c r="F89"/>
      <c r="G89"/>
      <c r="H89"/>
      <c r="I89"/>
      <c r="J89"/>
      <c r="K89"/>
      <c r="L89"/>
      <c r="M89"/>
    </row>
    <row r="90" spans="1:14">
      <c r="A90" s="417" t="s">
        <v>394</v>
      </c>
    </row>
    <row r="91" spans="1:14">
      <c r="A91" s="416" t="s">
        <v>391</v>
      </c>
    </row>
    <row r="93" spans="1:14">
      <c r="A93" s="425" t="s">
        <v>395</v>
      </c>
      <c r="B93" s="423"/>
      <c r="C93" s="423"/>
      <c r="D93" s="423"/>
      <c r="E93" s="423"/>
      <c r="F93" s="423"/>
      <c r="G93" s="423"/>
      <c r="H93" s="423"/>
      <c r="I93" s="423"/>
      <c r="J93" s="423"/>
      <c r="K93" s="423"/>
      <c r="L93" s="423"/>
      <c r="M93" s="423"/>
      <c r="N93" s="58"/>
    </row>
    <row r="94" spans="1:14">
      <c r="A94" s="425" t="s">
        <v>398</v>
      </c>
      <c r="B94" s="423"/>
      <c r="C94" s="423"/>
      <c r="D94" s="423"/>
      <c r="E94" s="423"/>
      <c r="F94" s="423"/>
      <c r="G94" s="423"/>
      <c r="H94" s="423"/>
      <c r="I94" s="423"/>
      <c r="J94" s="423"/>
      <c r="K94" s="423"/>
      <c r="L94" s="423"/>
      <c r="M94" s="423"/>
      <c r="N94" s="58"/>
    </row>
    <row r="95" spans="1:14">
      <c r="A95" s="426" t="s">
        <v>396</v>
      </c>
      <c r="B95" s="423"/>
      <c r="C95" s="423"/>
      <c r="D95" s="423"/>
      <c r="E95" s="423"/>
      <c r="F95" s="423"/>
      <c r="G95" s="423"/>
      <c r="H95" s="423"/>
      <c r="I95" s="423"/>
      <c r="J95" s="423"/>
      <c r="K95" s="423"/>
      <c r="L95" s="423"/>
      <c r="M95" s="423"/>
      <c r="N95" s="58"/>
    </row>
    <row r="96" spans="1:14">
      <c r="A96" s="425" t="s">
        <v>397</v>
      </c>
      <c r="B96" s="423"/>
      <c r="C96" s="423"/>
      <c r="D96" s="423"/>
      <c r="E96" s="423"/>
      <c r="F96" s="423"/>
      <c r="G96" s="423"/>
      <c r="H96" s="423"/>
      <c r="I96" s="423"/>
      <c r="J96" s="423"/>
      <c r="K96" s="423"/>
      <c r="L96" s="423"/>
      <c r="M96" s="423"/>
      <c r="N96" s="58"/>
    </row>
    <row r="97" spans="1:14">
      <c r="A97" s="426" t="s">
        <v>400</v>
      </c>
      <c r="B97" s="423"/>
      <c r="C97" s="423"/>
      <c r="D97" s="423"/>
      <c r="E97" s="423"/>
      <c r="F97" s="423"/>
      <c r="G97" s="423"/>
      <c r="H97" s="423"/>
      <c r="I97" s="423"/>
      <c r="J97" s="423"/>
      <c r="K97" s="423"/>
      <c r="L97" s="423"/>
      <c r="M97" s="423"/>
      <c r="N97" s="58"/>
    </row>
    <row r="98" spans="1:14">
      <c r="A98" s="427" t="s">
        <v>399</v>
      </c>
      <c r="B98" s="423"/>
      <c r="C98" s="423"/>
      <c r="D98" s="423"/>
      <c r="E98" s="423"/>
      <c r="F98" s="423"/>
      <c r="G98" s="423"/>
      <c r="H98" s="423"/>
      <c r="I98" s="423"/>
      <c r="J98" s="423"/>
      <c r="K98" s="423"/>
      <c r="L98" s="423"/>
      <c r="M98" s="423"/>
      <c r="N98" s="58"/>
    </row>
  </sheetData>
  <sheetProtection sheet="1" objects="1" scenarios="1"/>
  <mergeCells count="2">
    <mergeCell ref="D4:H4"/>
    <mergeCell ref="I4:M4"/>
  </mergeCells>
  <hyperlinks>
    <hyperlink ref="A98" r:id="rId1" xr:uid="{14C737A1-48E3-4B1A-A014-BEAC3F225C34}"/>
  </hyperlinks>
  <pageMargins left="0.7" right="0.7" top="0.75" bottom="0.75" header="0.3" footer="0.3"/>
  <pageSetup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540A-37C0-4723-9D64-0B875775C7AD}">
  <sheetPr codeName="Sheet5">
    <tabColor theme="8" tint="0.39997558519241921"/>
  </sheetPr>
  <dimension ref="A1:S89"/>
  <sheetViews>
    <sheetView zoomScaleNormal="100" workbookViewId="0">
      <pane ySplit="3" topLeftCell="A4" activePane="bottomLeft" state="frozen"/>
      <selection pane="bottomLeft" activeCell="A4" sqref="A4"/>
    </sheetView>
  </sheetViews>
  <sheetFormatPr defaultColWidth="9" defaultRowHeight="14.4"/>
  <cols>
    <col min="1" max="1" width="5.59765625" style="22" customWidth="1"/>
    <col min="2" max="2" width="17.59765625" style="22" customWidth="1"/>
    <col min="3" max="3" width="13" style="22" customWidth="1"/>
    <col min="4" max="4" width="10.09765625" style="22" bestFit="1" customWidth="1"/>
    <col min="5" max="5" width="11.19921875" style="22" bestFit="1" customWidth="1"/>
    <col min="6" max="6" width="11" style="22" bestFit="1" customWidth="1"/>
    <col min="7" max="7" width="13.5" style="22" customWidth="1"/>
    <col min="8" max="8" width="9" style="22"/>
    <col min="9" max="9" width="10.09765625" style="22" customWidth="1"/>
    <col min="10" max="11" width="11.59765625" style="22" customWidth="1"/>
    <col min="12" max="12" width="13.09765625" style="22" customWidth="1"/>
    <col min="13" max="13" width="15.3984375" style="22" customWidth="1"/>
    <col min="14" max="15" width="9" style="22"/>
    <col min="16" max="16" width="9" style="22" hidden="1" customWidth="1"/>
    <col min="17" max="16384" width="9" style="22"/>
  </cols>
  <sheetData>
    <row r="1" spans="1:16" ht="15.6">
      <c r="A1" s="360" t="s">
        <v>345</v>
      </c>
    </row>
    <row r="2" spans="1:16">
      <c r="I2" s="479" t="s">
        <v>382</v>
      </c>
      <c r="J2" s="479"/>
      <c r="K2" s="479"/>
      <c r="L2" s="479"/>
      <c r="M2" s="479"/>
    </row>
    <row r="3" spans="1:16" ht="72">
      <c r="B3" s="38" t="s">
        <v>76</v>
      </c>
      <c r="C3" s="35" t="s">
        <v>77</v>
      </c>
      <c r="D3" s="35" t="s">
        <v>152</v>
      </c>
      <c r="E3" s="35" t="s">
        <v>78</v>
      </c>
      <c r="F3" s="35" t="s">
        <v>79</v>
      </c>
      <c r="G3" s="35" t="s">
        <v>80</v>
      </c>
      <c r="H3" s="39"/>
      <c r="I3" s="34" t="s">
        <v>81</v>
      </c>
      <c r="J3" s="428" t="s">
        <v>401</v>
      </c>
      <c r="K3" s="428" t="s">
        <v>402</v>
      </c>
      <c r="L3" s="34" t="s">
        <v>99</v>
      </c>
      <c r="M3" s="35" t="s">
        <v>100</v>
      </c>
      <c r="P3" s="67" t="s">
        <v>124</v>
      </c>
    </row>
    <row r="4" spans="1:16">
      <c r="B4" s="36" t="s">
        <v>114</v>
      </c>
      <c r="C4" s="278" t="s">
        <v>310</v>
      </c>
      <c r="D4" s="305">
        <v>19</v>
      </c>
      <c r="E4" s="306">
        <v>0.51</v>
      </c>
      <c r="F4" s="307">
        <v>2201</v>
      </c>
      <c r="G4" s="308">
        <v>0.53</v>
      </c>
      <c r="H4" s="309"/>
      <c r="I4" s="310">
        <f>4400*References!$B$38/References!$B$36</f>
        <v>4561.8433884083697</v>
      </c>
      <c r="J4" s="418">
        <f>8300*References!$B$38/References!$B$33</f>
        <v>9140.4046083923458</v>
      </c>
      <c r="K4" s="418">
        <f>7100*References!$B$38/References!$B$33</f>
        <v>7818.9003276609228</v>
      </c>
      <c r="L4" s="311">
        <f>0.69*References!$B$38/References!$B$36</f>
        <v>0.71537998590949425</v>
      </c>
      <c r="M4" s="312">
        <v>-0.3</v>
      </c>
      <c r="P4" s="67" t="str">
        <f t="shared" ref="P4:P67" si="0">B4&amp;C4</f>
        <v>Trailer TRU &lt; 25 hpPre-1999</v>
      </c>
    </row>
    <row r="5" spans="1:16">
      <c r="B5" s="36" t="s">
        <v>114</v>
      </c>
      <c r="C5" s="277">
        <v>1999</v>
      </c>
      <c r="D5" s="305">
        <v>19</v>
      </c>
      <c r="E5" s="306">
        <v>0.51</v>
      </c>
      <c r="F5" s="307">
        <v>2201</v>
      </c>
      <c r="G5" s="308">
        <v>0.53</v>
      </c>
      <c r="H5" s="309"/>
      <c r="I5" s="310">
        <f>I4</f>
        <v>4561.8433884083697</v>
      </c>
      <c r="J5" s="418">
        <f>J4</f>
        <v>9140.4046083923458</v>
      </c>
      <c r="K5" s="418">
        <f>K4</f>
        <v>7818.9003276609228</v>
      </c>
      <c r="L5" s="311">
        <f>L4</f>
        <v>0.71537998590949425</v>
      </c>
      <c r="M5" s="312">
        <v>-0.3</v>
      </c>
      <c r="P5" s="67" t="str">
        <f t="shared" si="0"/>
        <v>Trailer TRU &lt; 25 hp1999</v>
      </c>
    </row>
    <row r="6" spans="1:16">
      <c r="B6" s="36" t="s">
        <v>114</v>
      </c>
      <c r="C6" s="275">
        <v>2000</v>
      </c>
      <c r="D6" s="313">
        <v>19</v>
      </c>
      <c r="E6" s="314">
        <v>0.51</v>
      </c>
      <c r="F6" s="315">
        <v>2201</v>
      </c>
      <c r="G6" s="316">
        <v>0.53</v>
      </c>
      <c r="H6" s="317"/>
      <c r="I6" s="310">
        <f t="shared" ref="I6:I51" si="1">I5</f>
        <v>4561.8433884083697</v>
      </c>
      <c r="J6" s="418">
        <f t="shared" ref="J6:J51" si="2">J5</f>
        <v>9140.4046083923458</v>
      </c>
      <c r="K6" s="418">
        <f t="shared" ref="K6:K51" si="3">K5</f>
        <v>7818.9003276609228</v>
      </c>
      <c r="L6" s="311">
        <f t="shared" ref="L6:L51" si="4">L5</f>
        <v>0.71537998590949425</v>
      </c>
      <c r="M6" s="320">
        <v>-0.3</v>
      </c>
      <c r="P6" s="67" t="str">
        <f t="shared" si="0"/>
        <v>Trailer TRU &lt; 25 hp2000</v>
      </c>
    </row>
    <row r="7" spans="1:16">
      <c r="B7" s="36" t="s">
        <v>114</v>
      </c>
      <c r="C7" s="272">
        <v>2001</v>
      </c>
      <c r="D7" s="313">
        <v>19</v>
      </c>
      <c r="E7" s="314">
        <v>0.51</v>
      </c>
      <c r="F7" s="315">
        <v>2201</v>
      </c>
      <c r="G7" s="316">
        <v>0.53</v>
      </c>
      <c r="H7" s="317"/>
      <c r="I7" s="310">
        <f t="shared" si="1"/>
        <v>4561.8433884083697</v>
      </c>
      <c r="J7" s="418">
        <f t="shared" si="2"/>
        <v>9140.4046083923458</v>
      </c>
      <c r="K7" s="418">
        <f t="shared" si="3"/>
        <v>7818.9003276609228</v>
      </c>
      <c r="L7" s="311">
        <f t="shared" si="4"/>
        <v>0.71537998590949425</v>
      </c>
      <c r="M7" s="320">
        <v>-0.3</v>
      </c>
      <c r="P7" s="67" t="str">
        <f t="shared" si="0"/>
        <v>Trailer TRU &lt; 25 hp2001</v>
      </c>
    </row>
    <row r="8" spans="1:16">
      <c r="B8" s="36" t="s">
        <v>114</v>
      </c>
      <c r="C8" s="272">
        <v>2002</v>
      </c>
      <c r="D8" s="313">
        <v>19</v>
      </c>
      <c r="E8" s="314">
        <v>0.51</v>
      </c>
      <c r="F8" s="315">
        <v>2201</v>
      </c>
      <c r="G8" s="316">
        <v>0.53</v>
      </c>
      <c r="H8" s="317"/>
      <c r="I8" s="310">
        <f t="shared" si="1"/>
        <v>4561.8433884083697</v>
      </c>
      <c r="J8" s="418">
        <f t="shared" si="2"/>
        <v>9140.4046083923458</v>
      </c>
      <c r="K8" s="418">
        <f t="shared" si="3"/>
        <v>7818.9003276609228</v>
      </c>
      <c r="L8" s="311">
        <f t="shared" si="4"/>
        <v>0.71537998590949425</v>
      </c>
      <c r="M8" s="320">
        <v>-0.3</v>
      </c>
      <c r="P8" s="67" t="str">
        <f t="shared" si="0"/>
        <v>Trailer TRU &lt; 25 hp2002</v>
      </c>
    </row>
    <row r="9" spans="1:16">
      <c r="B9" s="36" t="s">
        <v>114</v>
      </c>
      <c r="C9" s="272">
        <v>2003</v>
      </c>
      <c r="D9" s="313">
        <v>19</v>
      </c>
      <c r="E9" s="314">
        <v>0.51</v>
      </c>
      <c r="F9" s="315">
        <v>2201</v>
      </c>
      <c r="G9" s="316">
        <v>0.53</v>
      </c>
      <c r="H9" s="317"/>
      <c r="I9" s="310">
        <f t="shared" si="1"/>
        <v>4561.8433884083697</v>
      </c>
      <c r="J9" s="418">
        <f t="shared" si="2"/>
        <v>9140.4046083923458</v>
      </c>
      <c r="K9" s="418">
        <f t="shared" si="3"/>
        <v>7818.9003276609228</v>
      </c>
      <c r="L9" s="311">
        <f t="shared" si="4"/>
        <v>0.71537998590949425</v>
      </c>
      <c r="M9" s="320">
        <v>-0.3</v>
      </c>
      <c r="P9" s="67" t="str">
        <f t="shared" si="0"/>
        <v>Trailer TRU &lt; 25 hp2003</v>
      </c>
    </row>
    <row r="10" spans="1:16">
      <c r="B10" s="36" t="s">
        <v>114</v>
      </c>
      <c r="C10" s="272">
        <v>2004</v>
      </c>
      <c r="D10" s="313">
        <v>19</v>
      </c>
      <c r="E10" s="314">
        <v>0.51</v>
      </c>
      <c r="F10" s="315">
        <v>2201</v>
      </c>
      <c r="G10" s="316">
        <v>0.53</v>
      </c>
      <c r="H10" s="317"/>
      <c r="I10" s="310">
        <f t="shared" si="1"/>
        <v>4561.8433884083697</v>
      </c>
      <c r="J10" s="418">
        <f t="shared" si="2"/>
        <v>9140.4046083923458</v>
      </c>
      <c r="K10" s="418">
        <f t="shared" si="3"/>
        <v>7818.9003276609228</v>
      </c>
      <c r="L10" s="311">
        <f t="shared" si="4"/>
        <v>0.71537998590949425</v>
      </c>
      <c r="M10" s="320">
        <v>-0.3</v>
      </c>
      <c r="P10" s="67" t="str">
        <f t="shared" si="0"/>
        <v>Trailer TRU &lt; 25 hp2004</v>
      </c>
    </row>
    <row r="11" spans="1:16">
      <c r="B11" s="36" t="s">
        <v>114</v>
      </c>
      <c r="C11" s="272">
        <v>2005</v>
      </c>
      <c r="D11" s="313">
        <v>19</v>
      </c>
      <c r="E11" s="314">
        <v>0.51</v>
      </c>
      <c r="F11" s="315">
        <v>2201</v>
      </c>
      <c r="G11" s="316">
        <v>0.53</v>
      </c>
      <c r="H11" s="317"/>
      <c r="I11" s="310">
        <f t="shared" si="1"/>
        <v>4561.8433884083697</v>
      </c>
      <c r="J11" s="418">
        <f t="shared" si="2"/>
        <v>9140.4046083923458</v>
      </c>
      <c r="K11" s="418">
        <f t="shared" si="3"/>
        <v>7818.9003276609228</v>
      </c>
      <c r="L11" s="311">
        <f t="shared" si="4"/>
        <v>0.71537998590949425</v>
      </c>
      <c r="M11" s="320">
        <v>-0.3</v>
      </c>
      <c r="P11" s="67" t="str">
        <f t="shared" si="0"/>
        <v>Trailer TRU &lt; 25 hp2005</v>
      </c>
    </row>
    <row r="12" spans="1:16">
      <c r="B12" s="36" t="s">
        <v>114</v>
      </c>
      <c r="C12" s="272">
        <v>2006</v>
      </c>
      <c r="D12" s="313">
        <v>19</v>
      </c>
      <c r="E12" s="314">
        <v>0.51</v>
      </c>
      <c r="F12" s="315">
        <v>2201</v>
      </c>
      <c r="G12" s="316">
        <v>0.53</v>
      </c>
      <c r="H12" s="317"/>
      <c r="I12" s="310">
        <f t="shared" si="1"/>
        <v>4561.8433884083697</v>
      </c>
      <c r="J12" s="418">
        <f t="shared" si="2"/>
        <v>9140.4046083923458</v>
      </c>
      <c r="K12" s="418">
        <f t="shared" si="3"/>
        <v>7818.9003276609228</v>
      </c>
      <c r="L12" s="311">
        <f t="shared" si="4"/>
        <v>0.71537998590949425</v>
      </c>
      <c r="M12" s="320">
        <v>-0.3</v>
      </c>
      <c r="P12" s="67" t="str">
        <f t="shared" si="0"/>
        <v>Trailer TRU &lt; 25 hp2006</v>
      </c>
    </row>
    <row r="13" spans="1:16">
      <c r="B13" s="36" t="s">
        <v>114</v>
      </c>
      <c r="C13" s="272">
        <v>2007</v>
      </c>
      <c r="D13" s="313">
        <v>19</v>
      </c>
      <c r="E13" s="314">
        <v>0.51</v>
      </c>
      <c r="F13" s="315">
        <v>2201</v>
      </c>
      <c r="G13" s="316">
        <v>0.53</v>
      </c>
      <c r="H13" s="317"/>
      <c r="I13" s="310">
        <f t="shared" si="1"/>
        <v>4561.8433884083697</v>
      </c>
      <c r="J13" s="418">
        <f t="shared" si="2"/>
        <v>9140.4046083923458</v>
      </c>
      <c r="K13" s="418">
        <f t="shared" si="3"/>
        <v>7818.9003276609228</v>
      </c>
      <c r="L13" s="311">
        <f t="shared" si="4"/>
        <v>0.71537998590949425</v>
      </c>
      <c r="M13" s="320">
        <v>-0.3</v>
      </c>
      <c r="P13" s="67" t="str">
        <f t="shared" si="0"/>
        <v>Trailer TRU &lt; 25 hp2007</v>
      </c>
    </row>
    <row r="14" spans="1:16">
      <c r="B14" s="36" t="s">
        <v>114</v>
      </c>
      <c r="C14" s="272">
        <v>2008</v>
      </c>
      <c r="D14" s="313">
        <v>19</v>
      </c>
      <c r="E14" s="314">
        <v>0.51</v>
      </c>
      <c r="F14" s="315">
        <v>2201</v>
      </c>
      <c r="G14" s="316">
        <v>0.53</v>
      </c>
      <c r="H14" s="317"/>
      <c r="I14" s="310">
        <f t="shared" si="1"/>
        <v>4561.8433884083697</v>
      </c>
      <c r="J14" s="418">
        <f t="shared" si="2"/>
        <v>9140.4046083923458</v>
      </c>
      <c r="K14" s="418">
        <f t="shared" si="3"/>
        <v>7818.9003276609228</v>
      </c>
      <c r="L14" s="311">
        <f t="shared" si="4"/>
        <v>0.71537998590949425</v>
      </c>
      <c r="M14" s="320">
        <v>-0.3</v>
      </c>
      <c r="P14" s="67" t="str">
        <f t="shared" si="0"/>
        <v>Trailer TRU &lt; 25 hp2008</v>
      </c>
    </row>
    <row r="15" spans="1:16">
      <c r="B15" s="36" t="s">
        <v>114</v>
      </c>
      <c r="C15" s="272">
        <v>2009</v>
      </c>
      <c r="D15" s="313">
        <v>19</v>
      </c>
      <c r="E15" s="314">
        <v>0.51</v>
      </c>
      <c r="F15" s="315">
        <v>2201</v>
      </c>
      <c r="G15" s="316">
        <v>0.53</v>
      </c>
      <c r="H15" s="317"/>
      <c r="I15" s="310">
        <f t="shared" si="1"/>
        <v>4561.8433884083697</v>
      </c>
      <c r="J15" s="418">
        <f t="shared" si="2"/>
        <v>9140.4046083923458</v>
      </c>
      <c r="K15" s="418">
        <f t="shared" si="3"/>
        <v>7818.9003276609228</v>
      </c>
      <c r="L15" s="311">
        <f t="shared" si="4"/>
        <v>0.71537998590949425</v>
      </c>
      <c r="M15" s="320">
        <v>-0.3</v>
      </c>
      <c r="P15" s="67" t="str">
        <f t="shared" si="0"/>
        <v>Trailer TRU &lt; 25 hp2009</v>
      </c>
    </row>
    <row r="16" spans="1:16">
      <c r="B16" s="36" t="s">
        <v>114</v>
      </c>
      <c r="C16" s="272">
        <v>2010</v>
      </c>
      <c r="D16" s="313">
        <v>19</v>
      </c>
      <c r="E16" s="314">
        <v>0.51</v>
      </c>
      <c r="F16" s="315">
        <v>2201</v>
      </c>
      <c r="G16" s="316">
        <v>0.53</v>
      </c>
      <c r="H16" s="317"/>
      <c r="I16" s="310">
        <f t="shared" si="1"/>
        <v>4561.8433884083697</v>
      </c>
      <c r="J16" s="418">
        <f t="shared" si="2"/>
        <v>9140.4046083923458</v>
      </c>
      <c r="K16" s="418">
        <f t="shared" si="3"/>
        <v>7818.9003276609228</v>
      </c>
      <c r="L16" s="311">
        <f t="shared" si="4"/>
        <v>0.71537998590949425</v>
      </c>
      <c r="M16" s="320">
        <v>-0.3</v>
      </c>
      <c r="P16" s="67" t="str">
        <f t="shared" si="0"/>
        <v>Trailer TRU &lt; 25 hp2010</v>
      </c>
    </row>
    <row r="17" spans="2:16">
      <c r="B17" s="36" t="s">
        <v>114</v>
      </c>
      <c r="C17" s="272">
        <v>2011</v>
      </c>
      <c r="D17" s="313">
        <v>19</v>
      </c>
      <c r="E17" s="314">
        <v>0.51</v>
      </c>
      <c r="F17" s="315">
        <v>2201</v>
      </c>
      <c r="G17" s="316">
        <v>0.53</v>
      </c>
      <c r="H17" s="317"/>
      <c r="I17" s="310">
        <f t="shared" si="1"/>
        <v>4561.8433884083697</v>
      </c>
      <c r="J17" s="418">
        <f t="shared" si="2"/>
        <v>9140.4046083923458</v>
      </c>
      <c r="K17" s="418">
        <f t="shared" si="3"/>
        <v>7818.9003276609228</v>
      </c>
      <c r="L17" s="311">
        <f t="shared" si="4"/>
        <v>0.71537998590949425</v>
      </c>
      <c r="M17" s="320">
        <v>-0.3</v>
      </c>
      <c r="P17" s="67" t="str">
        <f t="shared" si="0"/>
        <v>Trailer TRU &lt; 25 hp2011</v>
      </c>
    </row>
    <row r="18" spans="2:16">
      <c r="B18" s="36" t="s">
        <v>114</v>
      </c>
      <c r="C18" s="272">
        <v>2012</v>
      </c>
      <c r="D18" s="313">
        <v>19</v>
      </c>
      <c r="E18" s="314">
        <v>0.51</v>
      </c>
      <c r="F18" s="315">
        <v>2201</v>
      </c>
      <c r="G18" s="316">
        <v>0.53</v>
      </c>
      <c r="H18" s="317"/>
      <c r="I18" s="310">
        <f t="shared" si="1"/>
        <v>4561.8433884083697</v>
      </c>
      <c r="J18" s="418">
        <f t="shared" si="2"/>
        <v>9140.4046083923458</v>
      </c>
      <c r="K18" s="418">
        <f t="shared" si="3"/>
        <v>7818.9003276609228</v>
      </c>
      <c r="L18" s="311">
        <f t="shared" si="4"/>
        <v>0.71537998590949425</v>
      </c>
      <c r="M18" s="320">
        <v>-0.3</v>
      </c>
      <c r="P18" s="67" t="str">
        <f t="shared" si="0"/>
        <v>Trailer TRU &lt; 25 hp2012</v>
      </c>
    </row>
    <row r="19" spans="2:16">
      <c r="B19" s="36" t="s">
        <v>114</v>
      </c>
      <c r="C19" s="272">
        <v>2013</v>
      </c>
      <c r="D19" s="313">
        <v>19</v>
      </c>
      <c r="E19" s="314">
        <v>0.51</v>
      </c>
      <c r="F19" s="315">
        <v>2201</v>
      </c>
      <c r="G19" s="316">
        <v>0.53</v>
      </c>
      <c r="H19" s="317"/>
      <c r="I19" s="310">
        <f t="shared" si="1"/>
        <v>4561.8433884083697</v>
      </c>
      <c r="J19" s="418">
        <f t="shared" si="2"/>
        <v>9140.4046083923458</v>
      </c>
      <c r="K19" s="418">
        <f t="shared" si="3"/>
        <v>7818.9003276609228</v>
      </c>
      <c r="L19" s="311">
        <f t="shared" si="4"/>
        <v>0.71537998590949425</v>
      </c>
      <c r="M19" s="320">
        <v>-0.3</v>
      </c>
      <c r="P19" s="67" t="str">
        <f t="shared" si="0"/>
        <v>Trailer TRU &lt; 25 hp2013</v>
      </c>
    </row>
    <row r="20" spans="2:16">
      <c r="B20" s="36" t="s">
        <v>114</v>
      </c>
      <c r="C20" s="272">
        <v>2014</v>
      </c>
      <c r="D20" s="313">
        <v>19</v>
      </c>
      <c r="E20" s="314">
        <v>0.51</v>
      </c>
      <c r="F20" s="315">
        <v>2201</v>
      </c>
      <c r="G20" s="316">
        <v>0.53</v>
      </c>
      <c r="H20" s="317"/>
      <c r="I20" s="310">
        <f t="shared" si="1"/>
        <v>4561.8433884083697</v>
      </c>
      <c r="J20" s="418">
        <f t="shared" si="2"/>
        <v>9140.4046083923458</v>
      </c>
      <c r="K20" s="418">
        <f t="shared" si="3"/>
        <v>7818.9003276609228</v>
      </c>
      <c r="L20" s="311">
        <f t="shared" si="4"/>
        <v>0.71537998590949425</v>
      </c>
      <c r="M20" s="320">
        <v>-0.3</v>
      </c>
      <c r="P20" s="67" t="str">
        <f t="shared" si="0"/>
        <v>Trailer TRU &lt; 25 hp2014</v>
      </c>
    </row>
    <row r="21" spans="2:16">
      <c r="B21" s="36" t="s">
        <v>114</v>
      </c>
      <c r="C21" s="272">
        <v>2015</v>
      </c>
      <c r="D21" s="313">
        <v>19</v>
      </c>
      <c r="E21" s="314">
        <v>0.51</v>
      </c>
      <c r="F21" s="315">
        <v>2201</v>
      </c>
      <c r="G21" s="316">
        <v>0.53</v>
      </c>
      <c r="H21" s="317"/>
      <c r="I21" s="310">
        <f t="shared" si="1"/>
        <v>4561.8433884083697</v>
      </c>
      <c r="J21" s="418">
        <f t="shared" si="2"/>
        <v>9140.4046083923458</v>
      </c>
      <c r="K21" s="418">
        <f t="shared" si="3"/>
        <v>7818.9003276609228</v>
      </c>
      <c r="L21" s="311">
        <f t="shared" si="4"/>
        <v>0.71537998590949425</v>
      </c>
      <c r="M21" s="320">
        <v>-0.3</v>
      </c>
      <c r="P21" s="67" t="str">
        <f t="shared" si="0"/>
        <v>Trailer TRU &lt; 25 hp2015</v>
      </c>
    </row>
    <row r="22" spans="2:16">
      <c r="B22" s="36" t="s">
        <v>114</v>
      </c>
      <c r="C22" s="272">
        <v>2016</v>
      </c>
      <c r="D22" s="313">
        <v>19</v>
      </c>
      <c r="E22" s="314">
        <v>0.51</v>
      </c>
      <c r="F22" s="315">
        <v>2201</v>
      </c>
      <c r="G22" s="316">
        <v>0.53</v>
      </c>
      <c r="H22" s="317"/>
      <c r="I22" s="310">
        <f t="shared" si="1"/>
        <v>4561.8433884083697</v>
      </c>
      <c r="J22" s="418">
        <f t="shared" si="2"/>
        <v>9140.4046083923458</v>
      </c>
      <c r="K22" s="418">
        <f t="shared" si="3"/>
        <v>7818.9003276609228</v>
      </c>
      <c r="L22" s="311">
        <f t="shared" si="4"/>
        <v>0.71537998590949425</v>
      </c>
      <c r="M22" s="320">
        <v>-0.3</v>
      </c>
      <c r="P22" s="67" t="str">
        <f t="shared" si="0"/>
        <v>Trailer TRU &lt; 25 hp2016</v>
      </c>
    </row>
    <row r="23" spans="2:16">
      <c r="B23" s="36" t="s">
        <v>114</v>
      </c>
      <c r="C23" s="272">
        <v>2017</v>
      </c>
      <c r="D23" s="313">
        <v>19</v>
      </c>
      <c r="E23" s="314">
        <v>0.51</v>
      </c>
      <c r="F23" s="315">
        <v>2201</v>
      </c>
      <c r="G23" s="316">
        <v>0.53</v>
      </c>
      <c r="H23" s="317"/>
      <c r="I23" s="310">
        <f t="shared" si="1"/>
        <v>4561.8433884083697</v>
      </c>
      <c r="J23" s="418">
        <f t="shared" si="2"/>
        <v>9140.4046083923458</v>
      </c>
      <c r="K23" s="418">
        <f t="shared" si="3"/>
        <v>7818.9003276609228</v>
      </c>
      <c r="L23" s="311">
        <f t="shared" si="4"/>
        <v>0.71537998590949425</v>
      </c>
      <c r="M23" s="320">
        <v>-0.3</v>
      </c>
      <c r="P23" s="67" t="str">
        <f t="shared" si="0"/>
        <v>Trailer TRU &lt; 25 hp2017</v>
      </c>
    </row>
    <row r="24" spans="2:16">
      <c r="B24" s="36" t="s">
        <v>114</v>
      </c>
      <c r="C24" s="272">
        <v>2018</v>
      </c>
      <c r="D24" s="313">
        <v>19</v>
      </c>
      <c r="E24" s="314">
        <v>0.51</v>
      </c>
      <c r="F24" s="315">
        <v>2201</v>
      </c>
      <c r="G24" s="316">
        <v>0.53</v>
      </c>
      <c r="H24" s="317"/>
      <c r="I24" s="310">
        <f t="shared" si="1"/>
        <v>4561.8433884083697</v>
      </c>
      <c r="J24" s="418">
        <f t="shared" si="2"/>
        <v>9140.4046083923458</v>
      </c>
      <c r="K24" s="418">
        <f t="shared" si="3"/>
        <v>7818.9003276609228</v>
      </c>
      <c r="L24" s="311">
        <f t="shared" si="4"/>
        <v>0.71537998590949425</v>
      </c>
      <c r="M24" s="320">
        <v>-0.3</v>
      </c>
      <c r="P24" s="67" t="str">
        <f t="shared" si="0"/>
        <v>Trailer TRU &lt; 25 hp2018</v>
      </c>
    </row>
    <row r="25" spans="2:16">
      <c r="B25" s="36" t="s">
        <v>114</v>
      </c>
      <c r="C25" s="272">
        <v>2019</v>
      </c>
      <c r="D25" s="313">
        <v>19</v>
      </c>
      <c r="E25" s="314">
        <v>0.51</v>
      </c>
      <c r="F25" s="315">
        <v>2201</v>
      </c>
      <c r="G25" s="316">
        <v>0.53</v>
      </c>
      <c r="H25" s="317"/>
      <c r="I25" s="310">
        <f t="shared" si="1"/>
        <v>4561.8433884083697</v>
      </c>
      <c r="J25" s="418">
        <f t="shared" si="2"/>
        <v>9140.4046083923458</v>
      </c>
      <c r="K25" s="418">
        <f t="shared" si="3"/>
        <v>7818.9003276609228</v>
      </c>
      <c r="L25" s="311">
        <f t="shared" si="4"/>
        <v>0.71537998590949425</v>
      </c>
      <c r="M25" s="320">
        <v>-0.3</v>
      </c>
      <c r="P25" s="67" t="str">
        <f t="shared" si="0"/>
        <v>Trailer TRU &lt; 25 hp2019</v>
      </c>
    </row>
    <row r="26" spans="2:16">
      <c r="B26" s="36" t="s">
        <v>114</v>
      </c>
      <c r="C26" s="272">
        <v>2020</v>
      </c>
      <c r="D26" s="313">
        <v>19</v>
      </c>
      <c r="E26" s="314">
        <v>0.51</v>
      </c>
      <c r="F26" s="315">
        <v>2201</v>
      </c>
      <c r="G26" s="316">
        <v>0.53</v>
      </c>
      <c r="H26" s="317"/>
      <c r="I26" s="310">
        <f t="shared" si="1"/>
        <v>4561.8433884083697</v>
      </c>
      <c r="J26" s="418">
        <f t="shared" si="2"/>
        <v>9140.4046083923458</v>
      </c>
      <c r="K26" s="418">
        <f t="shared" si="3"/>
        <v>7818.9003276609228</v>
      </c>
      <c r="L26" s="311">
        <f t="shared" si="4"/>
        <v>0.71537998590949425</v>
      </c>
      <c r="M26" s="320">
        <v>-0.3</v>
      </c>
      <c r="P26" s="67" t="str">
        <f t="shared" si="0"/>
        <v>Trailer TRU &lt; 25 hp2020</v>
      </c>
    </row>
    <row r="27" spans="2:16">
      <c r="B27" s="36" t="s">
        <v>114</v>
      </c>
      <c r="C27" s="272">
        <v>2021</v>
      </c>
      <c r="D27" s="313">
        <v>19</v>
      </c>
      <c r="E27" s="314">
        <v>0.51</v>
      </c>
      <c r="F27" s="315">
        <v>2201</v>
      </c>
      <c r="G27" s="316">
        <v>0.53</v>
      </c>
      <c r="H27" s="317"/>
      <c r="I27" s="310">
        <f t="shared" si="1"/>
        <v>4561.8433884083697</v>
      </c>
      <c r="J27" s="418">
        <f t="shared" si="2"/>
        <v>9140.4046083923458</v>
      </c>
      <c r="K27" s="418">
        <f t="shared" si="3"/>
        <v>7818.9003276609228</v>
      </c>
      <c r="L27" s="311">
        <f t="shared" si="4"/>
        <v>0.71537998590949425</v>
      </c>
      <c r="M27" s="320">
        <v>-0.3</v>
      </c>
      <c r="P27" s="67" t="str">
        <f t="shared" si="0"/>
        <v>Trailer TRU &lt; 25 hp2021</v>
      </c>
    </row>
    <row r="28" spans="2:16">
      <c r="B28" s="32" t="s">
        <v>115</v>
      </c>
      <c r="C28" s="276" t="s">
        <v>310</v>
      </c>
      <c r="D28" s="313">
        <v>30</v>
      </c>
      <c r="E28" s="321">
        <v>0.46</v>
      </c>
      <c r="F28" s="315">
        <v>2201</v>
      </c>
      <c r="G28" s="316">
        <v>0.53</v>
      </c>
      <c r="H28" s="317"/>
      <c r="I28" s="310">
        <f t="shared" si="1"/>
        <v>4561.8433884083697</v>
      </c>
      <c r="J28" s="418">
        <f t="shared" si="2"/>
        <v>9140.4046083923458</v>
      </c>
      <c r="K28" s="418">
        <f t="shared" si="3"/>
        <v>7818.9003276609228</v>
      </c>
      <c r="L28" s="311">
        <f t="shared" si="4"/>
        <v>0.71537998590949425</v>
      </c>
      <c r="M28" s="320">
        <v>-0.3</v>
      </c>
      <c r="P28" s="67" t="str">
        <f t="shared" si="0"/>
        <v>Trailer TRU &gt; 25 hpPre-1999</v>
      </c>
    </row>
    <row r="29" spans="2:16">
      <c r="B29" s="32" t="s">
        <v>115</v>
      </c>
      <c r="C29" s="275">
        <v>1999</v>
      </c>
      <c r="D29" s="313">
        <v>30</v>
      </c>
      <c r="E29" s="321">
        <v>0.46</v>
      </c>
      <c r="F29" s="315">
        <v>2201</v>
      </c>
      <c r="G29" s="316">
        <v>0.53</v>
      </c>
      <c r="H29" s="317"/>
      <c r="I29" s="310">
        <f t="shared" si="1"/>
        <v>4561.8433884083697</v>
      </c>
      <c r="J29" s="418">
        <f t="shared" si="2"/>
        <v>9140.4046083923458</v>
      </c>
      <c r="K29" s="418">
        <f t="shared" si="3"/>
        <v>7818.9003276609228</v>
      </c>
      <c r="L29" s="311">
        <f t="shared" si="4"/>
        <v>0.71537998590949425</v>
      </c>
      <c r="M29" s="320">
        <v>-0.3</v>
      </c>
      <c r="P29" s="67" t="str">
        <f t="shared" si="0"/>
        <v>Trailer TRU &gt; 25 hp1999</v>
      </c>
    </row>
    <row r="30" spans="2:16">
      <c r="B30" s="32" t="s">
        <v>115</v>
      </c>
      <c r="C30" s="272">
        <v>2000</v>
      </c>
      <c r="D30" s="313">
        <v>30</v>
      </c>
      <c r="E30" s="321">
        <v>0.46</v>
      </c>
      <c r="F30" s="315">
        <v>2201</v>
      </c>
      <c r="G30" s="316">
        <v>0.53</v>
      </c>
      <c r="H30" s="317"/>
      <c r="I30" s="310">
        <f t="shared" si="1"/>
        <v>4561.8433884083697</v>
      </c>
      <c r="J30" s="418">
        <f t="shared" si="2"/>
        <v>9140.4046083923458</v>
      </c>
      <c r="K30" s="418">
        <f t="shared" si="3"/>
        <v>7818.9003276609228</v>
      </c>
      <c r="L30" s="311">
        <f t="shared" si="4"/>
        <v>0.71537998590949425</v>
      </c>
      <c r="M30" s="320">
        <v>-0.3</v>
      </c>
      <c r="P30" s="67" t="str">
        <f t="shared" si="0"/>
        <v>Trailer TRU &gt; 25 hp2000</v>
      </c>
    </row>
    <row r="31" spans="2:16">
      <c r="B31" s="32" t="s">
        <v>115</v>
      </c>
      <c r="C31" s="272">
        <v>2001</v>
      </c>
      <c r="D31" s="313">
        <v>30</v>
      </c>
      <c r="E31" s="321">
        <v>0.46</v>
      </c>
      <c r="F31" s="315">
        <v>2201</v>
      </c>
      <c r="G31" s="316">
        <v>0.53</v>
      </c>
      <c r="H31" s="317"/>
      <c r="I31" s="310">
        <f t="shared" si="1"/>
        <v>4561.8433884083697</v>
      </c>
      <c r="J31" s="418">
        <f t="shared" si="2"/>
        <v>9140.4046083923458</v>
      </c>
      <c r="K31" s="418">
        <f t="shared" si="3"/>
        <v>7818.9003276609228</v>
      </c>
      <c r="L31" s="311">
        <f t="shared" si="4"/>
        <v>0.71537998590949425</v>
      </c>
      <c r="M31" s="320">
        <v>-0.3</v>
      </c>
      <c r="P31" s="67" t="str">
        <f t="shared" si="0"/>
        <v>Trailer TRU &gt; 25 hp2001</v>
      </c>
    </row>
    <row r="32" spans="2:16">
      <c r="B32" s="32" t="s">
        <v>115</v>
      </c>
      <c r="C32" s="272">
        <v>2002</v>
      </c>
      <c r="D32" s="313">
        <v>30</v>
      </c>
      <c r="E32" s="321">
        <v>0.46</v>
      </c>
      <c r="F32" s="315">
        <v>2201</v>
      </c>
      <c r="G32" s="316">
        <v>0.53</v>
      </c>
      <c r="H32" s="317"/>
      <c r="I32" s="310">
        <f t="shared" si="1"/>
        <v>4561.8433884083697</v>
      </c>
      <c r="J32" s="418">
        <f t="shared" si="2"/>
        <v>9140.4046083923458</v>
      </c>
      <c r="K32" s="418">
        <f t="shared" si="3"/>
        <v>7818.9003276609228</v>
      </c>
      <c r="L32" s="311">
        <f t="shared" si="4"/>
        <v>0.71537998590949425</v>
      </c>
      <c r="M32" s="320">
        <v>-0.3</v>
      </c>
      <c r="P32" s="67" t="str">
        <f t="shared" si="0"/>
        <v>Trailer TRU &gt; 25 hp2002</v>
      </c>
    </row>
    <row r="33" spans="2:16">
      <c r="B33" s="32" t="s">
        <v>115</v>
      </c>
      <c r="C33" s="272">
        <v>2003</v>
      </c>
      <c r="D33" s="313">
        <v>30</v>
      </c>
      <c r="E33" s="321">
        <v>0.46</v>
      </c>
      <c r="F33" s="315">
        <v>2201</v>
      </c>
      <c r="G33" s="316">
        <v>0.53</v>
      </c>
      <c r="H33" s="317"/>
      <c r="I33" s="310">
        <f t="shared" si="1"/>
        <v>4561.8433884083697</v>
      </c>
      <c r="J33" s="418">
        <f t="shared" si="2"/>
        <v>9140.4046083923458</v>
      </c>
      <c r="K33" s="418">
        <f t="shared" si="3"/>
        <v>7818.9003276609228</v>
      </c>
      <c r="L33" s="311">
        <f t="shared" si="4"/>
        <v>0.71537998590949425</v>
      </c>
      <c r="M33" s="320">
        <v>-0.3</v>
      </c>
      <c r="P33" s="67" t="str">
        <f t="shared" si="0"/>
        <v>Trailer TRU &gt; 25 hp2003</v>
      </c>
    </row>
    <row r="34" spans="2:16">
      <c r="B34" s="32" t="s">
        <v>115</v>
      </c>
      <c r="C34" s="272">
        <v>2004</v>
      </c>
      <c r="D34" s="313">
        <v>30</v>
      </c>
      <c r="E34" s="321">
        <v>0.46</v>
      </c>
      <c r="F34" s="315">
        <v>2201</v>
      </c>
      <c r="G34" s="316">
        <v>0.53</v>
      </c>
      <c r="H34" s="317"/>
      <c r="I34" s="310">
        <f t="shared" si="1"/>
        <v>4561.8433884083697</v>
      </c>
      <c r="J34" s="418">
        <f t="shared" si="2"/>
        <v>9140.4046083923458</v>
      </c>
      <c r="K34" s="418">
        <f t="shared" si="3"/>
        <v>7818.9003276609228</v>
      </c>
      <c r="L34" s="311">
        <f t="shared" si="4"/>
        <v>0.71537998590949425</v>
      </c>
      <c r="M34" s="320">
        <v>-0.3</v>
      </c>
      <c r="P34" s="67" t="str">
        <f t="shared" si="0"/>
        <v>Trailer TRU &gt; 25 hp2004</v>
      </c>
    </row>
    <row r="35" spans="2:16">
      <c r="B35" s="32" t="s">
        <v>115</v>
      </c>
      <c r="C35" s="272">
        <v>2005</v>
      </c>
      <c r="D35" s="313">
        <v>30</v>
      </c>
      <c r="E35" s="321">
        <v>0.46</v>
      </c>
      <c r="F35" s="315">
        <v>2201</v>
      </c>
      <c r="G35" s="316">
        <v>0.53</v>
      </c>
      <c r="H35" s="317"/>
      <c r="I35" s="310">
        <f t="shared" si="1"/>
        <v>4561.8433884083697</v>
      </c>
      <c r="J35" s="418">
        <f t="shared" si="2"/>
        <v>9140.4046083923458</v>
      </c>
      <c r="K35" s="418">
        <f t="shared" si="3"/>
        <v>7818.9003276609228</v>
      </c>
      <c r="L35" s="311">
        <f t="shared" si="4"/>
        <v>0.71537998590949425</v>
      </c>
      <c r="M35" s="320">
        <v>-0.3</v>
      </c>
      <c r="P35" s="67" t="str">
        <f t="shared" si="0"/>
        <v>Trailer TRU &gt; 25 hp2005</v>
      </c>
    </row>
    <row r="36" spans="2:16">
      <c r="B36" s="32" t="s">
        <v>115</v>
      </c>
      <c r="C36" s="272">
        <v>2006</v>
      </c>
      <c r="D36" s="313">
        <v>30</v>
      </c>
      <c r="E36" s="321">
        <v>0.46</v>
      </c>
      <c r="F36" s="315">
        <v>2201</v>
      </c>
      <c r="G36" s="316">
        <v>0.53</v>
      </c>
      <c r="H36" s="317"/>
      <c r="I36" s="310">
        <f t="shared" si="1"/>
        <v>4561.8433884083697</v>
      </c>
      <c r="J36" s="418">
        <f t="shared" si="2"/>
        <v>9140.4046083923458</v>
      </c>
      <c r="K36" s="418">
        <f t="shared" si="3"/>
        <v>7818.9003276609228</v>
      </c>
      <c r="L36" s="311">
        <f t="shared" si="4"/>
        <v>0.71537998590949425</v>
      </c>
      <c r="M36" s="320">
        <v>-0.3</v>
      </c>
      <c r="P36" s="67" t="str">
        <f t="shared" si="0"/>
        <v>Trailer TRU &gt; 25 hp2006</v>
      </c>
    </row>
    <row r="37" spans="2:16">
      <c r="B37" s="32" t="s">
        <v>115</v>
      </c>
      <c r="C37" s="272">
        <v>2007</v>
      </c>
      <c r="D37" s="313">
        <v>30</v>
      </c>
      <c r="E37" s="321">
        <v>0.46</v>
      </c>
      <c r="F37" s="315">
        <v>2201</v>
      </c>
      <c r="G37" s="316">
        <v>0.53</v>
      </c>
      <c r="H37" s="317"/>
      <c r="I37" s="310">
        <f t="shared" si="1"/>
        <v>4561.8433884083697</v>
      </c>
      <c r="J37" s="418">
        <f t="shared" si="2"/>
        <v>9140.4046083923458</v>
      </c>
      <c r="K37" s="418">
        <f t="shared" si="3"/>
        <v>7818.9003276609228</v>
      </c>
      <c r="L37" s="311">
        <f t="shared" si="4"/>
        <v>0.71537998590949425</v>
      </c>
      <c r="M37" s="320">
        <v>-0.3</v>
      </c>
      <c r="P37" s="67" t="str">
        <f t="shared" si="0"/>
        <v>Trailer TRU &gt; 25 hp2007</v>
      </c>
    </row>
    <row r="38" spans="2:16">
      <c r="B38" s="32" t="s">
        <v>115</v>
      </c>
      <c r="C38" s="272">
        <v>2008</v>
      </c>
      <c r="D38" s="313">
        <v>30</v>
      </c>
      <c r="E38" s="321">
        <v>0.46</v>
      </c>
      <c r="F38" s="315">
        <v>2201</v>
      </c>
      <c r="G38" s="316">
        <v>0.53</v>
      </c>
      <c r="H38" s="317"/>
      <c r="I38" s="310">
        <f t="shared" si="1"/>
        <v>4561.8433884083697</v>
      </c>
      <c r="J38" s="418">
        <f t="shared" si="2"/>
        <v>9140.4046083923458</v>
      </c>
      <c r="K38" s="418">
        <f t="shared" si="3"/>
        <v>7818.9003276609228</v>
      </c>
      <c r="L38" s="311">
        <f t="shared" si="4"/>
        <v>0.71537998590949425</v>
      </c>
      <c r="M38" s="320">
        <v>-0.3</v>
      </c>
      <c r="P38" s="67" t="str">
        <f t="shared" si="0"/>
        <v>Trailer TRU &gt; 25 hp2008</v>
      </c>
    </row>
    <row r="39" spans="2:16">
      <c r="B39" s="32" t="s">
        <v>115</v>
      </c>
      <c r="C39" s="272">
        <v>2009</v>
      </c>
      <c r="D39" s="313">
        <v>30</v>
      </c>
      <c r="E39" s="321">
        <v>0.46</v>
      </c>
      <c r="F39" s="315">
        <v>2201</v>
      </c>
      <c r="G39" s="316">
        <v>0.53</v>
      </c>
      <c r="H39" s="317"/>
      <c r="I39" s="310">
        <f t="shared" si="1"/>
        <v>4561.8433884083697</v>
      </c>
      <c r="J39" s="418">
        <f t="shared" si="2"/>
        <v>9140.4046083923458</v>
      </c>
      <c r="K39" s="418">
        <f t="shared" si="3"/>
        <v>7818.9003276609228</v>
      </c>
      <c r="L39" s="311">
        <f t="shared" si="4"/>
        <v>0.71537998590949425</v>
      </c>
      <c r="M39" s="320">
        <v>-0.3</v>
      </c>
      <c r="P39" s="67" t="str">
        <f t="shared" si="0"/>
        <v>Trailer TRU &gt; 25 hp2009</v>
      </c>
    </row>
    <row r="40" spans="2:16">
      <c r="B40" s="32" t="s">
        <v>115</v>
      </c>
      <c r="C40" s="272">
        <v>2010</v>
      </c>
      <c r="D40" s="313">
        <v>30</v>
      </c>
      <c r="E40" s="321">
        <v>0.46</v>
      </c>
      <c r="F40" s="315">
        <v>2201</v>
      </c>
      <c r="G40" s="316">
        <v>0.53</v>
      </c>
      <c r="H40" s="317"/>
      <c r="I40" s="310">
        <f t="shared" si="1"/>
        <v>4561.8433884083697</v>
      </c>
      <c r="J40" s="418">
        <f t="shared" si="2"/>
        <v>9140.4046083923458</v>
      </c>
      <c r="K40" s="418">
        <f t="shared" si="3"/>
        <v>7818.9003276609228</v>
      </c>
      <c r="L40" s="311">
        <f t="shared" si="4"/>
        <v>0.71537998590949425</v>
      </c>
      <c r="M40" s="320">
        <v>-0.3</v>
      </c>
      <c r="P40" s="67" t="str">
        <f t="shared" si="0"/>
        <v>Trailer TRU &gt; 25 hp2010</v>
      </c>
    </row>
    <row r="41" spans="2:16">
      <c r="B41" s="32" t="s">
        <v>115</v>
      </c>
      <c r="C41" s="272">
        <v>2011</v>
      </c>
      <c r="D41" s="313">
        <v>30</v>
      </c>
      <c r="E41" s="321">
        <v>0.46</v>
      </c>
      <c r="F41" s="315">
        <v>2201</v>
      </c>
      <c r="G41" s="316">
        <v>0.53</v>
      </c>
      <c r="H41" s="317"/>
      <c r="I41" s="310">
        <f t="shared" si="1"/>
        <v>4561.8433884083697</v>
      </c>
      <c r="J41" s="418">
        <f t="shared" si="2"/>
        <v>9140.4046083923458</v>
      </c>
      <c r="K41" s="418">
        <f t="shared" si="3"/>
        <v>7818.9003276609228</v>
      </c>
      <c r="L41" s="311">
        <f t="shared" si="4"/>
        <v>0.71537998590949425</v>
      </c>
      <c r="M41" s="320">
        <v>-0.3</v>
      </c>
      <c r="P41" s="67" t="str">
        <f t="shared" si="0"/>
        <v>Trailer TRU &gt; 25 hp2011</v>
      </c>
    </row>
    <row r="42" spans="2:16">
      <c r="B42" s="32" t="s">
        <v>115</v>
      </c>
      <c r="C42" s="272">
        <v>2012</v>
      </c>
      <c r="D42" s="313">
        <v>30</v>
      </c>
      <c r="E42" s="321">
        <v>0.46</v>
      </c>
      <c r="F42" s="315">
        <v>2201</v>
      </c>
      <c r="G42" s="316">
        <v>0.53</v>
      </c>
      <c r="H42" s="317"/>
      <c r="I42" s="310">
        <f t="shared" si="1"/>
        <v>4561.8433884083697</v>
      </c>
      <c r="J42" s="418">
        <f t="shared" si="2"/>
        <v>9140.4046083923458</v>
      </c>
      <c r="K42" s="418">
        <f t="shared" si="3"/>
        <v>7818.9003276609228</v>
      </c>
      <c r="L42" s="311">
        <f t="shared" si="4"/>
        <v>0.71537998590949425</v>
      </c>
      <c r="M42" s="320">
        <v>-0.3</v>
      </c>
      <c r="P42" s="67" t="str">
        <f t="shared" si="0"/>
        <v>Trailer TRU &gt; 25 hp2012</v>
      </c>
    </row>
    <row r="43" spans="2:16">
      <c r="B43" s="32" t="s">
        <v>115</v>
      </c>
      <c r="C43" s="272">
        <v>2013</v>
      </c>
      <c r="D43" s="313">
        <v>30</v>
      </c>
      <c r="E43" s="321">
        <v>0.38</v>
      </c>
      <c r="F43" s="315">
        <v>2201</v>
      </c>
      <c r="G43" s="316">
        <v>0.53</v>
      </c>
      <c r="H43" s="317"/>
      <c r="I43" s="310">
        <f t="shared" si="1"/>
        <v>4561.8433884083697</v>
      </c>
      <c r="J43" s="418">
        <f t="shared" si="2"/>
        <v>9140.4046083923458</v>
      </c>
      <c r="K43" s="418">
        <f t="shared" si="3"/>
        <v>7818.9003276609228</v>
      </c>
      <c r="L43" s="311">
        <f t="shared" si="4"/>
        <v>0.71537998590949425</v>
      </c>
      <c r="M43" s="320">
        <v>-0.3</v>
      </c>
      <c r="P43" s="67" t="str">
        <f t="shared" si="0"/>
        <v>Trailer TRU &gt; 25 hp2013</v>
      </c>
    </row>
    <row r="44" spans="2:16">
      <c r="B44" s="32" t="s">
        <v>115</v>
      </c>
      <c r="C44" s="272">
        <v>2014</v>
      </c>
      <c r="D44" s="313">
        <v>30</v>
      </c>
      <c r="E44" s="321">
        <v>0.38</v>
      </c>
      <c r="F44" s="315">
        <v>2201</v>
      </c>
      <c r="G44" s="316">
        <v>0.53</v>
      </c>
      <c r="H44" s="317"/>
      <c r="I44" s="310">
        <f t="shared" si="1"/>
        <v>4561.8433884083697</v>
      </c>
      <c r="J44" s="418">
        <f t="shared" si="2"/>
        <v>9140.4046083923458</v>
      </c>
      <c r="K44" s="418">
        <f t="shared" si="3"/>
        <v>7818.9003276609228</v>
      </c>
      <c r="L44" s="311">
        <f t="shared" si="4"/>
        <v>0.71537998590949425</v>
      </c>
      <c r="M44" s="320">
        <v>-0.3</v>
      </c>
      <c r="P44" s="67" t="str">
        <f t="shared" si="0"/>
        <v>Trailer TRU &gt; 25 hp2014</v>
      </c>
    </row>
    <row r="45" spans="2:16">
      <c r="B45" s="32" t="s">
        <v>115</v>
      </c>
      <c r="C45" s="272">
        <v>2015</v>
      </c>
      <c r="D45" s="313">
        <v>30</v>
      </c>
      <c r="E45" s="321">
        <v>0.38</v>
      </c>
      <c r="F45" s="315">
        <v>2201</v>
      </c>
      <c r="G45" s="316">
        <v>0.53</v>
      </c>
      <c r="H45" s="317"/>
      <c r="I45" s="310">
        <f t="shared" si="1"/>
        <v>4561.8433884083697</v>
      </c>
      <c r="J45" s="418">
        <f t="shared" si="2"/>
        <v>9140.4046083923458</v>
      </c>
      <c r="K45" s="418">
        <f t="shared" si="3"/>
        <v>7818.9003276609228</v>
      </c>
      <c r="L45" s="311">
        <f t="shared" si="4"/>
        <v>0.71537998590949425</v>
      </c>
      <c r="M45" s="320">
        <v>-0.3</v>
      </c>
      <c r="P45" s="67" t="str">
        <f t="shared" si="0"/>
        <v>Trailer TRU &gt; 25 hp2015</v>
      </c>
    </row>
    <row r="46" spans="2:16">
      <c r="B46" s="32" t="s">
        <v>115</v>
      </c>
      <c r="C46" s="272">
        <v>2016</v>
      </c>
      <c r="D46" s="313">
        <v>30</v>
      </c>
      <c r="E46" s="321">
        <v>0.38</v>
      </c>
      <c r="F46" s="315">
        <v>2201</v>
      </c>
      <c r="G46" s="316">
        <v>0.53</v>
      </c>
      <c r="H46" s="317"/>
      <c r="I46" s="310">
        <f t="shared" si="1"/>
        <v>4561.8433884083697</v>
      </c>
      <c r="J46" s="418">
        <f t="shared" si="2"/>
        <v>9140.4046083923458</v>
      </c>
      <c r="K46" s="418">
        <f t="shared" si="3"/>
        <v>7818.9003276609228</v>
      </c>
      <c r="L46" s="311">
        <f t="shared" si="4"/>
        <v>0.71537998590949425</v>
      </c>
      <c r="M46" s="320">
        <v>-0.3</v>
      </c>
      <c r="P46" s="67" t="str">
        <f t="shared" si="0"/>
        <v>Trailer TRU &gt; 25 hp2016</v>
      </c>
    </row>
    <row r="47" spans="2:16">
      <c r="B47" s="32" t="s">
        <v>115</v>
      </c>
      <c r="C47" s="272">
        <v>2017</v>
      </c>
      <c r="D47" s="313">
        <v>30</v>
      </c>
      <c r="E47" s="321">
        <v>0.38</v>
      </c>
      <c r="F47" s="315">
        <v>2201</v>
      </c>
      <c r="G47" s="316">
        <v>0.53</v>
      </c>
      <c r="H47" s="317"/>
      <c r="I47" s="310">
        <f t="shared" si="1"/>
        <v>4561.8433884083697</v>
      </c>
      <c r="J47" s="418">
        <f t="shared" si="2"/>
        <v>9140.4046083923458</v>
      </c>
      <c r="K47" s="418">
        <f t="shared" si="3"/>
        <v>7818.9003276609228</v>
      </c>
      <c r="L47" s="311">
        <f t="shared" si="4"/>
        <v>0.71537998590949425</v>
      </c>
      <c r="M47" s="320">
        <v>-0.3</v>
      </c>
      <c r="P47" s="67" t="str">
        <f t="shared" si="0"/>
        <v>Trailer TRU &gt; 25 hp2017</v>
      </c>
    </row>
    <row r="48" spans="2:16">
      <c r="B48" s="32" t="s">
        <v>115</v>
      </c>
      <c r="C48" s="272">
        <v>2018</v>
      </c>
      <c r="D48" s="313">
        <v>30</v>
      </c>
      <c r="E48" s="321">
        <v>0.38</v>
      </c>
      <c r="F48" s="315">
        <v>2201</v>
      </c>
      <c r="G48" s="316">
        <v>0.53</v>
      </c>
      <c r="H48" s="317"/>
      <c r="I48" s="310">
        <f t="shared" si="1"/>
        <v>4561.8433884083697</v>
      </c>
      <c r="J48" s="418">
        <f t="shared" si="2"/>
        <v>9140.4046083923458</v>
      </c>
      <c r="K48" s="418">
        <f t="shared" si="3"/>
        <v>7818.9003276609228</v>
      </c>
      <c r="L48" s="311">
        <f t="shared" si="4"/>
        <v>0.71537998590949425</v>
      </c>
      <c r="M48" s="320">
        <v>-0.3</v>
      </c>
      <c r="P48" s="67" t="str">
        <f t="shared" si="0"/>
        <v>Trailer TRU &gt; 25 hp2018</v>
      </c>
    </row>
    <row r="49" spans="2:17">
      <c r="B49" s="32" t="s">
        <v>115</v>
      </c>
      <c r="C49" s="272">
        <v>2019</v>
      </c>
      <c r="D49" s="313">
        <v>30</v>
      </c>
      <c r="E49" s="321">
        <v>0.38</v>
      </c>
      <c r="F49" s="315">
        <v>2201</v>
      </c>
      <c r="G49" s="316">
        <v>0.53</v>
      </c>
      <c r="H49" s="317"/>
      <c r="I49" s="310">
        <f t="shared" si="1"/>
        <v>4561.8433884083697</v>
      </c>
      <c r="J49" s="418">
        <f t="shared" si="2"/>
        <v>9140.4046083923458</v>
      </c>
      <c r="K49" s="418">
        <f t="shared" si="3"/>
        <v>7818.9003276609228</v>
      </c>
      <c r="L49" s="311">
        <f t="shared" si="4"/>
        <v>0.71537998590949425</v>
      </c>
      <c r="M49" s="320">
        <v>-0.3</v>
      </c>
      <c r="P49" s="67" t="str">
        <f t="shared" si="0"/>
        <v>Trailer TRU &gt; 25 hp2019</v>
      </c>
    </row>
    <row r="50" spans="2:17">
      <c r="B50" s="32" t="s">
        <v>115</v>
      </c>
      <c r="C50" s="272">
        <v>2020</v>
      </c>
      <c r="D50" s="313">
        <v>30</v>
      </c>
      <c r="E50" s="321">
        <v>0.38</v>
      </c>
      <c r="F50" s="315">
        <v>2201</v>
      </c>
      <c r="G50" s="316">
        <v>0.53</v>
      </c>
      <c r="H50" s="317"/>
      <c r="I50" s="310">
        <f t="shared" si="1"/>
        <v>4561.8433884083697</v>
      </c>
      <c r="J50" s="418">
        <f t="shared" si="2"/>
        <v>9140.4046083923458</v>
      </c>
      <c r="K50" s="418">
        <f t="shared" si="3"/>
        <v>7818.9003276609228</v>
      </c>
      <c r="L50" s="311">
        <f t="shared" si="4"/>
        <v>0.71537998590949425</v>
      </c>
      <c r="M50" s="320">
        <v>-0.3</v>
      </c>
      <c r="P50" s="67" t="str">
        <f t="shared" si="0"/>
        <v>Trailer TRU &gt; 25 hp2020</v>
      </c>
    </row>
    <row r="51" spans="2:17">
      <c r="B51" s="32" t="s">
        <v>115</v>
      </c>
      <c r="C51" s="272">
        <v>2021</v>
      </c>
      <c r="D51" s="313">
        <v>30</v>
      </c>
      <c r="E51" s="321">
        <v>0.38</v>
      </c>
      <c r="F51" s="315">
        <v>2201</v>
      </c>
      <c r="G51" s="316">
        <v>0.53</v>
      </c>
      <c r="H51" s="317"/>
      <c r="I51" s="310">
        <f t="shared" si="1"/>
        <v>4561.8433884083697</v>
      </c>
      <c r="J51" s="418">
        <f t="shared" si="2"/>
        <v>9140.4046083923458</v>
      </c>
      <c r="K51" s="418">
        <f t="shared" si="3"/>
        <v>7818.9003276609228</v>
      </c>
      <c r="L51" s="311">
        <f t="shared" si="4"/>
        <v>0.71537998590949425</v>
      </c>
      <c r="M51" s="320">
        <v>-0.3</v>
      </c>
      <c r="P51" s="67" t="str">
        <f t="shared" si="0"/>
        <v>Trailer TRU &gt; 25 hp2021</v>
      </c>
    </row>
    <row r="52" spans="2:17">
      <c r="B52" s="32" t="s">
        <v>116</v>
      </c>
      <c r="C52" s="37" t="s">
        <v>311</v>
      </c>
      <c r="D52" s="313">
        <v>12</v>
      </c>
      <c r="E52" s="321">
        <v>0.56000000000000005</v>
      </c>
      <c r="F52" s="315">
        <v>1360</v>
      </c>
      <c r="G52" s="316">
        <v>0.5</v>
      </c>
      <c r="H52" s="317"/>
      <c r="I52" s="318">
        <f>580*References!$B$38/References!$B$36</f>
        <v>601.33390119928504</v>
      </c>
      <c r="J52" s="418">
        <v>5553</v>
      </c>
      <c r="K52" s="418">
        <v>4221</v>
      </c>
      <c r="L52" s="319">
        <f>0.19*References!$B$38/References!$B$36</f>
        <v>0.19698869177217962</v>
      </c>
      <c r="M52" s="320">
        <v>-0.3</v>
      </c>
      <c r="P52" s="67" t="str">
        <f t="shared" si="0"/>
        <v>Truck TRUPre-2000</v>
      </c>
    </row>
    <row r="53" spans="2:17">
      <c r="B53" s="32" t="s">
        <v>116</v>
      </c>
      <c r="C53" s="275">
        <v>2000</v>
      </c>
      <c r="D53" s="313">
        <v>12</v>
      </c>
      <c r="E53" s="321">
        <v>0.56000000000000005</v>
      </c>
      <c r="F53" s="315">
        <v>1360</v>
      </c>
      <c r="G53" s="316">
        <v>0.5</v>
      </c>
      <c r="H53" s="317"/>
      <c r="I53" s="318">
        <f>I52</f>
        <v>601.33390119928504</v>
      </c>
      <c r="J53" s="418">
        <v>5553</v>
      </c>
      <c r="K53" s="418">
        <v>4221</v>
      </c>
      <c r="L53" s="319">
        <f>L52</f>
        <v>0.19698869177217962</v>
      </c>
      <c r="M53" s="320">
        <v>-0.3</v>
      </c>
      <c r="P53" s="67"/>
      <c r="Q53" s="367"/>
    </row>
    <row r="54" spans="2:17">
      <c r="B54" s="32" t="s">
        <v>116</v>
      </c>
      <c r="C54" s="272">
        <v>2001</v>
      </c>
      <c r="D54" s="313">
        <v>12</v>
      </c>
      <c r="E54" s="321">
        <v>0.56000000000000005</v>
      </c>
      <c r="F54" s="315">
        <v>1360</v>
      </c>
      <c r="G54" s="316">
        <v>0.5</v>
      </c>
      <c r="H54" s="317"/>
      <c r="I54" s="318">
        <f t="shared" ref="I54:I74" si="5">I53</f>
        <v>601.33390119928504</v>
      </c>
      <c r="J54" s="418">
        <v>5553</v>
      </c>
      <c r="K54" s="418">
        <v>4221</v>
      </c>
      <c r="L54" s="319">
        <f t="shared" ref="L54:L74" si="6">L53</f>
        <v>0.19698869177217962</v>
      </c>
      <c r="M54" s="320">
        <v>-0.3</v>
      </c>
      <c r="P54" s="67"/>
    </row>
    <row r="55" spans="2:17">
      <c r="B55" s="32" t="s">
        <v>116</v>
      </c>
      <c r="C55" s="272">
        <v>2002</v>
      </c>
      <c r="D55" s="313">
        <v>12</v>
      </c>
      <c r="E55" s="321">
        <v>0.56000000000000005</v>
      </c>
      <c r="F55" s="315">
        <v>1360</v>
      </c>
      <c r="G55" s="316">
        <v>0.5</v>
      </c>
      <c r="H55" s="317"/>
      <c r="I55" s="318">
        <f t="shared" si="5"/>
        <v>601.33390119928504</v>
      </c>
      <c r="J55" s="418">
        <v>5553</v>
      </c>
      <c r="K55" s="418">
        <v>4221</v>
      </c>
      <c r="L55" s="319">
        <f t="shared" si="6"/>
        <v>0.19698869177217962</v>
      </c>
      <c r="M55" s="320">
        <v>-0.3</v>
      </c>
      <c r="P55" s="67"/>
    </row>
    <row r="56" spans="2:17">
      <c r="B56" s="32" t="s">
        <v>116</v>
      </c>
      <c r="C56" s="272">
        <v>2003</v>
      </c>
      <c r="D56" s="313">
        <v>12</v>
      </c>
      <c r="E56" s="321">
        <v>0.56000000000000005</v>
      </c>
      <c r="F56" s="315">
        <v>1360</v>
      </c>
      <c r="G56" s="316">
        <v>0.5</v>
      </c>
      <c r="H56" s="317"/>
      <c r="I56" s="318">
        <f t="shared" si="5"/>
        <v>601.33390119928504</v>
      </c>
      <c r="J56" s="418">
        <v>5553</v>
      </c>
      <c r="K56" s="418">
        <v>4221</v>
      </c>
      <c r="L56" s="319">
        <f t="shared" si="6"/>
        <v>0.19698869177217962</v>
      </c>
      <c r="M56" s="320">
        <v>-0.3</v>
      </c>
      <c r="P56" s="67" t="str">
        <f t="shared" si="0"/>
        <v>Truck TRU2003</v>
      </c>
    </row>
    <row r="57" spans="2:17">
      <c r="B57" s="32" t="s">
        <v>116</v>
      </c>
      <c r="C57" s="272">
        <v>2004</v>
      </c>
      <c r="D57" s="313">
        <v>12</v>
      </c>
      <c r="E57" s="321">
        <v>0.56000000000000005</v>
      </c>
      <c r="F57" s="315">
        <v>1360</v>
      </c>
      <c r="G57" s="316">
        <v>0.5</v>
      </c>
      <c r="H57" s="317"/>
      <c r="I57" s="318">
        <f t="shared" si="5"/>
        <v>601.33390119928504</v>
      </c>
      <c r="J57" s="418">
        <v>5553</v>
      </c>
      <c r="K57" s="418">
        <v>4221</v>
      </c>
      <c r="L57" s="319">
        <f t="shared" si="6"/>
        <v>0.19698869177217962</v>
      </c>
      <c r="M57" s="320">
        <v>-0.3</v>
      </c>
      <c r="P57" s="67" t="str">
        <f t="shared" si="0"/>
        <v>Truck TRU2004</v>
      </c>
    </row>
    <row r="58" spans="2:17">
      <c r="B58" s="32" t="s">
        <v>116</v>
      </c>
      <c r="C58" s="272">
        <v>2005</v>
      </c>
      <c r="D58" s="313">
        <v>12</v>
      </c>
      <c r="E58" s="321">
        <v>0.56000000000000005</v>
      </c>
      <c r="F58" s="315">
        <v>1360</v>
      </c>
      <c r="G58" s="316">
        <v>0.5</v>
      </c>
      <c r="H58" s="317"/>
      <c r="I58" s="318">
        <f t="shared" si="5"/>
        <v>601.33390119928504</v>
      </c>
      <c r="J58" s="418">
        <v>5553</v>
      </c>
      <c r="K58" s="418">
        <v>4221</v>
      </c>
      <c r="L58" s="319">
        <f t="shared" si="6"/>
        <v>0.19698869177217962</v>
      </c>
      <c r="M58" s="320">
        <v>-0.3</v>
      </c>
      <c r="P58" s="67" t="str">
        <f t="shared" si="0"/>
        <v>Truck TRU2005</v>
      </c>
    </row>
    <row r="59" spans="2:17">
      <c r="B59" s="32" t="s">
        <v>116</v>
      </c>
      <c r="C59" s="272">
        <v>2006</v>
      </c>
      <c r="D59" s="313">
        <v>12</v>
      </c>
      <c r="E59" s="321">
        <v>0.56000000000000005</v>
      </c>
      <c r="F59" s="315">
        <v>1360</v>
      </c>
      <c r="G59" s="316">
        <v>0.5</v>
      </c>
      <c r="H59" s="317"/>
      <c r="I59" s="318">
        <f t="shared" si="5"/>
        <v>601.33390119928504</v>
      </c>
      <c r="J59" s="418">
        <v>5553</v>
      </c>
      <c r="K59" s="418">
        <v>4221</v>
      </c>
      <c r="L59" s="319">
        <f t="shared" si="6"/>
        <v>0.19698869177217962</v>
      </c>
      <c r="M59" s="320">
        <v>-0.3</v>
      </c>
      <c r="P59" s="67" t="str">
        <f t="shared" si="0"/>
        <v>Truck TRU2006</v>
      </c>
    </row>
    <row r="60" spans="2:17">
      <c r="B60" s="32" t="s">
        <v>116</v>
      </c>
      <c r="C60" s="272">
        <v>2007</v>
      </c>
      <c r="D60" s="313">
        <v>12</v>
      </c>
      <c r="E60" s="321">
        <v>0.56000000000000005</v>
      </c>
      <c r="F60" s="315">
        <v>1360</v>
      </c>
      <c r="G60" s="316">
        <v>0.5</v>
      </c>
      <c r="H60" s="317"/>
      <c r="I60" s="318">
        <f t="shared" si="5"/>
        <v>601.33390119928504</v>
      </c>
      <c r="J60" s="418">
        <v>5553</v>
      </c>
      <c r="K60" s="418">
        <v>4221</v>
      </c>
      <c r="L60" s="319">
        <f t="shared" si="6"/>
        <v>0.19698869177217962</v>
      </c>
      <c r="M60" s="320">
        <v>-0.3</v>
      </c>
      <c r="P60" s="67" t="str">
        <f t="shared" si="0"/>
        <v>Truck TRU2007</v>
      </c>
    </row>
    <row r="61" spans="2:17">
      <c r="B61" s="32" t="s">
        <v>116</v>
      </c>
      <c r="C61" s="272">
        <v>2008</v>
      </c>
      <c r="D61" s="313">
        <v>12</v>
      </c>
      <c r="E61" s="321">
        <v>0.56000000000000005</v>
      </c>
      <c r="F61" s="315">
        <v>1360</v>
      </c>
      <c r="G61" s="316">
        <v>0.5</v>
      </c>
      <c r="H61" s="317"/>
      <c r="I61" s="318">
        <f t="shared" si="5"/>
        <v>601.33390119928504</v>
      </c>
      <c r="J61" s="418">
        <v>5553</v>
      </c>
      <c r="K61" s="418">
        <v>4221</v>
      </c>
      <c r="L61" s="319">
        <f t="shared" si="6"/>
        <v>0.19698869177217962</v>
      </c>
      <c r="M61" s="320">
        <v>-0.3</v>
      </c>
      <c r="P61" s="67" t="str">
        <f t="shared" si="0"/>
        <v>Truck TRU2008</v>
      </c>
    </row>
    <row r="62" spans="2:17">
      <c r="B62" s="32" t="s">
        <v>116</v>
      </c>
      <c r="C62" s="272">
        <v>2009</v>
      </c>
      <c r="D62" s="313">
        <v>12</v>
      </c>
      <c r="E62" s="321">
        <v>0.56000000000000005</v>
      </c>
      <c r="F62" s="315">
        <v>1360</v>
      </c>
      <c r="G62" s="316">
        <v>0.5</v>
      </c>
      <c r="H62" s="317"/>
      <c r="I62" s="318">
        <f t="shared" si="5"/>
        <v>601.33390119928504</v>
      </c>
      <c r="J62" s="418">
        <v>5553</v>
      </c>
      <c r="K62" s="418">
        <v>4221</v>
      </c>
      <c r="L62" s="319">
        <f t="shared" si="6"/>
        <v>0.19698869177217962</v>
      </c>
      <c r="M62" s="320">
        <v>-0.3</v>
      </c>
      <c r="P62" s="67" t="str">
        <f t="shared" si="0"/>
        <v>Truck TRU2009</v>
      </c>
    </row>
    <row r="63" spans="2:17">
      <c r="B63" s="32" t="s">
        <v>116</v>
      </c>
      <c r="C63" s="272">
        <v>2010</v>
      </c>
      <c r="D63" s="313">
        <v>12</v>
      </c>
      <c r="E63" s="321">
        <v>0.56000000000000005</v>
      </c>
      <c r="F63" s="315">
        <v>1360</v>
      </c>
      <c r="G63" s="316">
        <v>0.5</v>
      </c>
      <c r="H63" s="317"/>
      <c r="I63" s="318">
        <f t="shared" si="5"/>
        <v>601.33390119928504</v>
      </c>
      <c r="J63" s="418">
        <v>5553</v>
      </c>
      <c r="K63" s="418">
        <v>4221</v>
      </c>
      <c r="L63" s="319">
        <f t="shared" si="6"/>
        <v>0.19698869177217962</v>
      </c>
      <c r="M63" s="320">
        <v>-0.3</v>
      </c>
      <c r="P63" s="67" t="str">
        <f t="shared" si="0"/>
        <v>Truck TRU2010</v>
      </c>
    </row>
    <row r="64" spans="2:17">
      <c r="B64" s="32" t="s">
        <v>116</v>
      </c>
      <c r="C64" s="272">
        <v>2011</v>
      </c>
      <c r="D64" s="313">
        <v>12</v>
      </c>
      <c r="E64" s="321">
        <v>0.56000000000000005</v>
      </c>
      <c r="F64" s="315">
        <v>1360</v>
      </c>
      <c r="G64" s="316">
        <v>0.5</v>
      </c>
      <c r="H64" s="317"/>
      <c r="I64" s="318">
        <f t="shared" si="5"/>
        <v>601.33390119928504</v>
      </c>
      <c r="J64" s="418">
        <v>5553</v>
      </c>
      <c r="K64" s="418">
        <v>4221</v>
      </c>
      <c r="L64" s="319">
        <f t="shared" si="6"/>
        <v>0.19698869177217962</v>
      </c>
      <c r="M64" s="320">
        <v>-0.3</v>
      </c>
      <c r="P64" s="67" t="str">
        <f t="shared" si="0"/>
        <v>Truck TRU2011</v>
      </c>
    </row>
    <row r="65" spans="1:19">
      <c r="B65" s="32" t="s">
        <v>116</v>
      </c>
      <c r="C65" s="272">
        <v>2012</v>
      </c>
      <c r="D65" s="313">
        <v>12</v>
      </c>
      <c r="E65" s="321">
        <v>0.56000000000000005</v>
      </c>
      <c r="F65" s="315">
        <v>1360</v>
      </c>
      <c r="G65" s="316">
        <v>0.5</v>
      </c>
      <c r="H65" s="317"/>
      <c r="I65" s="318">
        <f t="shared" si="5"/>
        <v>601.33390119928504</v>
      </c>
      <c r="J65" s="418">
        <v>5553</v>
      </c>
      <c r="K65" s="418">
        <v>4221</v>
      </c>
      <c r="L65" s="319">
        <f t="shared" si="6"/>
        <v>0.19698869177217962</v>
      </c>
      <c r="M65" s="320">
        <v>-0.3</v>
      </c>
      <c r="P65" s="67" t="str">
        <f t="shared" si="0"/>
        <v>Truck TRU2012</v>
      </c>
    </row>
    <row r="66" spans="1:19">
      <c r="B66" s="32" t="s">
        <v>116</v>
      </c>
      <c r="C66" s="272">
        <v>2013</v>
      </c>
      <c r="D66" s="313">
        <v>12</v>
      </c>
      <c r="E66" s="321">
        <v>0.56000000000000005</v>
      </c>
      <c r="F66" s="315">
        <v>1360</v>
      </c>
      <c r="G66" s="316">
        <v>0.5</v>
      </c>
      <c r="H66" s="317"/>
      <c r="I66" s="318">
        <f t="shared" si="5"/>
        <v>601.33390119928504</v>
      </c>
      <c r="J66" s="418">
        <v>5553</v>
      </c>
      <c r="K66" s="418">
        <v>4221</v>
      </c>
      <c r="L66" s="319">
        <f t="shared" si="6"/>
        <v>0.19698869177217962</v>
      </c>
      <c r="M66" s="320">
        <v>-0.3</v>
      </c>
      <c r="P66" s="67" t="str">
        <f t="shared" si="0"/>
        <v>Truck TRU2013</v>
      </c>
    </row>
    <row r="67" spans="1:19">
      <c r="B67" s="32" t="s">
        <v>116</v>
      </c>
      <c r="C67" s="272">
        <v>2014</v>
      </c>
      <c r="D67" s="313">
        <v>12</v>
      </c>
      <c r="E67" s="321">
        <v>0.56000000000000005</v>
      </c>
      <c r="F67" s="315">
        <v>1360</v>
      </c>
      <c r="G67" s="316">
        <v>0.5</v>
      </c>
      <c r="H67" s="317"/>
      <c r="I67" s="318">
        <f t="shared" si="5"/>
        <v>601.33390119928504</v>
      </c>
      <c r="J67" s="418">
        <v>5553</v>
      </c>
      <c r="K67" s="418">
        <v>4221</v>
      </c>
      <c r="L67" s="319">
        <f t="shared" si="6"/>
        <v>0.19698869177217962</v>
      </c>
      <c r="M67" s="320">
        <v>-0.3</v>
      </c>
      <c r="P67" s="67" t="str">
        <f t="shared" si="0"/>
        <v>Truck TRU2014</v>
      </c>
    </row>
    <row r="68" spans="1:19">
      <c r="B68" s="32" t="s">
        <v>116</v>
      </c>
      <c r="C68" s="272">
        <v>2015</v>
      </c>
      <c r="D68" s="313">
        <v>12</v>
      </c>
      <c r="E68" s="321">
        <v>0.56000000000000005</v>
      </c>
      <c r="F68" s="315">
        <v>1360</v>
      </c>
      <c r="G68" s="316">
        <v>0.5</v>
      </c>
      <c r="H68" s="317"/>
      <c r="I68" s="318">
        <f t="shared" si="5"/>
        <v>601.33390119928504</v>
      </c>
      <c r="J68" s="418">
        <v>5553</v>
      </c>
      <c r="K68" s="418">
        <v>4221</v>
      </c>
      <c r="L68" s="319">
        <f t="shared" si="6"/>
        <v>0.19698869177217962</v>
      </c>
      <c r="M68" s="320">
        <v>-0.3</v>
      </c>
      <c r="P68" s="67" t="str">
        <f t="shared" ref="P68:P74" si="7">B68&amp;C68</f>
        <v>Truck TRU2015</v>
      </c>
    </row>
    <row r="69" spans="1:19">
      <c r="B69" s="32" t="s">
        <v>116</v>
      </c>
      <c r="C69" s="272">
        <v>2016</v>
      </c>
      <c r="D69" s="313">
        <v>12</v>
      </c>
      <c r="E69" s="321">
        <v>0.56000000000000005</v>
      </c>
      <c r="F69" s="315">
        <v>1360</v>
      </c>
      <c r="G69" s="316">
        <v>0.5</v>
      </c>
      <c r="H69" s="317"/>
      <c r="I69" s="318">
        <f t="shared" si="5"/>
        <v>601.33390119928504</v>
      </c>
      <c r="J69" s="418">
        <v>5553</v>
      </c>
      <c r="K69" s="418">
        <v>4221</v>
      </c>
      <c r="L69" s="319">
        <f t="shared" si="6"/>
        <v>0.19698869177217962</v>
      </c>
      <c r="M69" s="320">
        <v>-0.3</v>
      </c>
      <c r="P69" s="67" t="str">
        <f t="shared" si="7"/>
        <v>Truck TRU2016</v>
      </c>
    </row>
    <row r="70" spans="1:19">
      <c r="B70" s="32" t="s">
        <v>116</v>
      </c>
      <c r="C70" s="272">
        <v>2017</v>
      </c>
      <c r="D70" s="313">
        <v>12</v>
      </c>
      <c r="E70" s="321">
        <v>0.56000000000000005</v>
      </c>
      <c r="F70" s="315">
        <v>1360</v>
      </c>
      <c r="G70" s="316">
        <v>0.5</v>
      </c>
      <c r="H70" s="317"/>
      <c r="I70" s="318">
        <f t="shared" si="5"/>
        <v>601.33390119928504</v>
      </c>
      <c r="J70" s="418">
        <v>5553</v>
      </c>
      <c r="K70" s="418">
        <v>4221</v>
      </c>
      <c r="L70" s="319">
        <f t="shared" si="6"/>
        <v>0.19698869177217962</v>
      </c>
      <c r="M70" s="320">
        <v>-0.3</v>
      </c>
      <c r="P70" s="67" t="str">
        <f t="shared" si="7"/>
        <v>Truck TRU2017</v>
      </c>
    </row>
    <row r="71" spans="1:19">
      <c r="B71" s="32" t="s">
        <v>116</v>
      </c>
      <c r="C71" s="272">
        <v>2018</v>
      </c>
      <c r="D71" s="313">
        <v>12</v>
      </c>
      <c r="E71" s="321">
        <v>0.56000000000000005</v>
      </c>
      <c r="F71" s="315">
        <v>1360</v>
      </c>
      <c r="G71" s="316">
        <v>0.5</v>
      </c>
      <c r="H71" s="317"/>
      <c r="I71" s="318">
        <f t="shared" si="5"/>
        <v>601.33390119928504</v>
      </c>
      <c r="J71" s="418">
        <v>5553</v>
      </c>
      <c r="K71" s="418">
        <v>4221</v>
      </c>
      <c r="L71" s="319">
        <f t="shared" si="6"/>
        <v>0.19698869177217962</v>
      </c>
      <c r="M71" s="320">
        <v>-0.3</v>
      </c>
      <c r="P71" s="67" t="str">
        <f t="shared" si="7"/>
        <v>Truck TRU2018</v>
      </c>
    </row>
    <row r="72" spans="1:19">
      <c r="B72" s="32" t="s">
        <v>116</v>
      </c>
      <c r="C72" s="272">
        <v>2019</v>
      </c>
      <c r="D72" s="313">
        <v>12</v>
      </c>
      <c r="E72" s="321">
        <v>0.56000000000000005</v>
      </c>
      <c r="F72" s="315">
        <v>1360</v>
      </c>
      <c r="G72" s="316">
        <v>0.5</v>
      </c>
      <c r="H72" s="317"/>
      <c r="I72" s="318">
        <f t="shared" si="5"/>
        <v>601.33390119928504</v>
      </c>
      <c r="J72" s="418">
        <v>5553</v>
      </c>
      <c r="K72" s="418">
        <v>4221</v>
      </c>
      <c r="L72" s="319">
        <f t="shared" si="6"/>
        <v>0.19698869177217962</v>
      </c>
      <c r="M72" s="320">
        <v>-0.3</v>
      </c>
      <c r="P72" s="67" t="str">
        <f t="shared" si="7"/>
        <v>Truck TRU2019</v>
      </c>
    </row>
    <row r="73" spans="1:19">
      <c r="B73" s="32" t="s">
        <v>116</v>
      </c>
      <c r="C73" s="272">
        <v>2020</v>
      </c>
      <c r="D73" s="313">
        <v>12</v>
      </c>
      <c r="E73" s="321">
        <v>0.56000000000000005</v>
      </c>
      <c r="F73" s="315">
        <v>1360</v>
      </c>
      <c r="G73" s="316">
        <v>0.5</v>
      </c>
      <c r="H73" s="317"/>
      <c r="I73" s="318">
        <f t="shared" si="5"/>
        <v>601.33390119928504</v>
      </c>
      <c r="J73" s="418">
        <v>5553</v>
      </c>
      <c r="K73" s="418">
        <v>4221</v>
      </c>
      <c r="L73" s="319">
        <f t="shared" si="6"/>
        <v>0.19698869177217962</v>
      </c>
      <c r="M73" s="320">
        <v>-0.3</v>
      </c>
      <c r="P73" s="67" t="str">
        <f t="shared" si="7"/>
        <v>Truck TRU2020</v>
      </c>
    </row>
    <row r="74" spans="1:19">
      <c r="B74" s="32" t="s">
        <v>116</v>
      </c>
      <c r="C74" s="272">
        <v>2021</v>
      </c>
      <c r="D74" s="313">
        <v>12</v>
      </c>
      <c r="E74" s="321">
        <v>0.56000000000000005</v>
      </c>
      <c r="F74" s="315">
        <v>1360</v>
      </c>
      <c r="G74" s="316">
        <v>0.5</v>
      </c>
      <c r="H74" s="317"/>
      <c r="I74" s="318">
        <f t="shared" si="5"/>
        <v>601.33390119928504</v>
      </c>
      <c r="J74" s="418">
        <v>5553</v>
      </c>
      <c r="K74" s="418">
        <v>4221</v>
      </c>
      <c r="L74" s="319">
        <f t="shared" si="6"/>
        <v>0.19698869177217962</v>
      </c>
      <c r="M74" s="320">
        <v>-0.3</v>
      </c>
      <c r="P74" s="67" t="str">
        <f t="shared" si="7"/>
        <v>Truck TRU2021</v>
      </c>
    </row>
    <row r="75" spans="1:19">
      <c r="P75" s="67"/>
    </row>
    <row r="76" spans="1:19">
      <c r="B76" s="367" t="s">
        <v>257</v>
      </c>
      <c r="C76" s="73"/>
      <c r="D76" s="74"/>
      <c r="E76" s="75"/>
      <c r="F76" s="76"/>
      <c r="G76" s="77"/>
      <c r="H76" s="25"/>
      <c r="I76" s="419" t="s">
        <v>383</v>
      </c>
      <c r="J76" s="420"/>
      <c r="K76" s="420"/>
      <c r="L76" s="421"/>
      <c r="M76" s="422"/>
      <c r="N76" s="423"/>
      <c r="P76" s="67"/>
    </row>
    <row r="77" spans="1:19">
      <c r="A77" s="26"/>
      <c r="B77" s="92"/>
      <c r="I77" s="425" t="s">
        <v>416</v>
      </c>
      <c r="J77" s="423"/>
      <c r="K77" s="423"/>
      <c r="L77" s="423"/>
      <c r="M77" s="423"/>
      <c r="N77" s="423"/>
      <c r="O77" s="423"/>
      <c r="P77" s="423"/>
      <c r="Q77" s="423"/>
      <c r="R77" s="423"/>
      <c r="S77" s="423"/>
    </row>
    <row r="79" spans="1:19">
      <c r="A79" s="27" t="s">
        <v>96</v>
      </c>
      <c r="C79" s="25"/>
      <c r="D79" s="25"/>
      <c r="E79" s="25"/>
      <c r="F79" s="25"/>
    </row>
    <row r="80" spans="1:19">
      <c r="A80" s="414" t="s">
        <v>378</v>
      </c>
      <c r="M80" s="29"/>
    </row>
    <row r="81" spans="1:13">
      <c r="A81" s="170" t="s">
        <v>269</v>
      </c>
      <c r="M81" s="29"/>
    </row>
    <row r="82" spans="1:13">
      <c r="A82" s="414" t="s">
        <v>379</v>
      </c>
      <c r="M82" s="29"/>
    </row>
    <row r="83" spans="1:13">
      <c r="A83" s="414" t="s">
        <v>380</v>
      </c>
      <c r="M83" s="29"/>
    </row>
    <row r="84" spans="1:13">
      <c r="A84" s="362" t="s">
        <v>347</v>
      </c>
    </row>
    <row r="85" spans="1:13">
      <c r="A85" s="22" t="s">
        <v>97</v>
      </c>
    </row>
    <row r="86" spans="1:13">
      <c r="A86" s="22" t="s">
        <v>98</v>
      </c>
    </row>
    <row r="87" spans="1:13">
      <c r="A87" s="429" t="s">
        <v>384</v>
      </c>
      <c r="B87" s="423"/>
      <c r="C87" s="423"/>
      <c r="D87" s="423"/>
      <c r="E87" s="423"/>
      <c r="F87" s="423"/>
      <c r="G87" s="423"/>
    </row>
    <row r="88" spans="1:13">
      <c r="A88" s="429" t="s">
        <v>381</v>
      </c>
      <c r="B88" s="423"/>
      <c r="C88" s="423"/>
      <c r="D88" s="423"/>
      <c r="E88" s="423"/>
      <c r="F88" s="423"/>
      <c r="G88" s="423"/>
    </row>
    <row r="89" spans="1:13">
      <c r="A89" s="429" t="s">
        <v>377</v>
      </c>
      <c r="B89" s="423"/>
      <c r="C89" s="423"/>
      <c r="D89" s="423"/>
      <c r="E89" s="423"/>
      <c r="F89" s="423"/>
      <c r="G89" s="423"/>
    </row>
  </sheetData>
  <sheetProtection sheet="1" objects="1" scenarios="1"/>
  <mergeCells count="1">
    <mergeCell ref="I2:M2"/>
  </mergeCells>
  <pageMargins left="0.7" right="0.7" top="0.75" bottom="0.75" header="0.3" footer="0.3"/>
  <pageSetup orientation="portrait" horizontalDpi="4294967293" r:id="rId1"/>
  <ignoredErrors>
    <ignoredError sqref="I52 L5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68EF-C490-4908-9C85-C566DC552AED}">
  <sheetPr codeName="Sheet7">
    <tabColor theme="8" tint="0.39997558519241921"/>
  </sheetPr>
  <dimension ref="A1:Q80"/>
  <sheetViews>
    <sheetView workbookViewId="0">
      <pane ySplit="4" topLeftCell="A5" activePane="bottomLeft" state="frozen"/>
      <selection pane="bottomLeft" activeCell="A5" sqref="A5"/>
    </sheetView>
  </sheetViews>
  <sheetFormatPr defaultColWidth="9" defaultRowHeight="14.4"/>
  <cols>
    <col min="1" max="1" width="5.59765625" style="22" customWidth="1"/>
    <col min="2" max="2" width="12.59765625" style="22" customWidth="1"/>
    <col min="3" max="3" width="49.5" style="22" customWidth="1"/>
    <col min="4" max="4" width="14.59765625" style="22" customWidth="1"/>
    <col min="5" max="5" width="13.3984375" style="22" customWidth="1"/>
    <col min="6" max="6" width="11.59765625" style="22" customWidth="1"/>
    <col min="7" max="16384" width="9" style="22"/>
  </cols>
  <sheetData>
    <row r="1" spans="1:7" ht="15.6">
      <c r="A1" s="360" t="s">
        <v>343</v>
      </c>
    </row>
    <row r="2" spans="1:7">
      <c r="A2" s="359" t="s">
        <v>392</v>
      </c>
    </row>
    <row r="4" spans="1:7" ht="43.2">
      <c r="B4" s="42" t="s">
        <v>1</v>
      </c>
      <c r="C4" s="41" t="s">
        <v>150</v>
      </c>
      <c r="D4" s="40" t="s">
        <v>213</v>
      </c>
      <c r="E4" s="23" t="s">
        <v>189</v>
      </c>
    </row>
    <row r="5" spans="1:7" ht="28.8">
      <c r="B5" s="45" t="s">
        <v>3</v>
      </c>
      <c r="C5" s="86" t="s">
        <v>144</v>
      </c>
      <c r="D5" s="43">
        <v>3.2330000000000001</v>
      </c>
      <c r="E5" s="44">
        <f t="shared" ref="E5:E31" si="0">D5*PriceGalToKWH</f>
        <v>0.22089257473738516</v>
      </c>
    </row>
    <row r="6" spans="1:7" ht="28.8">
      <c r="B6" s="47" t="s">
        <v>5</v>
      </c>
      <c r="C6" s="86" t="s">
        <v>144</v>
      </c>
      <c r="D6" s="43">
        <v>3.2330000000000001</v>
      </c>
      <c r="E6" s="44">
        <f t="shared" si="0"/>
        <v>0.22089257473738516</v>
      </c>
      <c r="G6" s="79"/>
    </row>
    <row r="7" spans="1:7" ht="57.6">
      <c r="B7" s="47" t="s">
        <v>53</v>
      </c>
      <c r="C7" s="86" t="s">
        <v>148</v>
      </c>
      <c r="D7" s="43">
        <v>3.0259999999999998</v>
      </c>
      <c r="E7" s="44">
        <f t="shared" si="0"/>
        <v>0.20674943741272112</v>
      </c>
    </row>
    <row r="8" spans="1:7">
      <c r="B8" s="47" t="s">
        <v>47</v>
      </c>
      <c r="C8" s="86" t="s">
        <v>145</v>
      </c>
      <c r="D8" s="43">
        <v>3.923</v>
      </c>
      <c r="E8" s="44">
        <f t="shared" si="0"/>
        <v>0.2680363658195985</v>
      </c>
    </row>
    <row r="9" spans="1:7" ht="28.8">
      <c r="B9" s="45" t="s">
        <v>7</v>
      </c>
      <c r="C9" s="48" t="s">
        <v>89</v>
      </c>
      <c r="D9" s="43">
        <v>2.819</v>
      </c>
      <c r="E9" s="44">
        <f t="shared" si="0"/>
        <v>0.19260630008805713</v>
      </c>
    </row>
    <row r="10" spans="1:7" ht="28.8">
      <c r="B10" s="49" t="s">
        <v>9</v>
      </c>
      <c r="C10" s="48" t="s">
        <v>106</v>
      </c>
      <c r="D10" s="43">
        <v>2.9449999999999998</v>
      </c>
      <c r="E10" s="44">
        <f t="shared" si="0"/>
        <v>0.2012151662856787</v>
      </c>
      <c r="F10" s="80"/>
    </row>
    <row r="11" spans="1:7" ht="28.8">
      <c r="B11" s="49" t="s">
        <v>11</v>
      </c>
      <c r="C11" s="86" t="s">
        <v>144</v>
      </c>
      <c r="D11" s="43">
        <v>3.2330000000000001</v>
      </c>
      <c r="E11" s="44">
        <f t="shared" si="0"/>
        <v>0.22089257473738516</v>
      </c>
      <c r="F11" s="80"/>
    </row>
    <row r="12" spans="1:7" ht="28.8">
      <c r="B12" s="49" t="s">
        <v>13</v>
      </c>
      <c r="C12" s="86" t="s">
        <v>144</v>
      </c>
      <c r="D12" s="43">
        <v>3.2330000000000001</v>
      </c>
      <c r="E12" s="44">
        <f t="shared" si="0"/>
        <v>0.22089257473738516</v>
      </c>
      <c r="F12" s="80"/>
    </row>
    <row r="13" spans="1:7" ht="43.2">
      <c r="B13" s="49" t="s">
        <v>15</v>
      </c>
      <c r="C13" s="48" t="s">
        <v>88</v>
      </c>
      <c r="D13" s="43">
        <v>2.9550000000000001</v>
      </c>
      <c r="E13" s="44">
        <f t="shared" si="0"/>
        <v>0.2018984096346963</v>
      </c>
      <c r="F13" s="80"/>
    </row>
    <row r="14" spans="1:7" ht="43.2">
      <c r="B14" s="45" t="s">
        <v>17</v>
      </c>
      <c r="C14" s="48" t="s">
        <v>88</v>
      </c>
      <c r="D14" s="43">
        <v>2.9550000000000001</v>
      </c>
      <c r="E14" s="44">
        <f t="shared" si="0"/>
        <v>0.2018984096346963</v>
      </c>
      <c r="F14" s="80"/>
    </row>
    <row r="15" spans="1:7" ht="28.8">
      <c r="B15" s="50" t="s">
        <v>23</v>
      </c>
      <c r="C15" s="48" t="s">
        <v>104</v>
      </c>
      <c r="D15" s="43">
        <v>3.1309999999999998</v>
      </c>
      <c r="E15" s="44">
        <f t="shared" si="0"/>
        <v>0.21392349257740575</v>
      </c>
      <c r="F15" s="80"/>
    </row>
    <row r="16" spans="1:7" ht="57.6">
      <c r="B16" s="51" t="s">
        <v>49</v>
      </c>
      <c r="C16" s="48" t="s">
        <v>147</v>
      </c>
      <c r="D16" s="43">
        <v>3.1379999999999999</v>
      </c>
      <c r="E16" s="44">
        <f t="shared" si="0"/>
        <v>0.21440176292171809</v>
      </c>
      <c r="F16" s="80"/>
    </row>
    <row r="17" spans="2:6" ht="28.8">
      <c r="B17" s="52" t="s">
        <v>21</v>
      </c>
      <c r="C17" s="48" t="s">
        <v>105</v>
      </c>
      <c r="D17" s="43">
        <v>3.2669999999999999</v>
      </c>
      <c r="E17" s="44">
        <f t="shared" si="0"/>
        <v>0.22321560212404493</v>
      </c>
      <c r="F17" s="80"/>
    </row>
    <row r="18" spans="2:6" ht="28.8">
      <c r="B18" s="52" t="s">
        <v>19</v>
      </c>
      <c r="C18" s="48" t="s">
        <v>105</v>
      </c>
      <c r="D18" s="43">
        <v>3.2669999999999999</v>
      </c>
      <c r="E18" s="44">
        <f t="shared" si="0"/>
        <v>0.22321560212404493</v>
      </c>
      <c r="F18" s="80"/>
    </row>
    <row r="19" spans="2:6" ht="28.8">
      <c r="B19" s="52" t="s">
        <v>25</v>
      </c>
      <c r="C19" s="86" t="s">
        <v>146</v>
      </c>
      <c r="D19" s="43">
        <v>3.2669999999999999</v>
      </c>
      <c r="E19" s="44">
        <f t="shared" si="0"/>
        <v>0.22321560212404493</v>
      </c>
      <c r="F19" s="80"/>
    </row>
    <row r="20" spans="2:6" ht="28.8">
      <c r="B20" s="52" t="s">
        <v>27</v>
      </c>
      <c r="C20" s="48" t="s">
        <v>105</v>
      </c>
      <c r="D20" s="43">
        <v>3.2669999999999999</v>
      </c>
      <c r="E20" s="44">
        <f t="shared" si="0"/>
        <v>0.22321560212404493</v>
      </c>
      <c r="F20" s="80"/>
    </row>
    <row r="21" spans="2:6" ht="43.2">
      <c r="B21" s="45" t="s">
        <v>29</v>
      </c>
      <c r="C21" s="48" t="s">
        <v>88</v>
      </c>
      <c r="D21" s="43">
        <v>2.9550000000000001</v>
      </c>
      <c r="E21" s="44">
        <f t="shared" si="0"/>
        <v>0.2018984096346963</v>
      </c>
      <c r="F21" s="80"/>
    </row>
    <row r="22" spans="2:6" ht="72">
      <c r="B22" s="53" t="s">
        <v>31</v>
      </c>
      <c r="C22" s="48" t="s">
        <v>149</v>
      </c>
      <c r="D22" s="43">
        <v>2.95</v>
      </c>
      <c r="E22" s="44">
        <f t="shared" si="0"/>
        <v>0.2015567879601875</v>
      </c>
      <c r="F22" s="80"/>
    </row>
    <row r="23" spans="2:6" ht="28.8">
      <c r="B23" s="46" t="s">
        <v>51</v>
      </c>
      <c r="C23" s="48" t="s">
        <v>90</v>
      </c>
      <c r="D23" s="43">
        <v>3.0430000000000001</v>
      </c>
      <c r="E23" s="44">
        <f t="shared" si="0"/>
        <v>0.20791095110605104</v>
      </c>
      <c r="F23" s="80"/>
    </row>
    <row r="24" spans="2:6" ht="43.2">
      <c r="B24" s="45" t="s">
        <v>43</v>
      </c>
      <c r="C24" s="48" t="s">
        <v>88</v>
      </c>
      <c r="D24" s="43">
        <v>2.9550000000000001</v>
      </c>
      <c r="E24" s="44">
        <f t="shared" si="0"/>
        <v>0.2018984096346963</v>
      </c>
      <c r="F24" s="80"/>
    </row>
    <row r="25" spans="2:6" ht="28.8">
      <c r="B25" s="45" t="s">
        <v>45</v>
      </c>
      <c r="C25" s="48" t="s">
        <v>89</v>
      </c>
      <c r="D25" s="43">
        <v>2.819</v>
      </c>
      <c r="E25" s="44">
        <f t="shared" si="0"/>
        <v>0.19260630008805713</v>
      </c>
      <c r="F25" s="80"/>
    </row>
    <row r="26" spans="2:6" ht="28.8">
      <c r="B26" s="45" t="s">
        <v>35</v>
      </c>
      <c r="C26" s="48" t="s">
        <v>89</v>
      </c>
      <c r="D26" s="43">
        <v>2.819</v>
      </c>
      <c r="E26" s="44">
        <f t="shared" si="0"/>
        <v>0.19260630008805713</v>
      </c>
      <c r="F26" s="80"/>
    </row>
    <row r="27" spans="2:6" ht="43.2">
      <c r="B27" s="53" t="s">
        <v>33</v>
      </c>
      <c r="C27" s="48" t="s">
        <v>88</v>
      </c>
      <c r="D27" s="43">
        <v>2.9550000000000001</v>
      </c>
      <c r="E27" s="44">
        <f t="shared" si="0"/>
        <v>0.2018984096346963</v>
      </c>
      <c r="F27" s="80"/>
    </row>
    <row r="28" spans="2:6" ht="57.6">
      <c r="B28" s="53" t="s">
        <v>37</v>
      </c>
      <c r="C28" s="48" t="s">
        <v>151</v>
      </c>
      <c r="D28" s="43">
        <v>2.8819999999999997</v>
      </c>
      <c r="E28" s="44">
        <f t="shared" si="0"/>
        <v>0.19691073318686789</v>
      </c>
      <c r="F28" s="80"/>
    </row>
    <row r="29" spans="2:6" ht="43.2">
      <c r="B29" s="53" t="s">
        <v>39</v>
      </c>
      <c r="C29" s="48" t="s">
        <v>88</v>
      </c>
      <c r="D29" s="43">
        <v>2.9550000000000001</v>
      </c>
      <c r="E29" s="44">
        <f t="shared" si="0"/>
        <v>0.2018984096346963</v>
      </c>
      <c r="F29" s="80"/>
    </row>
    <row r="30" spans="2:6" ht="28.8">
      <c r="B30" s="53" t="s">
        <v>41</v>
      </c>
      <c r="C30" s="48" t="s">
        <v>106</v>
      </c>
      <c r="D30" s="43">
        <v>2.9449999999999998</v>
      </c>
      <c r="E30" s="44">
        <f t="shared" si="0"/>
        <v>0.2012151662856787</v>
      </c>
      <c r="F30" s="80"/>
    </row>
    <row r="31" spans="2:6">
      <c r="B31" s="32" t="s">
        <v>91</v>
      </c>
      <c r="C31" s="45" t="s">
        <v>91</v>
      </c>
      <c r="D31" s="44">
        <v>3.056</v>
      </c>
      <c r="E31" s="44">
        <f t="shared" si="0"/>
        <v>0.20879916745977389</v>
      </c>
      <c r="F31" s="80"/>
    </row>
    <row r="32" spans="2:6">
      <c r="D32" s="131" t="s">
        <v>214</v>
      </c>
    </row>
    <row r="33" spans="1:17">
      <c r="B33" s="21" t="s">
        <v>103</v>
      </c>
      <c r="D33" s="131"/>
    </row>
    <row r="34" spans="1:17">
      <c r="B34" s="147" t="s">
        <v>274</v>
      </c>
    </row>
    <row r="35" spans="1:17">
      <c r="B35" s="147"/>
    </row>
    <row r="36" spans="1:17" ht="15.6">
      <c r="A36"/>
      <c r="C36" s="171" t="s">
        <v>270</v>
      </c>
      <c r="D36" s="137">
        <f>D43/D44*(D40/D41)</f>
        <v>6.8324334901758474E-2</v>
      </c>
      <c r="E36" s="134" t="s">
        <v>365</v>
      </c>
      <c r="G36" s="136" t="s">
        <v>364</v>
      </c>
    </row>
    <row r="37" spans="1:17" ht="15.6">
      <c r="A37"/>
      <c r="D37" s="132"/>
      <c r="E37" s="133"/>
    </row>
    <row r="38" spans="1:17" ht="15.6">
      <c r="A38"/>
      <c r="D38" s="132"/>
      <c r="E38" s="133"/>
    </row>
    <row r="39" spans="1:17" ht="15.6">
      <c r="A39"/>
      <c r="D39" s="365" t="s">
        <v>362</v>
      </c>
      <c r="E39" s="134"/>
      <c r="I39" s="21" t="s">
        <v>96</v>
      </c>
    </row>
    <row r="40" spans="1:17" ht="15.6">
      <c r="D40" s="363">
        <v>0.9</v>
      </c>
      <c r="E40" s="172" t="s">
        <v>280</v>
      </c>
      <c r="I40" s="358" t="s">
        <v>320</v>
      </c>
    </row>
    <row r="41" spans="1:17" ht="15.6">
      <c r="D41" s="430">
        <f>ROUND(E53,2)</f>
        <v>0.35</v>
      </c>
      <c r="E41" s="431" t="s">
        <v>279</v>
      </c>
      <c r="F41" s="423"/>
      <c r="G41" s="423"/>
      <c r="H41" s="423"/>
      <c r="I41" s="432" t="s">
        <v>366</v>
      </c>
      <c r="J41" s="423"/>
      <c r="K41" s="423"/>
      <c r="L41" s="423"/>
      <c r="M41" s="423"/>
      <c r="N41" s="423"/>
      <c r="O41" s="423"/>
      <c r="P41" s="423"/>
      <c r="Q41" s="423"/>
    </row>
    <row r="42" spans="1:17" ht="15.6">
      <c r="D42" s="173">
        <v>2.7E-2</v>
      </c>
      <c r="E42" s="364" t="s">
        <v>361</v>
      </c>
      <c r="I42" s="140" t="s">
        <v>278</v>
      </c>
    </row>
    <row r="43" spans="1:17" ht="15.6">
      <c r="D43" s="130">
        <v>3414</v>
      </c>
      <c r="E43" s="134" t="s">
        <v>281</v>
      </c>
      <c r="I43" s="140" t="s">
        <v>278</v>
      </c>
    </row>
    <row r="44" spans="1:17" ht="15.6">
      <c r="D44" s="130">
        <v>128488</v>
      </c>
      <c r="E44" s="134" t="s">
        <v>363</v>
      </c>
      <c r="I44" s="140" t="s">
        <v>278</v>
      </c>
    </row>
    <row r="45" spans="1:17" ht="15.6">
      <c r="D45" s="174">
        <f>D40/D41</f>
        <v>2.5714285714285716</v>
      </c>
      <c r="E45" s="135" t="s">
        <v>190</v>
      </c>
      <c r="I45" s="140"/>
    </row>
    <row r="48" spans="1:17">
      <c r="D48" s="433" t="s">
        <v>353</v>
      </c>
      <c r="E48" s="434"/>
      <c r="F48" s="434"/>
      <c r="G48" s="434"/>
      <c r="H48" s="434"/>
      <c r="I48" s="423"/>
    </row>
    <row r="49" spans="4:9">
      <c r="D49" s="435" t="s">
        <v>358</v>
      </c>
      <c r="E49" s="436">
        <v>12.8</v>
      </c>
      <c r="F49" s="423"/>
      <c r="G49" s="423"/>
      <c r="H49" s="423"/>
      <c r="I49" s="423"/>
    </row>
    <row r="50" spans="4:9">
      <c r="D50" s="437" t="s">
        <v>348</v>
      </c>
      <c r="E50" s="438">
        <f>'TRU Ops &amp; Costs'!E74</f>
        <v>0.56000000000000005</v>
      </c>
      <c r="F50" s="423"/>
      <c r="G50" s="423"/>
      <c r="H50" s="423"/>
      <c r="I50" s="423"/>
    </row>
    <row r="51" spans="4:9">
      <c r="D51" s="435" t="s">
        <v>360</v>
      </c>
      <c r="E51" s="439">
        <v>0.55000000000000004</v>
      </c>
      <c r="F51" s="423"/>
      <c r="G51" s="423"/>
      <c r="H51" s="423"/>
      <c r="I51" s="423"/>
    </row>
    <row r="52" spans="4:9">
      <c r="D52" s="435" t="s">
        <v>355</v>
      </c>
      <c r="E52" s="438">
        <f>ROUND(E51/GalTokWh,3)</f>
        <v>20.37</v>
      </c>
      <c r="F52" s="440" t="s">
        <v>354</v>
      </c>
      <c r="G52" s="423"/>
      <c r="H52" s="423"/>
      <c r="I52" s="423"/>
    </row>
    <row r="53" spans="4:9">
      <c r="D53" s="435" t="s">
        <v>356</v>
      </c>
      <c r="E53" s="441">
        <f>ROUND((E49*E50)/E52,2)</f>
        <v>0.35</v>
      </c>
      <c r="F53" s="440" t="s">
        <v>359</v>
      </c>
      <c r="G53" s="423"/>
      <c r="H53" s="423"/>
      <c r="I53" s="423"/>
    </row>
    <row r="54" spans="4:9">
      <c r="D54" s="423"/>
      <c r="E54" s="423"/>
      <c r="F54" s="423"/>
      <c r="G54" s="423"/>
      <c r="H54" s="423"/>
      <c r="I54" s="423"/>
    </row>
    <row r="55" spans="4:9">
      <c r="D55" s="442" t="s">
        <v>351</v>
      </c>
      <c r="E55" s="423"/>
      <c r="F55" s="423"/>
      <c r="G55" s="423"/>
      <c r="H55" s="423"/>
      <c r="I55" s="423"/>
    </row>
    <row r="56" spans="4:9">
      <c r="D56" s="442" t="s">
        <v>349</v>
      </c>
      <c r="E56" s="423"/>
      <c r="F56" s="423"/>
      <c r="G56" s="423"/>
      <c r="H56" s="423"/>
      <c r="I56" s="423"/>
    </row>
    <row r="57" spans="4:9">
      <c r="D57" s="442" t="s">
        <v>350</v>
      </c>
      <c r="E57" s="423"/>
      <c r="F57" s="423"/>
      <c r="G57" s="423"/>
      <c r="H57" s="423"/>
      <c r="I57" s="423"/>
    </row>
    <row r="58" spans="4:9">
      <c r="D58" s="423"/>
      <c r="E58" s="423"/>
      <c r="F58" s="423"/>
      <c r="G58" s="423"/>
      <c r="H58" s="423"/>
      <c r="I58" s="423"/>
    </row>
    <row r="79" spans="1:2">
      <c r="A79" s="21"/>
    </row>
    <row r="80" spans="1:2">
      <c r="B80" s="30"/>
    </row>
  </sheetData>
  <sheetProtection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B0B9-23D8-43C7-ACA7-479CDB64C8C7}">
  <sheetPr codeName="Sheet8">
    <tabColor theme="8" tint="0.39997558519241921"/>
  </sheetPr>
  <dimension ref="A1:J35"/>
  <sheetViews>
    <sheetView workbookViewId="0">
      <pane ySplit="3" topLeftCell="A4" activePane="bottomLeft" state="frozen"/>
      <selection pane="bottomLeft" activeCell="A4" sqref="A4"/>
    </sheetView>
  </sheetViews>
  <sheetFormatPr defaultColWidth="9" defaultRowHeight="14.4"/>
  <cols>
    <col min="1" max="1" width="5.59765625" style="22" customWidth="1"/>
    <col min="2" max="2" width="12.09765625" style="22" customWidth="1"/>
    <col min="3" max="3" width="13.8984375" style="22" customWidth="1"/>
    <col min="4" max="4" width="18.8984375" style="22" customWidth="1"/>
    <col min="5" max="6" width="13.8984375" style="22" customWidth="1"/>
    <col min="7" max="16384" width="9" style="22"/>
  </cols>
  <sheetData>
    <row r="1" spans="1:10" ht="15.6">
      <c r="A1" s="360" t="s">
        <v>344</v>
      </c>
    </row>
    <row r="3" spans="1:10" ht="28.8">
      <c r="B3" s="59" t="s">
        <v>1</v>
      </c>
      <c r="C3" s="61" t="s">
        <v>92</v>
      </c>
      <c r="D3" s="62" t="s">
        <v>132</v>
      </c>
      <c r="E3" s="62" t="s">
        <v>93</v>
      </c>
      <c r="F3" s="63" t="s">
        <v>215</v>
      </c>
    </row>
    <row r="4" spans="1:10" ht="15.6">
      <c r="B4" s="68" t="s">
        <v>3</v>
      </c>
      <c r="C4" s="60">
        <v>2019</v>
      </c>
      <c r="D4" s="60" t="s">
        <v>64</v>
      </c>
      <c r="E4" s="60" t="s">
        <v>94</v>
      </c>
      <c r="F4" s="83">
        <v>0.19796093459652914</v>
      </c>
      <c r="J4" s="31"/>
    </row>
    <row r="5" spans="1:10" ht="15.6">
      <c r="B5" s="84" t="s">
        <v>5</v>
      </c>
      <c r="C5" s="60">
        <v>2019</v>
      </c>
      <c r="D5" s="60" t="s">
        <v>64</v>
      </c>
      <c r="E5" s="60" t="s">
        <v>94</v>
      </c>
      <c r="F5" s="83">
        <v>0.19796093459652914</v>
      </c>
      <c r="J5" s="31"/>
    </row>
    <row r="6" spans="1:10" ht="15.6">
      <c r="B6" s="68" t="s">
        <v>53</v>
      </c>
      <c r="C6" s="60">
        <v>2019</v>
      </c>
      <c r="D6" s="82" t="s">
        <v>133</v>
      </c>
      <c r="E6" s="60" t="s">
        <v>94</v>
      </c>
      <c r="F6" s="83">
        <v>9.358700096880275E-2</v>
      </c>
      <c r="J6" s="31"/>
    </row>
    <row r="7" spans="1:10" ht="15.6">
      <c r="B7" s="69" t="s">
        <v>47</v>
      </c>
      <c r="C7" s="60">
        <v>2019</v>
      </c>
      <c r="D7" s="60" t="s">
        <v>59</v>
      </c>
      <c r="E7" s="60" t="s">
        <v>94</v>
      </c>
      <c r="F7" s="83">
        <v>0.16671568313703736</v>
      </c>
      <c r="J7" s="31"/>
    </row>
    <row r="8" spans="1:10" ht="15.6">
      <c r="B8" s="69" t="s">
        <v>7</v>
      </c>
      <c r="C8" s="60">
        <v>2019</v>
      </c>
      <c r="D8" s="60" t="s">
        <v>60</v>
      </c>
      <c r="E8" s="60" t="s">
        <v>94</v>
      </c>
      <c r="F8" s="83">
        <v>8.0562857192957818E-2</v>
      </c>
      <c r="J8" s="31"/>
    </row>
    <row r="9" spans="1:10" ht="15.6">
      <c r="B9" s="68" t="s">
        <v>9</v>
      </c>
      <c r="C9" s="60">
        <v>2019</v>
      </c>
      <c r="D9" s="60" t="s">
        <v>67</v>
      </c>
      <c r="E9" s="60" t="s">
        <v>94</v>
      </c>
      <c r="F9" s="83">
        <v>9.2684819494089271E-2</v>
      </c>
      <c r="J9" s="31"/>
    </row>
    <row r="10" spans="1:10" ht="15.6">
      <c r="B10" s="84" t="s">
        <v>11</v>
      </c>
      <c r="C10" s="60">
        <v>2019</v>
      </c>
      <c r="D10" s="60" t="s">
        <v>62</v>
      </c>
      <c r="E10" s="60" t="s">
        <v>94</v>
      </c>
      <c r="F10" s="83">
        <v>0.29230309927049725</v>
      </c>
      <c r="J10" s="31"/>
    </row>
    <row r="11" spans="1:10" ht="15.6">
      <c r="B11" s="68" t="s">
        <v>13</v>
      </c>
      <c r="C11" s="60">
        <v>2019</v>
      </c>
      <c r="D11" s="60" t="s">
        <v>62</v>
      </c>
      <c r="E11" s="60" t="s">
        <v>94</v>
      </c>
      <c r="F11" s="83">
        <v>0.29230309927049725</v>
      </c>
      <c r="J11" s="31"/>
    </row>
    <row r="12" spans="1:10" ht="15.6">
      <c r="B12" s="85" t="s">
        <v>15</v>
      </c>
      <c r="C12" s="60">
        <v>2019</v>
      </c>
      <c r="D12" s="60" t="s">
        <v>66</v>
      </c>
      <c r="E12" s="60" t="s">
        <v>94</v>
      </c>
      <c r="F12" s="83">
        <v>0.10723938660025313</v>
      </c>
      <c r="J12" s="31"/>
    </row>
    <row r="13" spans="1:10" ht="15.6">
      <c r="B13" s="68" t="s">
        <v>17</v>
      </c>
      <c r="C13" s="60">
        <v>2019</v>
      </c>
      <c r="D13" s="82" t="s">
        <v>134</v>
      </c>
      <c r="E13" s="60" t="s">
        <v>94</v>
      </c>
      <c r="F13" s="83">
        <v>9.5578166371064449E-2</v>
      </c>
      <c r="J13" s="31"/>
    </row>
    <row r="14" spans="1:10" ht="15.6">
      <c r="B14" s="68" t="s">
        <v>23</v>
      </c>
      <c r="C14" s="60">
        <v>2019</v>
      </c>
      <c r="D14" s="82" t="s">
        <v>135</v>
      </c>
      <c r="E14" s="60" t="s">
        <v>94</v>
      </c>
      <c r="F14" s="83">
        <v>0.15778169563155039</v>
      </c>
      <c r="J14" s="31"/>
    </row>
    <row r="15" spans="1:10" ht="15.6">
      <c r="B15" s="68" t="s">
        <v>49</v>
      </c>
      <c r="C15" s="60">
        <v>2019</v>
      </c>
      <c r="D15" s="82" t="s">
        <v>136</v>
      </c>
      <c r="E15" s="60" t="s">
        <v>94</v>
      </c>
      <c r="F15" s="83">
        <v>8.7867765396627329E-2</v>
      </c>
      <c r="J15" s="31"/>
    </row>
    <row r="16" spans="1:10" ht="15.6">
      <c r="B16" s="69" t="s">
        <v>21</v>
      </c>
      <c r="C16" s="60">
        <v>2019</v>
      </c>
      <c r="D16" s="60" t="s">
        <v>58</v>
      </c>
      <c r="E16" s="60" t="s">
        <v>94</v>
      </c>
      <c r="F16" s="83">
        <v>0.14058520494811155</v>
      </c>
      <c r="J16" s="31"/>
    </row>
    <row r="17" spans="1:10" ht="15.6">
      <c r="B17" s="69" t="s">
        <v>19</v>
      </c>
      <c r="C17" s="60">
        <v>2019</v>
      </c>
      <c r="D17" s="60" t="s">
        <v>58</v>
      </c>
      <c r="E17" s="60" t="s">
        <v>94</v>
      </c>
      <c r="F17" s="83">
        <v>0.14058520494811155</v>
      </c>
      <c r="J17" s="31"/>
    </row>
    <row r="18" spans="1:10" ht="15.6">
      <c r="B18" s="69" t="s">
        <v>25</v>
      </c>
      <c r="C18" s="60">
        <v>2019</v>
      </c>
      <c r="D18" s="60" t="s">
        <v>58</v>
      </c>
      <c r="E18" s="60" t="s">
        <v>94</v>
      </c>
      <c r="F18" s="83">
        <v>0.14058520494811155</v>
      </c>
      <c r="J18" s="31"/>
    </row>
    <row r="19" spans="1:10" ht="15.6">
      <c r="B19" s="68" t="s">
        <v>27</v>
      </c>
      <c r="C19" s="60">
        <v>2019</v>
      </c>
      <c r="D19" s="82" t="s">
        <v>137</v>
      </c>
      <c r="E19" s="60" t="s">
        <v>94</v>
      </c>
      <c r="F19" s="83">
        <v>0.10541601447822938</v>
      </c>
      <c r="J19" s="31"/>
    </row>
    <row r="20" spans="1:10" ht="15.6">
      <c r="B20" s="68" t="s">
        <v>29</v>
      </c>
      <c r="C20" s="60">
        <v>2019</v>
      </c>
      <c r="D20" s="60" t="s">
        <v>57</v>
      </c>
      <c r="E20" s="60" t="s">
        <v>94</v>
      </c>
      <c r="F20" s="83">
        <v>0.11391838676514604</v>
      </c>
      <c r="J20" s="31"/>
    </row>
    <row r="21" spans="1:10" ht="15.6">
      <c r="B21" s="68" t="s">
        <v>31</v>
      </c>
      <c r="C21" s="60">
        <v>2019</v>
      </c>
      <c r="D21" s="82" t="s">
        <v>138</v>
      </c>
      <c r="E21" s="60" t="s">
        <v>94</v>
      </c>
      <c r="F21" s="83">
        <v>9.9431246771488999E-2</v>
      </c>
      <c r="J21" s="31"/>
    </row>
    <row r="22" spans="1:10" ht="15.6">
      <c r="B22" s="68" t="s">
        <v>51</v>
      </c>
      <c r="C22" s="60">
        <v>2019</v>
      </c>
      <c r="D22" s="82" t="s">
        <v>139</v>
      </c>
      <c r="E22" s="60" t="s">
        <v>94</v>
      </c>
      <c r="F22" s="83">
        <v>0.10037300178347067</v>
      </c>
      <c r="J22" s="31"/>
    </row>
    <row r="23" spans="1:10" ht="15.6">
      <c r="B23" s="68" t="s">
        <v>43</v>
      </c>
      <c r="C23" s="60">
        <v>2019</v>
      </c>
      <c r="D23" s="60" t="s">
        <v>61</v>
      </c>
      <c r="E23" s="60" t="s">
        <v>94</v>
      </c>
      <c r="F23" s="83">
        <v>0.10290366607223063</v>
      </c>
      <c r="J23" s="31"/>
    </row>
    <row r="24" spans="1:10" ht="15.6">
      <c r="B24" s="68" t="s">
        <v>45</v>
      </c>
      <c r="C24" s="60">
        <v>2019</v>
      </c>
      <c r="D24" s="82" t="s">
        <v>63</v>
      </c>
      <c r="E24" s="60" t="s">
        <v>94</v>
      </c>
      <c r="F24" s="83">
        <v>7.9828802038273389E-2</v>
      </c>
      <c r="J24" s="31"/>
    </row>
    <row r="25" spans="1:10" ht="15.6">
      <c r="B25" s="68" t="s">
        <v>35</v>
      </c>
      <c r="C25" s="60">
        <v>2019</v>
      </c>
      <c r="D25" s="82" t="s">
        <v>140</v>
      </c>
      <c r="E25" s="60" t="s">
        <v>94</v>
      </c>
      <c r="F25" s="83">
        <v>9.4042314186213172E-2</v>
      </c>
      <c r="J25" s="31"/>
    </row>
    <row r="26" spans="1:10" ht="15.6">
      <c r="B26" s="68" t="s">
        <v>33</v>
      </c>
      <c r="C26" s="60">
        <v>2019</v>
      </c>
      <c r="D26" s="82" t="s">
        <v>65</v>
      </c>
      <c r="E26" s="60" t="s">
        <v>94</v>
      </c>
      <c r="F26" s="83">
        <v>9.0726284720264186E-2</v>
      </c>
      <c r="J26" s="31"/>
    </row>
    <row r="27" spans="1:10" ht="15.6">
      <c r="B27" s="68" t="s">
        <v>37</v>
      </c>
      <c r="C27" s="60">
        <v>2019</v>
      </c>
      <c r="D27" s="82" t="s">
        <v>141</v>
      </c>
      <c r="E27" s="60" t="s">
        <v>94</v>
      </c>
      <c r="F27" s="83">
        <v>0.10769638074408019</v>
      </c>
      <c r="J27" s="31"/>
    </row>
    <row r="28" spans="1:10" ht="15.6">
      <c r="B28" s="68" t="s">
        <v>39</v>
      </c>
      <c r="C28" s="60">
        <v>2019</v>
      </c>
      <c r="D28" s="82" t="s">
        <v>142</v>
      </c>
      <c r="E28" s="60" t="s">
        <v>94</v>
      </c>
      <c r="F28" s="83">
        <v>0.10401472613885174</v>
      </c>
      <c r="J28" s="31"/>
    </row>
    <row r="29" spans="1:10" ht="15.6">
      <c r="B29" s="68" t="s">
        <v>41</v>
      </c>
      <c r="C29" s="60">
        <v>2019</v>
      </c>
      <c r="D29" s="82" t="s">
        <v>143</v>
      </c>
      <c r="E29" s="60" t="s">
        <v>94</v>
      </c>
      <c r="F29" s="83">
        <v>9.6917524485785847E-2</v>
      </c>
      <c r="J29" s="31"/>
    </row>
    <row r="30" spans="1:10" ht="15.6">
      <c r="B30" s="96" t="s">
        <v>154</v>
      </c>
      <c r="C30" s="60">
        <v>2019</v>
      </c>
      <c r="D30" s="60" t="s">
        <v>95</v>
      </c>
      <c r="E30" s="60" t="s">
        <v>94</v>
      </c>
      <c r="F30" s="83">
        <v>0.10675454922891554</v>
      </c>
      <c r="J30" s="31"/>
    </row>
    <row r="31" spans="1:10" ht="15.6">
      <c r="A31"/>
      <c r="B31"/>
      <c r="C31"/>
      <c r="D31"/>
      <c r="E31"/>
      <c r="F31"/>
      <c r="J31" s="31"/>
    </row>
    <row r="32" spans="1:10">
      <c r="B32" s="21" t="s">
        <v>103</v>
      </c>
      <c r="F32" s="131" t="s">
        <v>216</v>
      </c>
    </row>
    <row r="33" spans="1:2">
      <c r="B33" s="147" t="s">
        <v>276</v>
      </c>
    </row>
    <row r="34" spans="1:2" ht="15.6">
      <c r="A34"/>
    </row>
    <row r="35" spans="1:2" ht="15.6">
      <c r="A35"/>
    </row>
  </sheetData>
  <sheetProtection sheet="1" objects="1" scenarios="1"/>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User Guide</vt:lpstr>
      <vt:lpstr>General Calculator</vt:lpstr>
      <vt:lpstr>Detailed Calculator</vt:lpstr>
      <vt:lpstr>General Calculator_EXAMPLE</vt:lpstr>
      <vt:lpstr>eGRID2018 Subregion</vt:lpstr>
      <vt:lpstr>Diesel TRU Emission Factors</vt:lpstr>
      <vt:lpstr>TRU Ops &amp; Costs</vt:lpstr>
      <vt:lpstr>Diesel Fuel Prices</vt:lpstr>
      <vt:lpstr>Electricity Prices</vt:lpstr>
      <vt:lpstr>Lookup</vt:lpstr>
      <vt:lpstr>References</vt:lpstr>
      <vt:lpstr>Abbr</vt:lpstr>
      <vt:lpstr>EfficiencyImprovement</vt:lpstr>
      <vt:lpstr>Footnotes</vt:lpstr>
      <vt:lpstr>GalTokWh</vt:lpstr>
      <vt:lpstr>Gen_calc</vt:lpstr>
      <vt:lpstr>GramsToMT</vt:lpstr>
      <vt:lpstr>ModelYearNone</vt:lpstr>
      <vt:lpstr>ModelYearTrail</vt:lpstr>
      <vt:lpstr>ModelYearTruck</vt:lpstr>
      <vt:lpstr>PlugLocation</vt:lpstr>
      <vt:lpstr>PowerUnit</vt:lpstr>
      <vt:lpstr>PriceGalToKWH</vt:lpstr>
      <vt:lpstr>RegionGEN</vt:lpstr>
      <vt:lpstr>RegionUSER</vt:lpstr>
      <vt:lpstr>Title</vt:lpstr>
      <vt:lpstr>TRUType</vt:lpstr>
      <vt:lpstr>user_defined</vt:lpstr>
      <vt:lpstr>UserType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Transportation Refrigeration Unit Calculator (TRU-C) (October 15, 2022)</dc:title>
  <dc:subject>The Transportation Refrigeration Unit Calculator (TRU-C) estimates the emissions from TRU operation while stationary at warehouses and distribution centers, comparing diesel operation to electric standby using the local power grid.</dc:subject>
  <dc:creator>U.S. EPA; OAR; Office of Transportation and Air Quality; Compliance Division</dc:creator>
  <cp:keywords>Transportation Refrigeration Unit;calculator;TRU-C;estimates;diesel; emissions;criteria;greenhouse;gas;GHG;pollutants;equipment;fuel;inputs;regional;electric;standby;power;grid;EPA;Emissions &amp; Generation Resource Integrated Database;eGRID;MOVES3;model</cp:keywords>
  <cp:lastModifiedBy>Anagnost, Eloise</cp:lastModifiedBy>
  <cp:lastPrinted>2022-09-29T11:05:34Z</cp:lastPrinted>
  <dcterms:created xsi:type="dcterms:W3CDTF">2015-08-11T16:00:37Z</dcterms:created>
  <dcterms:modified xsi:type="dcterms:W3CDTF">2022-09-29T11:07:35Z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1e9c26dd-9229-40ac-a27d-8b2875919e54</vt:lpwstr>
  </property>
</Properties>
</file>