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icfonline.sharepoint.com/teams/WARMEconomicImpacts/Shared Documents/ReCon Update/"/>
    </mc:Choice>
  </mc:AlternateContent>
  <xr:revisionPtr revIDLastSave="26" documentId="8_{AC3AA006-2EC2-4E73-9784-9556F0E089DA}" xr6:coauthVersionLast="45" xr6:coauthVersionMax="45" xr10:uidLastSave="{FED58671-448A-4072-9F57-7C2CCE617269}"/>
  <workbookProtection workbookAlgorithmName="SHA-512" workbookHashValue="NOjp0PtOFXyr7wrpQdZpKXJWXKOZHvV7BqCcAHX7zQqnYAy4JN/OTFbDCKW1hBQNyoXB17FD9BMWvc0Liu8Xvw==" workbookSaltValue="X+CKQmNietvuoj1NN0qCew==" workbookSpinCount="100000" lockStructure="1"/>
  <bookViews>
    <workbookView xWindow="-120" yWindow="-120" windowWidth="29040" windowHeight="15840" tabRatio="811" xr2:uid="{00000000-000D-0000-FFFF-FFFF00000000}"/>
  </bookViews>
  <sheets>
    <sheet name="User's Guide" sheetId="4" r:id="rId1"/>
    <sheet name="Input Sheet" sheetId="1" r:id="rId2"/>
    <sheet name="Unit Converter" sheetId="6" r:id="rId3"/>
    <sheet name="GHG Output Sheet" sheetId="2" r:id="rId4"/>
    <sheet name="Energy Output Sheet" sheetId="5" r:id="rId5"/>
    <sheet name="Data &amp; Calcs Sheet" sheetId="3" state="hidden" r:id="rId6"/>
  </sheets>
  <externalReferences>
    <externalReference r:id="rId7"/>
    <externalReference r:id="rId8"/>
  </externalReferences>
  <definedNames>
    <definedName name="DefaultRC">'Data &amp; Calcs Sheet'!$H$5:$H$24</definedName>
    <definedName name="Factor">'Unit Converter'!$B$173</definedName>
    <definedName name="Inputs">'Input Sheet'!$B$10:$B$29,'Input Sheet'!$D$10:$D$29</definedName>
    <definedName name="Inputs2">'Input Sheet'!$E$35:$F$54</definedName>
    <definedName name="ManufaxAltRC" localSheetId="4">'Energy Output Sheet'!#REF!</definedName>
    <definedName name="ManufaxAltRC">'GHG Output Sheet'!#REF!</definedName>
    <definedName name="ManufaxBaseRC" localSheetId="4">'Energy Output Sheet'!#REF!</definedName>
    <definedName name="ManufaxBaseRC">'GHG Output Sheet'!#REF!</definedName>
    <definedName name="MaterialList">'Unit Converter'!$B$115:$B$130</definedName>
    <definedName name="MaterialUnitWeightTable">'Unit Converter'!$B$29:$E$67</definedName>
    <definedName name="PurchAltRC">'Input Sheet'!$F$35:$F$54</definedName>
    <definedName name="PurchBaseRC">'Input Sheet'!$E$35:$E$54</definedName>
    <definedName name="SelectedUnit">'Unit Converter'!$B$171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9" i="3" l="1"/>
  <c r="X18" i="3"/>
  <c r="X17" i="3"/>
  <c r="X16" i="3"/>
  <c r="X15" i="3"/>
  <c r="X14" i="3"/>
  <c r="X13" i="3"/>
  <c r="X12" i="3"/>
  <c r="X11" i="3"/>
  <c r="X10" i="3"/>
  <c r="X24" i="3" s="1"/>
  <c r="X9" i="3"/>
  <c r="X8" i="3"/>
  <c r="X7" i="3"/>
  <c r="X6" i="3"/>
  <c r="X5" i="3"/>
  <c r="T24" i="3"/>
  <c r="S24" i="3"/>
  <c r="T23" i="3"/>
  <c r="S23" i="3"/>
  <c r="T22" i="3"/>
  <c r="S22" i="3"/>
  <c r="T21" i="3"/>
  <c r="S21" i="3"/>
  <c r="T20" i="3"/>
  <c r="S20" i="3"/>
  <c r="T19" i="3"/>
  <c r="S19" i="3"/>
  <c r="T18" i="3"/>
  <c r="S18" i="3"/>
  <c r="T17" i="3"/>
  <c r="S17" i="3"/>
  <c r="T16" i="3"/>
  <c r="S16" i="3"/>
  <c r="T15" i="3"/>
  <c r="S15" i="3"/>
  <c r="T14" i="3"/>
  <c r="S14" i="3"/>
  <c r="T13" i="3"/>
  <c r="S13" i="3"/>
  <c r="T12" i="3"/>
  <c r="S12" i="3"/>
  <c r="T11" i="3"/>
  <c r="S11" i="3"/>
  <c r="T10" i="3"/>
  <c r="S10" i="3"/>
  <c r="T9" i="3"/>
  <c r="S9" i="3"/>
  <c r="T8" i="3"/>
  <c r="S8" i="3"/>
  <c r="T7" i="3"/>
  <c r="S7" i="3"/>
  <c r="T6" i="3"/>
  <c r="S6" i="3"/>
  <c r="T5" i="3"/>
  <c r="S5" i="3"/>
  <c r="F24" i="3"/>
  <c r="E24" i="3"/>
  <c r="D24" i="3"/>
  <c r="C24" i="3"/>
  <c r="B24" i="3"/>
  <c r="F23" i="3"/>
  <c r="E23" i="3"/>
  <c r="D23" i="3"/>
  <c r="C23" i="3"/>
  <c r="B23" i="3"/>
  <c r="F22" i="3"/>
  <c r="E22" i="3"/>
  <c r="D22" i="3"/>
  <c r="C22" i="3"/>
  <c r="B22" i="3"/>
  <c r="F21" i="3"/>
  <c r="E21" i="3"/>
  <c r="D21" i="3"/>
  <c r="C21" i="3"/>
  <c r="B21" i="3"/>
  <c r="F20" i="3"/>
  <c r="E20" i="3"/>
  <c r="D20" i="3"/>
  <c r="C20" i="3"/>
  <c r="B20" i="3"/>
  <c r="F19" i="3"/>
  <c r="E19" i="3"/>
  <c r="D19" i="3"/>
  <c r="C19" i="3"/>
  <c r="B19" i="3"/>
  <c r="F18" i="3"/>
  <c r="E18" i="3"/>
  <c r="D18" i="3"/>
  <c r="C18" i="3"/>
  <c r="B18" i="3"/>
  <c r="F17" i="3"/>
  <c r="E17" i="3"/>
  <c r="D17" i="3"/>
  <c r="C17" i="3"/>
  <c r="B17" i="3"/>
  <c r="F16" i="3"/>
  <c r="E16" i="3"/>
  <c r="D16" i="3"/>
  <c r="C16" i="3"/>
  <c r="B16" i="3"/>
  <c r="F15" i="3"/>
  <c r="E15" i="3"/>
  <c r="D15" i="3"/>
  <c r="C15" i="3"/>
  <c r="B15" i="3"/>
  <c r="F14" i="3"/>
  <c r="E14" i="3"/>
  <c r="D14" i="3"/>
  <c r="C14" i="3"/>
  <c r="B14" i="3"/>
  <c r="F13" i="3"/>
  <c r="E13" i="3"/>
  <c r="D13" i="3"/>
  <c r="C13" i="3"/>
  <c r="B13" i="3"/>
  <c r="F12" i="3"/>
  <c r="E12" i="3"/>
  <c r="D12" i="3"/>
  <c r="C12" i="3"/>
  <c r="B12" i="3"/>
  <c r="F11" i="3"/>
  <c r="E11" i="3"/>
  <c r="D11" i="3"/>
  <c r="C11" i="3"/>
  <c r="B11" i="3"/>
  <c r="F10" i="3"/>
  <c r="E10" i="3"/>
  <c r="D10" i="3"/>
  <c r="C10" i="3"/>
  <c r="B10" i="3"/>
  <c r="F9" i="3"/>
  <c r="E9" i="3"/>
  <c r="D9" i="3"/>
  <c r="C9" i="3"/>
  <c r="B9" i="3"/>
  <c r="F8" i="3"/>
  <c r="E8" i="3"/>
  <c r="D8" i="3"/>
  <c r="C8" i="3"/>
  <c r="B8" i="3"/>
  <c r="F7" i="3"/>
  <c r="E7" i="3"/>
  <c r="D7" i="3"/>
  <c r="C7" i="3"/>
  <c r="B7" i="3"/>
  <c r="F6" i="3"/>
  <c r="E6" i="3"/>
  <c r="D6" i="3"/>
  <c r="C6" i="3"/>
  <c r="B6" i="3"/>
  <c r="F5" i="3"/>
  <c r="E5" i="3"/>
  <c r="D5" i="3"/>
  <c r="C5" i="3"/>
  <c r="B5" i="3"/>
  <c r="X22" i="3"/>
  <c r="X21" i="3"/>
  <c r="X20" i="3"/>
  <c r="T2" i="3"/>
  <c r="C54" i="3"/>
  <c r="C53" i="3"/>
  <c r="C52"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D48" i="3"/>
  <c r="C48" i="3"/>
  <c r="B48" i="3"/>
  <c r="D47" i="3"/>
  <c r="C47" i="3"/>
  <c r="B47" i="3"/>
  <c r="D46" i="3"/>
  <c r="C46" i="3"/>
  <c r="B46" i="3"/>
  <c r="D45" i="3"/>
  <c r="C45" i="3"/>
  <c r="B45" i="3"/>
  <c r="D44" i="3"/>
  <c r="C44" i="3"/>
  <c r="B44" i="3"/>
  <c r="D43" i="3"/>
  <c r="C43" i="3"/>
  <c r="B43" i="3"/>
  <c r="D42" i="3"/>
  <c r="C42" i="3"/>
  <c r="B42" i="3"/>
  <c r="D41" i="3"/>
  <c r="C41" i="3"/>
  <c r="B41" i="3"/>
  <c r="D40" i="3"/>
  <c r="C40" i="3"/>
  <c r="B40" i="3"/>
  <c r="D39" i="3"/>
  <c r="C39" i="3"/>
  <c r="B39" i="3"/>
  <c r="D38" i="3"/>
  <c r="C38" i="3"/>
  <c r="B38" i="3"/>
  <c r="D37" i="3"/>
  <c r="C37" i="3"/>
  <c r="B37" i="3"/>
  <c r="D36" i="3"/>
  <c r="C36" i="3"/>
  <c r="B36" i="3"/>
  <c r="D35" i="3"/>
  <c r="C35" i="3"/>
  <c r="B35" i="3"/>
  <c r="D34" i="3"/>
  <c r="C34" i="3"/>
  <c r="B34" i="3"/>
  <c r="D33" i="3"/>
  <c r="C33" i="3"/>
  <c r="B33" i="3"/>
  <c r="D32" i="3"/>
  <c r="C32" i="3"/>
  <c r="B32" i="3"/>
  <c r="D31" i="3"/>
  <c r="C31" i="3"/>
  <c r="B31" i="3"/>
  <c r="D30" i="3"/>
  <c r="C30" i="3"/>
  <c r="B30" i="3"/>
  <c r="D29" i="3"/>
  <c r="C29" i="3"/>
  <c r="B29" i="3"/>
  <c r="X23" i="3" l="1"/>
  <c r="E10" i="1"/>
  <c r="E11" i="1"/>
  <c r="E12" i="1"/>
  <c r="E13" i="1"/>
  <c r="E14" i="1"/>
  <c r="E15" i="1"/>
  <c r="E16" i="1"/>
  <c r="E17" i="1"/>
  <c r="E18" i="1"/>
  <c r="E19" i="1"/>
  <c r="E20" i="1"/>
  <c r="E21" i="1"/>
  <c r="E22" i="1"/>
  <c r="E23" i="1"/>
  <c r="E24" i="1"/>
  <c r="E25" i="1"/>
  <c r="E26" i="1"/>
  <c r="E27" i="1"/>
  <c r="E28" i="1"/>
  <c r="E29" i="1"/>
  <c r="D133" i="6" l="1"/>
  <c r="D135" i="6"/>
  <c r="D136" i="6"/>
  <c r="D137" i="6"/>
  <c r="D138" i="6"/>
  <c r="D139" i="6"/>
  <c r="D140" i="6"/>
  <c r="D141" i="6"/>
  <c r="D142" i="6"/>
  <c r="D143" i="6"/>
  <c r="D144" i="6"/>
  <c r="D145" i="6"/>
  <c r="D146" i="6"/>
  <c r="D147" i="6"/>
  <c r="D148" i="6"/>
  <c r="D149" i="6"/>
  <c r="D150" i="6"/>
  <c r="D151" i="6"/>
  <c r="D152" i="6"/>
  <c r="D153" i="6"/>
  <c r="D154" i="6"/>
  <c r="D155" i="6"/>
  <c r="D156" i="6"/>
  <c r="D158" i="6"/>
  <c r="D159" i="6"/>
  <c r="D160" i="6"/>
  <c r="D161" i="6"/>
  <c r="D162" i="6"/>
  <c r="D163" i="6"/>
  <c r="D165" i="6"/>
  <c r="D166" i="6"/>
  <c r="D167" i="6"/>
  <c r="D168" i="6"/>
  <c r="D169" i="6"/>
  <c r="D170" i="6"/>
  <c r="D132" i="6"/>
  <c r="C115" i="6"/>
  <c r="C120" i="6" s="1"/>
  <c r="D120" i="6" s="1"/>
  <c r="D123" i="6" l="1"/>
  <c r="C119" i="6"/>
  <c r="D119" i="6" s="1"/>
  <c r="C122" i="6"/>
  <c r="D122" i="6" s="1"/>
  <c r="C118" i="6"/>
  <c r="D118" i="6" s="1"/>
  <c r="C116" i="6"/>
  <c r="D116" i="6" s="1"/>
  <c r="C121" i="6"/>
  <c r="D121" i="6" s="1"/>
  <c r="C117" i="6"/>
  <c r="D117" i="6" s="1"/>
  <c r="D124" i="6"/>
  <c r="E68" i="1"/>
  <c r="J30" i="3" s="1"/>
  <c r="E69" i="1"/>
  <c r="J31" i="3" s="1"/>
  <c r="E70" i="1"/>
  <c r="J8" i="3" s="1"/>
  <c r="N8" i="3" s="1"/>
  <c r="E71" i="1"/>
  <c r="J9" i="3" s="1"/>
  <c r="N9" i="3" s="1"/>
  <c r="E72" i="1"/>
  <c r="J10" i="3" s="1"/>
  <c r="N10" i="3" s="1"/>
  <c r="E73" i="1"/>
  <c r="J35" i="3" s="1"/>
  <c r="E74" i="1"/>
  <c r="J36" i="3" s="1"/>
  <c r="E75" i="1"/>
  <c r="J37" i="3" s="1"/>
  <c r="E76" i="1"/>
  <c r="J14" i="3" s="1"/>
  <c r="N14" i="3" s="1"/>
  <c r="E77" i="1"/>
  <c r="J39" i="3" s="1"/>
  <c r="E78" i="1"/>
  <c r="J40" i="3" s="1"/>
  <c r="E79" i="1"/>
  <c r="J41" i="3" s="1"/>
  <c r="E80" i="1"/>
  <c r="J42" i="3" s="1"/>
  <c r="E81" i="1"/>
  <c r="J19" i="3" s="1"/>
  <c r="N19" i="3" s="1"/>
  <c r="E82" i="1"/>
  <c r="J44" i="3" s="1"/>
  <c r="E83" i="1"/>
  <c r="J45" i="3" s="1"/>
  <c r="E84" i="1"/>
  <c r="J46" i="3" s="1"/>
  <c r="E85" i="1"/>
  <c r="J47" i="3" s="1"/>
  <c r="E86" i="1"/>
  <c r="J24" i="3" s="1"/>
  <c r="N24" i="3" s="1"/>
  <c r="E67" i="1"/>
  <c r="J29" i="3" s="1"/>
  <c r="J38" i="3" l="1"/>
  <c r="J22" i="3"/>
  <c r="N22" i="3" s="1"/>
  <c r="J18" i="3"/>
  <c r="N18" i="3" s="1"/>
  <c r="J43" i="3"/>
  <c r="J23" i="3"/>
  <c r="N23" i="3" s="1"/>
  <c r="J48" i="3"/>
  <c r="J16" i="3"/>
  <c r="N16" i="3" s="1"/>
  <c r="J20" i="3"/>
  <c r="N20" i="3" s="1"/>
  <c r="J15" i="3"/>
  <c r="N15" i="3" s="1"/>
  <c r="J21" i="3"/>
  <c r="N21" i="3" s="1"/>
  <c r="J17" i="3"/>
  <c r="N17" i="3" s="1"/>
  <c r="J13" i="3"/>
  <c r="N13" i="3" s="1"/>
  <c r="J12" i="3"/>
  <c r="N12" i="3" s="1"/>
  <c r="J11" i="3"/>
  <c r="N11" i="3" s="1"/>
  <c r="J32" i="3"/>
  <c r="J7" i="3"/>
  <c r="N7" i="3" s="1"/>
  <c r="J6" i="3"/>
  <c r="J34" i="3"/>
  <c r="J33" i="3"/>
  <c r="J5" i="3"/>
  <c r="N5" i="3" s="1"/>
  <c r="N6" i="3" l="1"/>
  <c r="Q6" i="3"/>
  <c r="L17" i="3"/>
  <c r="L15" i="3"/>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32" i="6"/>
  <c r="B173" i="6" s="1"/>
  <c r="B9" i="5" l="1"/>
  <c r="B10" i="5"/>
  <c r="B11" i="5"/>
  <c r="B12" i="5"/>
  <c r="B13" i="5"/>
  <c r="B14" i="5"/>
  <c r="B15" i="5"/>
  <c r="B16" i="5"/>
  <c r="B17" i="5"/>
  <c r="B18" i="5"/>
  <c r="B19" i="5"/>
  <c r="B20" i="5"/>
  <c r="B21" i="5"/>
  <c r="B22" i="5"/>
  <c r="B23" i="5"/>
  <c r="B24" i="5"/>
  <c r="B25" i="5"/>
  <c r="B26" i="5"/>
  <c r="B27" i="5"/>
  <c r="K44" i="3"/>
  <c r="K45" i="3"/>
  <c r="K46" i="3"/>
  <c r="K47" i="3"/>
  <c r="K48" i="3"/>
  <c r="K30" i="3"/>
  <c r="A30" i="3"/>
  <c r="R2" i="3"/>
  <c r="U6" i="3" s="1"/>
  <c r="H6" i="3"/>
  <c r="K6" i="3"/>
  <c r="K7" i="3"/>
  <c r="O7" i="3" s="1"/>
  <c r="K8" i="3"/>
  <c r="O8" i="3" s="1"/>
  <c r="K9" i="3"/>
  <c r="O9" i="3" s="1"/>
  <c r="K10" i="3"/>
  <c r="O10" i="3" s="1"/>
  <c r="K11" i="3"/>
  <c r="O11" i="3" s="1"/>
  <c r="K12" i="3"/>
  <c r="O12" i="3" s="1"/>
  <c r="K13" i="3"/>
  <c r="O13" i="3" s="1"/>
  <c r="K14" i="3"/>
  <c r="O14" i="3" s="1"/>
  <c r="K15" i="3"/>
  <c r="O15" i="3" s="1"/>
  <c r="K16" i="3"/>
  <c r="O16" i="3" s="1"/>
  <c r="K17" i="3"/>
  <c r="O17" i="3" s="1"/>
  <c r="K18" i="3"/>
  <c r="O18" i="3" s="1"/>
  <c r="K19" i="3"/>
  <c r="O19" i="3" s="1"/>
  <c r="Q20" i="3"/>
  <c r="Q44" i="3" s="1"/>
  <c r="K21" i="3"/>
  <c r="O21" i="3" s="1"/>
  <c r="Q22" i="3"/>
  <c r="Q46" i="3" s="1"/>
  <c r="K24" i="3"/>
  <c r="O24" i="3" s="1"/>
  <c r="A45" i="3"/>
  <c r="F38" i="3"/>
  <c r="A39" i="3"/>
  <c r="A41" i="3"/>
  <c r="H19" i="3"/>
  <c r="A31" i="3"/>
  <c r="B21" i="2"/>
  <c r="B22" i="2"/>
  <c r="B23" i="2"/>
  <c r="B24" i="2"/>
  <c r="B25" i="2"/>
  <c r="B26" i="2"/>
  <c r="B27" i="2"/>
  <c r="B9" i="2"/>
  <c r="B47" i="1"/>
  <c r="B48" i="1"/>
  <c r="B49" i="1"/>
  <c r="B50" i="1"/>
  <c r="B51" i="1"/>
  <c r="B52" i="1"/>
  <c r="B53" i="1"/>
  <c r="B54" i="1"/>
  <c r="B36" i="1"/>
  <c r="D23" i="2"/>
  <c r="D24" i="2"/>
  <c r="D25" i="2"/>
  <c r="D26" i="5"/>
  <c r="D27" i="5"/>
  <c r="D9" i="5"/>
  <c r="K5" i="3"/>
  <c r="O5" i="3" s="1"/>
  <c r="K31" i="3"/>
  <c r="K32" i="3"/>
  <c r="K33" i="3"/>
  <c r="K34" i="3"/>
  <c r="K35" i="3"/>
  <c r="K36" i="3"/>
  <c r="K37" i="3"/>
  <c r="K38" i="3"/>
  <c r="K39" i="3"/>
  <c r="K40" i="3"/>
  <c r="K41" i="3"/>
  <c r="K42" i="3"/>
  <c r="K43" i="3"/>
  <c r="D11" i="5"/>
  <c r="D12" i="5"/>
  <c r="D13" i="5"/>
  <c r="D14" i="2"/>
  <c r="D15" i="5"/>
  <c r="D16" i="2"/>
  <c r="D17" i="2"/>
  <c r="D18" i="5"/>
  <c r="D19" i="2"/>
  <c r="D20" i="5"/>
  <c r="D21" i="2"/>
  <c r="D22" i="5"/>
  <c r="B11" i="2"/>
  <c r="B38" i="1"/>
  <c r="D10" i="2"/>
  <c r="D8" i="5"/>
  <c r="K29" i="3"/>
  <c r="B58" i="3"/>
  <c r="C20" i="6" s="1"/>
  <c r="B59" i="3" s="1"/>
  <c r="C24" i="6" s="1"/>
  <c r="A1" i="5"/>
  <c r="B8" i="5"/>
  <c r="A1" i="2"/>
  <c r="B8" i="2"/>
  <c r="B10" i="2"/>
  <c r="B12" i="2"/>
  <c r="B13" i="2"/>
  <c r="B14" i="2"/>
  <c r="B15" i="2"/>
  <c r="B16" i="2"/>
  <c r="B17" i="2"/>
  <c r="B18" i="2"/>
  <c r="B19" i="2"/>
  <c r="B20" i="2"/>
  <c r="B35" i="1"/>
  <c r="B37" i="1"/>
  <c r="B39" i="1"/>
  <c r="B40" i="1"/>
  <c r="B41" i="1"/>
  <c r="B42" i="1"/>
  <c r="B43" i="1"/>
  <c r="B44" i="1"/>
  <c r="B45" i="1"/>
  <c r="B46" i="1"/>
  <c r="C9" i="6"/>
  <c r="E9" i="6" s="1"/>
  <c r="D31" i="6"/>
  <c r="D134" i="6" s="1"/>
  <c r="D54" i="6"/>
  <c r="D157" i="6" s="1"/>
  <c r="D61" i="6"/>
  <c r="D164" i="6" s="1"/>
  <c r="O6" i="3" l="1"/>
  <c r="R6" i="3"/>
  <c r="M15" i="3"/>
  <c r="D10" i="5"/>
  <c r="D17" i="5"/>
  <c r="H30" i="3"/>
  <c r="D36" i="1"/>
  <c r="H43" i="3"/>
  <c r="D49" i="1"/>
  <c r="R21" i="3"/>
  <c r="R45" i="3" s="1"/>
  <c r="R5" i="3"/>
  <c r="R29" i="3" s="1"/>
  <c r="D14" i="5"/>
  <c r="D24" i="5"/>
  <c r="Q21" i="3"/>
  <c r="Q45" i="3" s="1"/>
  <c r="D13" i="2"/>
  <c r="D22" i="2"/>
  <c r="D20" i="2"/>
  <c r="D15" i="2"/>
  <c r="D27" i="2"/>
  <c r="D16" i="5"/>
  <c r="D11" i="2"/>
  <c r="D9" i="2"/>
  <c r="Q12" i="3"/>
  <c r="Q36" i="3" s="1"/>
  <c r="D25" i="5"/>
  <c r="D26" i="2"/>
  <c r="Q5" i="3"/>
  <c r="Q29" i="3" s="1"/>
  <c r="D8" i="2"/>
  <c r="K22" i="3"/>
  <c r="O22" i="3" s="1"/>
  <c r="R15" i="3"/>
  <c r="R8" i="3"/>
  <c r="R32" i="3" s="1"/>
  <c r="Q8" i="3"/>
  <c r="Q32" i="3" s="1"/>
  <c r="R13" i="3"/>
  <c r="R37" i="3" s="1"/>
  <c r="A29" i="3"/>
  <c r="R12" i="3"/>
  <c r="R36" i="3" s="1"/>
  <c r="D19" i="5"/>
  <c r="D21" i="5"/>
  <c r="D12" i="2"/>
  <c r="D23" i="5"/>
  <c r="Q23" i="3"/>
  <c r="Q47" i="3" s="1"/>
  <c r="K20" i="3"/>
  <c r="O20" i="3" s="1"/>
  <c r="L10" i="3"/>
  <c r="Q7" i="3"/>
  <c r="Q31" i="3" s="1"/>
  <c r="F35" i="3"/>
  <c r="H18" i="3"/>
  <c r="A48" i="3"/>
  <c r="H24" i="3"/>
  <c r="F30" i="3"/>
  <c r="L24" i="3"/>
  <c r="D18" i="2"/>
  <c r="R16" i="3"/>
  <c r="R40" i="3" s="1"/>
  <c r="K23" i="3"/>
  <c r="O23" i="3" s="1"/>
  <c r="Q15" i="3"/>
  <c r="Q39" i="3" s="1"/>
  <c r="Q10" i="3"/>
  <c r="Q34" i="3" s="1"/>
  <c r="Q18" i="3"/>
  <c r="Q42" i="3" s="1"/>
  <c r="R24" i="3"/>
  <c r="R48" i="3" s="1"/>
  <c r="R9" i="3"/>
  <c r="R33" i="3" s="1"/>
  <c r="R17" i="3"/>
  <c r="R41" i="3" s="1"/>
  <c r="Q11" i="3"/>
  <c r="Q35" i="3" s="1"/>
  <c r="Q19" i="3"/>
  <c r="Q43" i="3" s="1"/>
  <c r="Q24" i="3"/>
  <c r="Q48" i="3" s="1"/>
  <c r="Q13" i="3"/>
  <c r="Q37" i="3" s="1"/>
  <c r="R14" i="3"/>
  <c r="R38" i="3" s="1"/>
  <c r="R7" i="3"/>
  <c r="R31" i="3" s="1"/>
  <c r="H9" i="3"/>
  <c r="H17" i="3"/>
  <c r="H22" i="3"/>
  <c r="R18" i="3"/>
  <c r="R42" i="3" s="1"/>
  <c r="A38" i="3"/>
  <c r="Q16" i="3"/>
  <c r="Q40" i="3" s="1"/>
  <c r="A42" i="3"/>
  <c r="Q14" i="3"/>
  <c r="Q38" i="3" s="1"/>
  <c r="R10" i="3"/>
  <c r="R34" i="3" s="1"/>
  <c r="A33" i="3"/>
  <c r="M9" i="3"/>
  <c r="R19" i="3"/>
  <c r="R43" i="3" s="1"/>
  <c r="A34" i="3"/>
  <c r="A47" i="3"/>
  <c r="R11" i="3"/>
  <c r="R35" i="3" s="1"/>
  <c r="H5" i="3"/>
  <c r="D35" i="1" s="1"/>
  <c r="H15" i="3"/>
  <c r="Q9" i="3"/>
  <c r="Q33" i="3" s="1"/>
  <c r="F43" i="3"/>
  <c r="Q17" i="3"/>
  <c r="Q41" i="3" s="1"/>
  <c r="F47" i="3"/>
  <c r="H13" i="3"/>
  <c r="L13" i="3"/>
  <c r="A37" i="3"/>
  <c r="F42" i="3"/>
  <c r="H14" i="3"/>
  <c r="A40" i="3"/>
  <c r="M16" i="3"/>
  <c r="A35" i="3"/>
  <c r="A46" i="3"/>
  <c r="A43" i="3"/>
  <c r="L21" i="3"/>
  <c r="L6" i="3"/>
  <c r="L8" i="3"/>
  <c r="A32" i="3"/>
  <c r="L20" i="3"/>
  <c r="A44" i="3"/>
  <c r="A36" i="3"/>
  <c r="M6" i="3"/>
  <c r="R39" i="3" l="1"/>
  <c r="V15" i="3"/>
  <c r="H38" i="3"/>
  <c r="D44" i="1"/>
  <c r="H37" i="3"/>
  <c r="D43" i="1"/>
  <c r="H39" i="3"/>
  <c r="D45" i="1"/>
  <c r="H46" i="3"/>
  <c r="D52" i="1"/>
  <c r="R23" i="3"/>
  <c r="R47" i="3" s="1"/>
  <c r="R22" i="3"/>
  <c r="R46" i="3" s="1"/>
  <c r="H33" i="3"/>
  <c r="D39" i="1"/>
  <c r="H42" i="3"/>
  <c r="D48" i="1"/>
  <c r="R20" i="3"/>
  <c r="R44" i="3" s="1"/>
  <c r="H41" i="3"/>
  <c r="D47" i="1"/>
  <c r="H48" i="3"/>
  <c r="D54" i="1"/>
  <c r="V5" i="3"/>
  <c r="M10" i="3"/>
  <c r="H11" i="3"/>
  <c r="M18" i="3"/>
  <c r="F39" i="3"/>
  <c r="F48" i="3"/>
  <c r="L14" i="3"/>
  <c r="M12" i="3"/>
  <c r="F33" i="3"/>
  <c r="L12" i="3"/>
  <c r="U10" i="3"/>
  <c r="E13" i="2" s="1"/>
  <c r="F13" i="2" s="1"/>
  <c r="F46" i="3"/>
  <c r="V8" i="3"/>
  <c r="L9" i="3"/>
  <c r="M23" i="3"/>
  <c r="M24" i="3"/>
  <c r="F41" i="3"/>
  <c r="U5" i="3"/>
  <c r="V9" i="3"/>
  <c r="U24" i="3"/>
  <c r="E27" i="2" s="1"/>
  <c r="F27" i="2" s="1"/>
  <c r="V24" i="3"/>
  <c r="M13" i="3"/>
  <c r="L23" i="3"/>
  <c r="E9" i="2"/>
  <c r="F9" i="2" s="1"/>
  <c r="Q30" i="3"/>
  <c r="V6" i="3"/>
  <c r="G9" i="2" s="1"/>
  <c r="H9" i="2" s="1"/>
  <c r="R30" i="3"/>
  <c r="H23" i="3"/>
  <c r="F37" i="3"/>
  <c r="V11" i="3"/>
  <c r="V10" i="3"/>
  <c r="U9" i="3"/>
  <c r="U23" i="3"/>
  <c r="M21" i="3"/>
  <c r="F29" i="3"/>
  <c r="H29" i="3"/>
  <c r="M14" i="3"/>
  <c r="U8" i="3"/>
  <c r="E11" i="2" s="1"/>
  <c r="F11" i="2" s="1"/>
  <c r="M8" i="3"/>
  <c r="M17" i="3"/>
  <c r="L16" i="3"/>
  <c r="L18" i="3"/>
  <c r="U11" i="3"/>
  <c r="M5" i="3"/>
  <c r="L5" i="3"/>
  <c r="M19" i="3"/>
  <c r="L19" i="3"/>
  <c r="F44" i="3"/>
  <c r="H20" i="3"/>
  <c r="H7" i="3"/>
  <c r="F31" i="3"/>
  <c r="L7" i="3"/>
  <c r="M7" i="3"/>
  <c r="F32" i="3"/>
  <c r="H8" i="3"/>
  <c r="V7" i="3"/>
  <c r="U7" i="3"/>
  <c r="F34" i="3"/>
  <c r="H10" i="3"/>
  <c r="L11" i="3"/>
  <c r="M11" i="3"/>
  <c r="M20" i="3"/>
  <c r="H21" i="3"/>
  <c r="F45" i="3"/>
  <c r="F36" i="3"/>
  <c r="H12" i="3"/>
  <c r="M22" i="3"/>
  <c r="L22" i="3"/>
  <c r="H16" i="3"/>
  <c r="F40" i="3"/>
  <c r="H45" i="3" l="1"/>
  <c r="D51" i="1"/>
  <c r="H34" i="3"/>
  <c r="D40" i="1"/>
  <c r="H32" i="3"/>
  <c r="D38" i="1"/>
  <c r="H35" i="3"/>
  <c r="D41" i="1"/>
  <c r="H36" i="3"/>
  <c r="D42" i="1"/>
  <c r="H31" i="3"/>
  <c r="D37" i="1"/>
  <c r="H47" i="3"/>
  <c r="D53" i="1"/>
  <c r="H40" i="3"/>
  <c r="D46" i="1"/>
  <c r="H44" i="3"/>
  <c r="D50" i="1"/>
  <c r="V23" i="3"/>
  <c r="G26" i="2" s="1"/>
  <c r="H26" i="2" s="1"/>
  <c r="G8" i="2"/>
  <c r="H8" i="2" s="1"/>
  <c r="G12" i="2"/>
  <c r="H12" i="2" s="1"/>
  <c r="E12" i="2"/>
  <c r="F12" i="2" s="1"/>
  <c r="G27" i="2"/>
  <c r="H27" i="2" s="1"/>
  <c r="I27" i="2" s="1"/>
  <c r="G13" i="2"/>
  <c r="H13" i="2" s="1"/>
  <c r="I13" i="2" s="1"/>
  <c r="E8" i="2"/>
  <c r="F8" i="2" s="1"/>
  <c r="G14" i="2"/>
  <c r="H14" i="2" s="1"/>
  <c r="G11" i="2"/>
  <c r="H11" i="2" s="1"/>
  <c r="I11" i="2" s="1"/>
  <c r="E26" i="2"/>
  <c r="F26" i="2" s="1"/>
  <c r="I9" i="2"/>
  <c r="E10" i="2"/>
  <c r="F10" i="2" s="1"/>
  <c r="E14" i="2"/>
  <c r="F14" i="2" s="1"/>
  <c r="G10" i="2"/>
  <c r="H10" i="2" s="1"/>
  <c r="I8" i="2" l="1"/>
  <c r="I12" i="2"/>
  <c r="I26" i="2"/>
  <c r="I14" i="2"/>
  <c r="I10" i="2"/>
  <c r="L32" i="3" l="1"/>
  <c r="M32" i="3"/>
  <c r="L31" i="3"/>
  <c r="M31" i="3"/>
  <c r="V31" i="3"/>
  <c r="U31" i="3"/>
  <c r="U32" i="3"/>
  <c r="V32" i="3"/>
  <c r="M39" i="3"/>
  <c r="V39" i="3"/>
  <c r="U39" i="3"/>
  <c r="L39" i="3" l="1"/>
  <c r="E18" i="5" s="1"/>
  <c r="F18" i="5" s="1"/>
  <c r="E11" i="5"/>
  <c r="F11" i="5" s="1"/>
  <c r="M29" i="3"/>
  <c r="G10" i="5"/>
  <c r="H10" i="5" s="1"/>
  <c r="V38" i="3"/>
  <c r="U38" i="3"/>
  <c r="V40" i="3"/>
  <c r="U40" i="3"/>
  <c r="V43" i="3"/>
  <c r="U43" i="3"/>
  <c r="U33" i="3"/>
  <c r="V33" i="3"/>
  <c r="U36" i="3"/>
  <c r="V36" i="3"/>
  <c r="L43" i="3"/>
  <c r="M43" i="3"/>
  <c r="L33" i="3"/>
  <c r="M33" i="3"/>
  <c r="L36" i="3"/>
  <c r="M36" i="3"/>
  <c r="U29" i="3"/>
  <c r="V29" i="3"/>
  <c r="G18" i="5"/>
  <c r="H18" i="5" s="1"/>
  <c r="L29" i="3"/>
  <c r="V41" i="3"/>
  <c r="U41" i="3"/>
  <c r="U45" i="3"/>
  <c r="V45" i="3"/>
  <c r="L44" i="3"/>
  <c r="M44" i="3"/>
  <c r="G11" i="5"/>
  <c r="H11" i="5" s="1"/>
  <c r="U46" i="3"/>
  <c r="V46" i="3"/>
  <c r="V37" i="3"/>
  <c r="U37" i="3"/>
  <c r="V47" i="3"/>
  <c r="U47" i="3"/>
  <c r="L47" i="3"/>
  <c r="M47" i="3"/>
  <c r="L41" i="3"/>
  <c r="M41" i="3"/>
  <c r="L45" i="3"/>
  <c r="M45" i="3"/>
  <c r="V44" i="3"/>
  <c r="U44" i="3"/>
  <c r="L46" i="3"/>
  <c r="M46" i="3"/>
  <c r="L37" i="3"/>
  <c r="M37" i="3"/>
  <c r="E10" i="5"/>
  <c r="F10" i="5" s="1"/>
  <c r="L38" i="3"/>
  <c r="M38" i="3"/>
  <c r="U42" i="3"/>
  <c r="V42" i="3"/>
  <c r="L40" i="3"/>
  <c r="M40" i="3"/>
  <c r="L42" i="3"/>
  <c r="M42" i="3"/>
  <c r="I10" i="5" l="1"/>
  <c r="E16" i="5"/>
  <c r="F16" i="5" s="1"/>
  <c r="G21" i="5"/>
  <c r="H21" i="5" s="1"/>
  <c r="G12" i="5"/>
  <c r="H12" i="5" s="1"/>
  <c r="E12" i="5"/>
  <c r="F12" i="5" s="1"/>
  <c r="G17" i="5"/>
  <c r="H17" i="5" s="1"/>
  <c r="E21" i="5"/>
  <c r="F21" i="5" s="1"/>
  <c r="G20" i="5"/>
  <c r="H20" i="5" s="1"/>
  <c r="G26" i="5"/>
  <c r="H26" i="5" s="1"/>
  <c r="G24" i="5"/>
  <c r="H24" i="5" s="1"/>
  <c r="E19" i="5"/>
  <c r="F19" i="5" s="1"/>
  <c r="I11" i="5"/>
  <c r="G8" i="5"/>
  <c r="H8" i="5" s="1"/>
  <c r="G15" i="5"/>
  <c r="H15" i="5" s="1"/>
  <c r="E15" i="5"/>
  <c r="F15" i="5" s="1"/>
  <c r="G19" i="5"/>
  <c r="H19" i="5" s="1"/>
  <c r="E20" i="5"/>
  <c r="F20" i="5" s="1"/>
  <c r="E24" i="5"/>
  <c r="F24" i="5" s="1"/>
  <c r="E23" i="5"/>
  <c r="F23" i="5" s="1"/>
  <c r="E25" i="5"/>
  <c r="F25" i="5" s="1"/>
  <c r="V30" i="3"/>
  <c r="U30" i="3"/>
  <c r="U34" i="3"/>
  <c r="V34" i="3"/>
  <c r="E26" i="5"/>
  <c r="F26" i="5" s="1"/>
  <c r="L30" i="3"/>
  <c r="M30" i="3"/>
  <c r="G16" i="5"/>
  <c r="H16" i="5" s="1"/>
  <c r="U35" i="3"/>
  <c r="V35" i="3"/>
  <c r="G25" i="5"/>
  <c r="H25" i="5" s="1"/>
  <c r="G22" i="5"/>
  <c r="H22" i="5" s="1"/>
  <c r="L35" i="3"/>
  <c r="E8" i="5"/>
  <c r="F8" i="5" s="1"/>
  <c r="E22" i="5"/>
  <c r="F22" i="5" s="1"/>
  <c r="E17" i="5"/>
  <c r="F17" i="5" s="1"/>
  <c r="G23" i="5"/>
  <c r="H23" i="5" s="1"/>
  <c r="I18" i="5"/>
  <c r="I24" i="5" l="1"/>
  <c r="I16" i="5"/>
  <c r="I17" i="5"/>
  <c r="I23" i="5"/>
  <c r="I12" i="5"/>
  <c r="I15" i="5"/>
  <c r="I19" i="5"/>
  <c r="I21" i="5"/>
  <c r="I26" i="5"/>
  <c r="I20" i="5"/>
  <c r="E9" i="5"/>
  <c r="F9" i="5" s="1"/>
  <c r="I25" i="5"/>
  <c r="E14" i="5"/>
  <c r="F14" i="5" s="1"/>
  <c r="G9" i="5"/>
  <c r="H9" i="5" s="1"/>
  <c r="V48" i="3"/>
  <c r="U48" i="3"/>
  <c r="M35" i="3"/>
  <c r="G14" i="5" s="1"/>
  <c r="H14" i="5" s="1"/>
  <c r="I22" i="5"/>
  <c r="I8" i="5"/>
  <c r="I14" i="5" l="1"/>
  <c r="I9" i="5"/>
  <c r="L34" i="3" l="1"/>
  <c r="E13" i="5" s="1"/>
  <c r="F13" i="5" s="1"/>
  <c r="M34" i="3"/>
  <c r="G13" i="5" s="1"/>
  <c r="H13" i="5" s="1"/>
  <c r="I13" i="5" l="1"/>
  <c r="L48" i="3"/>
  <c r="E27" i="5" s="1"/>
  <c r="F27" i="5" s="1"/>
  <c r="F28" i="5" s="1"/>
  <c r="H33" i="5" s="1"/>
  <c r="M48" i="3"/>
  <c r="G27" i="5" s="1"/>
  <c r="H27" i="5" s="1"/>
  <c r="H28" i="5" s="1"/>
  <c r="H34" i="5" s="1"/>
  <c r="I27" i="5" l="1"/>
  <c r="I28" i="5" s="1"/>
  <c r="H35" i="5" s="1"/>
  <c r="H37" i="5" s="1"/>
  <c r="U15" i="3" l="1"/>
  <c r="E18" i="2" s="1"/>
  <c r="F18" i="2" s="1"/>
  <c r="G18" i="2"/>
  <c r="H18" i="2" s="1"/>
  <c r="V18" i="3"/>
  <c r="G21" i="2" s="1"/>
  <c r="H21" i="2" s="1"/>
  <c r="U18" i="3"/>
  <c r="E21" i="2" s="1"/>
  <c r="F21" i="2" s="1"/>
  <c r="V17" i="3"/>
  <c r="G20" i="2" s="1"/>
  <c r="H20" i="2" s="1"/>
  <c r="U17" i="3"/>
  <c r="E20" i="2" s="1"/>
  <c r="F20" i="2" s="1"/>
  <c r="V16" i="3"/>
  <c r="G19" i="2" s="1"/>
  <c r="H19" i="2" s="1"/>
  <c r="U16" i="3"/>
  <c r="E19" i="2" s="1"/>
  <c r="F19" i="2" s="1"/>
  <c r="U14" i="3"/>
  <c r="E17" i="2" s="1"/>
  <c r="F17" i="2" s="1"/>
  <c r="V14" i="3"/>
  <c r="G17" i="2" s="1"/>
  <c r="H17" i="2" s="1"/>
  <c r="U13" i="3"/>
  <c r="E16" i="2" s="1"/>
  <c r="F16" i="2" s="1"/>
  <c r="V13" i="3"/>
  <c r="G16" i="2" s="1"/>
  <c r="H16" i="2" s="1"/>
  <c r="V12" i="3"/>
  <c r="G15" i="2" s="1"/>
  <c r="H15" i="2" s="1"/>
  <c r="U12" i="3"/>
  <c r="E15" i="2" s="1"/>
  <c r="F15" i="2" s="1"/>
  <c r="V21" i="3"/>
  <c r="G24" i="2" s="1"/>
  <c r="H24" i="2" s="1"/>
  <c r="U21" i="3"/>
  <c r="E24" i="2" s="1"/>
  <c r="F24" i="2" s="1"/>
  <c r="V20" i="3"/>
  <c r="G23" i="2" s="1"/>
  <c r="H23" i="2" s="1"/>
  <c r="U20" i="3"/>
  <c r="E23" i="2" s="1"/>
  <c r="F23" i="2" s="1"/>
  <c r="U19" i="3"/>
  <c r="E22" i="2" s="1"/>
  <c r="F22" i="2" s="1"/>
  <c r="V19" i="3"/>
  <c r="G22" i="2" s="1"/>
  <c r="H22" i="2" s="1"/>
  <c r="I16" i="2" l="1"/>
  <c r="I20" i="2"/>
  <c r="I23" i="2"/>
  <c r="I17" i="2"/>
  <c r="I18" i="2"/>
  <c r="I22" i="2"/>
  <c r="I15" i="2"/>
  <c r="I24" i="2"/>
  <c r="I21" i="2"/>
  <c r="V22" i="3"/>
  <c r="G25" i="2" s="1"/>
  <c r="H25" i="2" s="1"/>
  <c r="U22" i="3"/>
  <c r="E25" i="2" s="1"/>
  <c r="F25" i="2" s="1"/>
  <c r="F28" i="2" s="1"/>
  <c r="H35" i="2" s="1"/>
  <c r="I35" i="2" s="1"/>
  <c r="I19" i="2"/>
  <c r="I25" i="2" l="1"/>
  <c r="I28" i="2" s="1"/>
  <c r="H37" i="2" s="1"/>
  <c r="H39" i="2" s="1"/>
  <c r="H28" i="2"/>
  <c r="H36" i="2" s="1"/>
  <c r="I36" i="2" s="1"/>
  <c r="I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Moore</author>
    <author>Toby Mandel</author>
    <author>Jeremy S.</author>
  </authors>
  <commentList>
    <comment ref="C29" authorId="0" shapeId="0" xr:uid="{00000000-0006-0000-0200-000001000000}">
      <text>
        <r>
          <rPr>
            <b/>
            <sz val="8"/>
            <color indexed="81"/>
            <rFont val="Tahoma"/>
            <family val="2"/>
          </rPr>
          <t>Beth Moore:</t>
        </r>
        <r>
          <rPr>
            <sz val="8"/>
            <color indexed="81"/>
            <rFont val="Tahoma"/>
            <family val="2"/>
          </rPr>
          <t xml:space="preserve">
http://www.deq.state.or.us/wmc/solwaste/haulerdocb.html</t>
        </r>
      </text>
    </comment>
    <comment ref="C30" authorId="0" shapeId="0" xr:uid="{00000000-0006-0000-0200-000002000000}">
      <text>
        <r>
          <rPr>
            <b/>
            <sz val="8"/>
            <color indexed="81"/>
            <rFont val="Tahoma"/>
            <family val="2"/>
          </rPr>
          <t>Beth Moore:</t>
        </r>
        <r>
          <rPr>
            <sz val="8"/>
            <color indexed="81"/>
            <rFont val="Tahoma"/>
            <family val="2"/>
          </rPr>
          <t xml:space="preserve">
http://www.recycle.net/spec/gr050334.html</t>
        </r>
      </text>
    </comment>
    <comment ref="C31" authorId="0" shapeId="0" xr:uid="{00000000-0006-0000-0200-000003000000}">
      <text>
        <r>
          <rPr>
            <b/>
            <sz val="8"/>
            <color indexed="81"/>
            <rFont val="Tahoma"/>
            <family val="2"/>
          </rPr>
          <t>Beth Moore:</t>
        </r>
        <r>
          <rPr>
            <sz val="8"/>
            <color indexed="81"/>
            <rFont val="Tahoma"/>
            <family val="2"/>
          </rPr>
          <t xml:space="preserve">
http://stockholm.music.museum/pan/tuning/app.d.html</t>
        </r>
      </text>
    </comment>
    <comment ref="C32" authorId="0" shapeId="0" xr:uid="{00000000-0006-0000-0200-000004000000}">
      <text>
        <r>
          <rPr>
            <b/>
            <sz val="8"/>
            <color indexed="81"/>
            <rFont val="Tahoma"/>
            <family val="2"/>
          </rPr>
          <t>Beth Moore:</t>
        </r>
        <r>
          <rPr>
            <sz val="8"/>
            <color indexed="81"/>
            <rFont val="Tahoma"/>
            <family val="2"/>
          </rPr>
          <t xml:space="preserve">
http://www.marionsteel.com/03Rebar.htm
</t>
        </r>
      </text>
    </comment>
    <comment ref="C33" authorId="0" shapeId="0" xr:uid="{00000000-0006-0000-0200-000005000000}">
      <text>
        <r>
          <rPr>
            <b/>
            <sz val="8"/>
            <color indexed="81"/>
            <rFont val="Tahoma"/>
            <family val="2"/>
          </rPr>
          <t>Beth Moore:</t>
        </r>
        <r>
          <rPr>
            <sz val="8"/>
            <color indexed="81"/>
            <rFont val="Tahoma"/>
            <family val="2"/>
          </rPr>
          <t xml:space="preserve">
http://www.marionsteel.com/03Rebar.htm
</t>
        </r>
      </text>
    </comment>
    <comment ref="C34" authorId="0" shapeId="0" xr:uid="{00000000-0006-0000-0200-000006000000}">
      <text>
        <r>
          <rPr>
            <b/>
            <sz val="8"/>
            <color indexed="81"/>
            <rFont val="Tahoma"/>
            <family val="2"/>
          </rPr>
          <t>Beth Moore:</t>
        </r>
        <r>
          <rPr>
            <sz val="8"/>
            <color indexed="81"/>
            <rFont val="Tahoma"/>
            <family val="2"/>
          </rPr>
          <t xml:space="preserve">
http://www.corcraft.org/pdf/Storage/VertFileCab.pdf</t>
        </r>
      </text>
    </comment>
    <comment ref="C35" authorId="0" shapeId="0" xr:uid="{00000000-0006-0000-0200-000007000000}">
      <text>
        <r>
          <rPr>
            <b/>
            <sz val="8"/>
            <color indexed="81"/>
            <rFont val="Tahoma"/>
            <family val="2"/>
          </rPr>
          <t>Beth Moore:</t>
        </r>
        <r>
          <rPr>
            <sz val="8"/>
            <color indexed="81"/>
            <rFont val="Tahoma"/>
            <family val="2"/>
          </rPr>
          <t xml:space="preserve">
http://www.corcraft.org/pdf/Storage/VertFileCab.pdf</t>
        </r>
      </text>
    </comment>
    <comment ref="C36" authorId="0" shapeId="0" xr:uid="{00000000-0006-0000-0200-000008000000}">
      <text>
        <r>
          <rPr>
            <b/>
            <sz val="8"/>
            <color indexed="81"/>
            <rFont val="Tahoma"/>
            <family val="2"/>
          </rPr>
          <t>Beth Moore:</t>
        </r>
        <r>
          <rPr>
            <sz val="8"/>
            <color indexed="81"/>
            <rFont val="Tahoma"/>
            <family val="2"/>
          </rPr>
          <t xml:space="preserve">
http://www.corcraft.org/pdf/Storage/VertFileCab.pdf</t>
        </r>
      </text>
    </comment>
    <comment ref="C37" authorId="0" shapeId="0" xr:uid="{00000000-0006-0000-0200-000009000000}">
      <text>
        <r>
          <rPr>
            <b/>
            <sz val="8"/>
            <color indexed="81"/>
            <rFont val="Tahoma"/>
            <family val="2"/>
          </rPr>
          <t>Beth Moore:</t>
        </r>
        <r>
          <rPr>
            <sz val="8"/>
            <color indexed="81"/>
            <rFont val="Tahoma"/>
            <family val="2"/>
          </rPr>
          <t xml:space="preserve">
http://www.corcraft.org/pdf/Storage/VertFileCab.pdf</t>
        </r>
      </text>
    </comment>
    <comment ref="C38" authorId="1" shapeId="0" xr:uid="{00000000-0006-0000-0200-00000A000000}">
      <text>
        <r>
          <rPr>
            <b/>
            <sz val="8"/>
            <color indexed="81"/>
            <rFont val="Tahoma"/>
            <family val="2"/>
          </rPr>
          <t>Toby Mandel:</t>
        </r>
        <r>
          <rPr>
            <sz val="8"/>
            <color indexed="81"/>
            <rFont val="Tahoma"/>
            <family val="2"/>
          </rPr>
          <t xml:space="preserve">
http://www.rfcafe.com/references/electrical/wire_cu.htm </t>
        </r>
      </text>
    </comment>
    <comment ref="C39" authorId="1" shapeId="0" xr:uid="{00000000-0006-0000-0200-00000B000000}">
      <text>
        <r>
          <rPr>
            <b/>
            <sz val="8"/>
            <color indexed="81"/>
            <rFont val="Tahoma"/>
            <family val="2"/>
          </rPr>
          <t>Toby Mandel:</t>
        </r>
        <r>
          <rPr>
            <sz val="8"/>
            <color indexed="81"/>
            <rFont val="Tahoma"/>
            <family val="2"/>
          </rPr>
          <t xml:space="preserve">
http://www.rfcafe.com/references/electrical/wire_cu.htm </t>
        </r>
      </text>
    </comment>
    <comment ref="C40" authorId="1" shapeId="0" xr:uid="{00000000-0006-0000-0200-00000C000000}">
      <text>
        <r>
          <rPr>
            <b/>
            <sz val="8"/>
            <color indexed="81"/>
            <rFont val="Tahoma"/>
            <family val="2"/>
          </rPr>
          <t>Toby Mandel:</t>
        </r>
        <r>
          <rPr>
            <sz val="8"/>
            <color indexed="81"/>
            <rFont val="Tahoma"/>
            <family val="2"/>
          </rPr>
          <t xml:space="preserve">
http://www.rfcafe.com/references/electrical/wire_cu.htm </t>
        </r>
      </text>
    </comment>
    <comment ref="C41" authorId="1" shapeId="0" xr:uid="{00000000-0006-0000-0200-00000D000000}">
      <text>
        <r>
          <rPr>
            <b/>
            <sz val="8"/>
            <color indexed="81"/>
            <rFont val="Tahoma"/>
            <family val="2"/>
          </rPr>
          <t>Toby Mandel:</t>
        </r>
        <r>
          <rPr>
            <sz val="8"/>
            <color indexed="81"/>
            <rFont val="Tahoma"/>
            <family val="2"/>
          </rPr>
          <t xml:space="preserve">
http://www.rfcafe.com/references/electrical/wire_cu.htm </t>
        </r>
      </text>
    </comment>
    <comment ref="C42" authorId="0" shapeId="0" xr:uid="{00000000-0006-0000-0200-00000E000000}">
      <text>
        <r>
          <rPr>
            <b/>
            <sz val="8"/>
            <color indexed="81"/>
            <rFont val="Tahoma"/>
            <family val="2"/>
          </rPr>
          <t>Beth Moore:</t>
        </r>
        <r>
          <rPr>
            <sz val="8"/>
            <color indexed="81"/>
            <rFont val="Tahoma"/>
            <family val="2"/>
          </rPr>
          <t xml:space="preserve">
http://www.deq.state.or.us/wmc/solwaste/haulerdocb.html</t>
        </r>
      </text>
    </comment>
    <comment ref="C43" authorId="0" shapeId="0" xr:uid="{00000000-0006-0000-0200-00000F000000}">
      <text>
        <r>
          <rPr>
            <b/>
            <sz val="8"/>
            <color indexed="81"/>
            <rFont val="Tahoma"/>
            <family val="2"/>
          </rPr>
          <t>Beth Moore:</t>
        </r>
        <r>
          <rPr>
            <sz val="8"/>
            <color indexed="81"/>
            <rFont val="Tahoma"/>
            <family val="2"/>
          </rPr>
          <t xml:space="preserve">
http://www.deq.state.or.us/wmc/solwaste/haulerdocb.html</t>
        </r>
      </text>
    </comment>
    <comment ref="C44" authorId="0" shapeId="0" xr:uid="{00000000-0006-0000-0200-000010000000}">
      <text>
        <r>
          <rPr>
            <b/>
            <sz val="8"/>
            <color indexed="81"/>
            <rFont val="Tahoma"/>
            <family val="2"/>
          </rPr>
          <t>Beth Moore:</t>
        </r>
        <r>
          <rPr>
            <sz val="8"/>
            <color indexed="81"/>
            <rFont val="Tahoma"/>
            <family val="2"/>
          </rPr>
          <t xml:space="preserve">
http://www.machinist-materials.com/Direct_sale/direct-sale-HDPE-Starboard.htm</t>
        </r>
      </text>
    </comment>
    <comment ref="C45" authorId="0" shapeId="0" xr:uid="{00000000-0006-0000-0200-000011000000}">
      <text>
        <r>
          <rPr>
            <b/>
            <sz val="8"/>
            <color indexed="81"/>
            <rFont val="Tahoma"/>
            <family val="2"/>
          </rPr>
          <t>Beth Moore:</t>
        </r>
        <r>
          <rPr>
            <sz val="8"/>
            <color indexed="81"/>
            <rFont val="Tahoma"/>
            <family val="2"/>
          </rPr>
          <t xml:space="preserve">
http://www.pipesnplastics.com/specifications.htm
</t>
        </r>
      </text>
    </comment>
    <comment ref="C46" authorId="0" shapeId="0" xr:uid="{00000000-0006-0000-0200-000012000000}">
      <text>
        <r>
          <rPr>
            <b/>
            <sz val="8"/>
            <color indexed="81"/>
            <rFont val="Tahoma"/>
            <family val="2"/>
          </rPr>
          <t>Beth Moore:</t>
        </r>
        <r>
          <rPr>
            <sz val="8"/>
            <color indexed="81"/>
            <rFont val="Tahoma"/>
            <family val="2"/>
          </rPr>
          <t xml:space="preserve">
http://www.pipesnplastics.com/specifications.htm</t>
        </r>
      </text>
    </comment>
    <comment ref="C47" authorId="2" shapeId="0" xr:uid="{00000000-0006-0000-0200-000013000000}">
      <text>
        <r>
          <rPr>
            <b/>
            <sz val="8"/>
            <color indexed="81"/>
            <rFont val="Tahoma"/>
            <family val="2"/>
          </rPr>
          <t>Jeremy S.:</t>
        </r>
        <r>
          <rPr>
            <sz val="8"/>
            <color indexed="81"/>
            <rFont val="Tahoma"/>
            <family val="2"/>
          </rPr>
          <t xml:space="preserve">
www.lyondell.com/html/products/LYlogistics/ equipmentspecs/Drums/LY8.xls</t>
        </r>
      </text>
    </comment>
    <comment ref="C48" authorId="0" shapeId="0" xr:uid="{00000000-0006-0000-0200-000014000000}">
      <text>
        <r>
          <rPr>
            <b/>
            <sz val="8"/>
            <color indexed="81"/>
            <rFont val="Tahoma"/>
            <family val="2"/>
          </rPr>
          <t>Beth Moore:</t>
        </r>
        <r>
          <rPr>
            <sz val="8"/>
            <color indexed="81"/>
            <rFont val="Tahoma"/>
            <family val="2"/>
          </rPr>
          <t xml:space="preserve">
http://www.deq.state.or.us/wmc/solwaste/haulerdocb.html</t>
        </r>
      </text>
    </comment>
    <comment ref="C49" authorId="0" shapeId="0" xr:uid="{00000000-0006-0000-0200-000015000000}">
      <text>
        <r>
          <rPr>
            <b/>
            <sz val="8"/>
            <color indexed="81"/>
            <rFont val="Tahoma"/>
            <family val="2"/>
          </rPr>
          <t>Beth Moore:</t>
        </r>
        <r>
          <rPr>
            <sz val="8"/>
            <color indexed="81"/>
            <rFont val="Tahoma"/>
            <family val="2"/>
          </rPr>
          <t xml:space="preserve">
http://www.deq.state.or.us/wmc/solwaste/haulerdocb.html</t>
        </r>
      </text>
    </comment>
    <comment ref="C50" authorId="0" shapeId="0" xr:uid="{00000000-0006-0000-0200-000016000000}">
      <text>
        <r>
          <rPr>
            <b/>
            <sz val="8"/>
            <color indexed="81"/>
            <rFont val="Tahoma"/>
            <family val="2"/>
          </rPr>
          <t>Beth Moore:</t>
        </r>
        <r>
          <rPr>
            <sz val="8"/>
            <color indexed="81"/>
            <rFont val="Tahoma"/>
            <family val="2"/>
          </rPr>
          <t xml:space="preserve">
http://www.deq.state.or.us/wmc/solwaste/haulerdocb.html</t>
        </r>
      </text>
    </comment>
    <comment ref="C51" authorId="0" shapeId="0" xr:uid="{00000000-0006-0000-0200-000017000000}">
      <text>
        <r>
          <rPr>
            <b/>
            <sz val="8"/>
            <color indexed="81"/>
            <rFont val="Tahoma"/>
            <family val="2"/>
          </rPr>
          <t>Beth Moore:</t>
        </r>
        <r>
          <rPr>
            <sz val="8"/>
            <color indexed="81"/>
            <rFont val="Tahoma"/>
            <family val="2"/>
          </rPr>
          <t xml:space="preserve">
http://www.deq.state.or.us/wmc/solwaste/haulerdocb.html</t>
        </r>
      </text>
    </comment>
    <comment ref="C63" authorId="0" shapeId="0" xr:uid="{00000000-0006-0000-0200-000018000000}">
      <text>
        <r>
          <rPr>
            <b/>
            <sz val="8"/>
            <color indexed="81"/>
            <rFont val="Tahoma"/>
            <family val="2"/>
          </rPr>
          <t>Beth Moore:</t>
        </r>
        <r>
          <rPr>
            <sz val="8"/>
            <color indexed="81"/>
            <rFont val="Tahoma"/>
            <family val="2"/>
          </rPr>
          <t xml:space="preserve">
http://hypertextbook.com/facts/2003/BettyTan.shtml</t>
        </r>
      </text>
    </comment>
    <comment ref="C64" authorId="2" shapeId="0" xr:uid="{00000000-0006-0000-0200-000019000000}">
      <text>
        <r>
          <rPr>
            <b/>
            <sz val="8"/>
            <color indexed="81"/>
            <rFont val="Tahoma"/>
            <family val="2"/>
          </rPr>
          <t>Jeremy S.:</t>
        </r>
        <r>
          <rPr>
            <sz val="8"/>
            <color indexed="81"/>
            <rFont val="Tahoma"/>
            <family val="2"/>
          </rPr>
          <t xml:space="preserve">
http://www.wickes.com/resourceLibrary/LumberYardMath/CalculatingWeights.cfm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Choate</author>
    <author>Jeremy S.</author>
  </authors>
  <commentList>
    <comment ref="Q4" authorId="0" shapeId="0" xr:uid="{00000000-0006-0000-0500-000001000000}">
      <text>
        <r>
          <rPr>
            <b/>
            <sz val="8"/>
            <color indexed="81"/>
            <rFont val="Tahoma"/>
            <family val="2"/>
          </rPr>
          <t>Anne Choate:</t>
        </r>
        <r>
          <rPr>
            <sz val="8"/>
            <color indexed="81"/>
            <rFont val="Tahoma"/>
            <family val="2"/>
          </rPr>
          <t xml:space="preserve">
This is how many tons of recyclables are needed to produce the recycled content for the baseline.</t>
        </r>
      </text>
    </comment>
    <comment ref="B29" authorId="1" shapeId="0" xr:uid="{00000000-0006-0000-0500-000002000000}">
      <text>
        <r>
          <rPr>
            <b/>
            <sz val="8"/>
            <color indexed="81"/>
            <rFont val="Tahoma"/>
            <family val="2"/>
          </rPr>
          <t>Jeremy S.:</t>
        </r>
        <r>
          <rPr>
            <sz val="8"/>
            <color indexed="81"/>
            <rFont val="Tahoma"/>
            <family val="2"/>
          </rPr>
          <t xml:space="preserve">
Embedded energy included.</t>
        </r>
      </text>
    </comment>
    <comment ref="C29" authorId="1" shapeId="0" xr:uid="{00000000-0006-0000-0500-000003000000}">
      <text>
        <r>
          <rPr>
            <b/>
            <sz val="8"/>
            <color indexed="81"/>
            <rFont val="Tahoma"/>
            <family val="2"/>
          </rPr>
          <t>Jeremy S.:</t>
        </r>
        <r>
          <rPr>
            <sz val="8"/>
            <color indexed="81"/>
            <rFont val="Tahoma"/>
            <family val="2"/>
          </rPr>
          <t xml:space="preserve">
Embedded energy included.</t>
        </r>
      </text>
    </comment>
    <comment ref="B34" authorId="1" shapeId="0" xr:uid="{00000000-0006-0000-0500-000004000000}">
      <text>
        <r>
          <rPr>
            <b/>
            <sz val="8"/>
            <color indexed="81"/>
            <rFont val="Tahoma"/>
            <family val="2"/>
          </rPr>
          <t>Jeremy S.:</t>
        </r>
        <r>
          <rPr>
            <sz val="8"/>
            <color indexed="81"/>
            <rFont val="Tahoma"/>
            <family val="2"/>
          </rPr>
          <t xml:space="preserve">
Embedded energy included.</t>
        </r>
      </text>
    </comment>
    <comment ref="C34" authorId="1" shapeId="0" xr:uid="{00000000-0006-0000-0500-000005000000}">
      <text>
        <r>
          <rPr>
            <b/>
            <sz val="8"/>
            <color indexed="81"/>
            <rFont val="Tahoma"/>
            <family val="2"/>
          </rPr>
          <t>Jeremy S.:</t>
        </r>
        <r>
          <rPr>
            <sz val="8"/>
            <color indexed="81"/>
            <rFont val="Tahoma"/>
            <family val="2"/>
          </rPr>
          <t xml:space="preserve">
Embedded energy included.</t>
        </r>
      </text>
    </comment>
    <comment ref="B35" authorId="1" shapeId="0" xr:uid="{00000000-0006-0000-0500-000006000000}">
      <text>
        <r>
          <rPr>
            <b/>
            <sz val="8"/>
            <color indexed="81"/>
            <rFont val="Tahoma"/>
            <family val="2"/>
          </rPr>
          <t>Jeremy S.:</t>
        </r>
        <r>
          <rPr>
            <sz val="8"/>
            <color indexed="81"/>
            <rFont val="Tahoma"/>
            <family val="2"/>
          </rPr>
          <t xml:space="preserve">
Embedded energy included.</t>
        </r>
      </text>
    </comment>
    <comment ref="C35" authorId="1" shapeId="0" xr:uid="{00000000-0006-0000-0500-000007000000}">
      <text>
        <r>
          <rPr>
            <b/>
            <sz val="8"/>
            <color indexed="81"/>
            <rFont val="Tahoma"/>
            <family val="2"/>
          </rPr>
          <t>Jeremy S.:</t>
        </r>
        <r>
          <rPr>
            <sz val="8"/>
            <color indexed="81"/>
            <rFont val="Tahoma"/>
            <family val="2"/>
          </rPr>
          <t xml:space="preserve">
Embedded energy included.</t>
        </r>
      </text>
    </comment>
  </commentList>
</comments>
</file>

<file path=xl/sharedStrings.xml><?xml version="1.0" encoding="utf-8"?>
<sst xmlns="http://schemas.openxmlformats.org/spreadsheetml/2006/main" count="525" uniqueCount="295">
  <si>
    <t>Material Purchased</t>
  </si>
  <si>
    <t>Surrogate Material</t>
  </si>
  <si>
    <t>Amount Purchased (pounds)</t>
  </si>
  <si>
    <t>Amount Purchased (tons)</t>
  </si>
  <si>
    <t>Percent Virgin Inputs Current</t>
  </si>
  <si>
    <t>Aluminum Cans</t>
  </si>
  <si>
    <t>Steel Cans</t>
  </si>
  <si>
    <t>Glass</t>
  </si>
  <si>
    <t>HDPE</t>
  </si>
  <si>
    <t>PET</t>
  </si>
  <si>
    <t>Corrugated Cardboard</t>
  </si>
  <si>
    <t>Magazines/Third-class Mail</t>
  </si>
  <si>
    <t>Newspaper</t>
  </si>
  <si>
    <t>Office Paper</t>
  </si>
  <si>
    <t>Phonebooks</t>
  </si>
  <si>
    <t>Textbooks</t>
  </si>
  <si>
    <t>Dimensional Lumber</t>
  </si>
  <si>
    <t>Medium-density Fiberboard</t>
  </si>
  <si>
    <t>Default Recycled Content (percent)</t>
  </si>
  <si>
    <t>Total</t>
  </si>
  <si>
    <t>Baseline Recycled Content (percent)</t>
  </si>
  <si>
    <t>Alternate</t>
  </si>
  <si>
    <t>Alternate Recycled Content (percent)</t>
  </si>
  <si>
    <t>Baseline</t>
  </si>
  <si>
    <t>2.</t>
  </si>
  <si>
    <t>1.</t>
  </si>
  <si>
    <t>Any type of aluminum product</t>
  </si>
  <si>
    <t>Coated paper</t>
  </si>
  <si>
    <t>Office paper, high grade paper</t>
  </si>
  <si>
    <t>PVC, rubber, textiles, unknown plastics</t>
  </si>
  <si>
    <t>Mixture of metal types, Al, Cu, Fe, Tn</t>
  </si>
  <si>
    <t>Fiberboard</t>
  </si>
  <si>
    <t>MTCE</t>
  </si>
  <si>
    <r>
      <t>a</t>
    </r>
    <r>
      <rPr>
        <sz val="9"/>
        <rFont val="Arial"/>
        <family val="2"/>
      </rPr>
      <t xml:space="preserve"> Average of aluminum and steel.</t>
    </r>
  </si>
  <si>
    <t>Notes:</t>
  </si>
  <si>
    <t xml:space="preserve">Notes: </t>
  </si>
  <si>
    <t>The life-cycle greenhouse gas emissions for the baseline manufacturing scenario are:</t>
  </si>
  <si>
    <t>The life-cycle greenhouse gas emissions for the alternate manufacturing scenario are:</t>
  </si>
  <si>
    <t>The greenhouse gas benefit associated with increasing the fraction of recycled inputs is:</t>
  </si>
  <si>
    <t>GHG Emissions Data</t>
  </si>
  <si>
    <t>Energy Data</t>
  </si>
  <si>
    <t>Material</t>
  </si>
  <si>
    <t>The energy benefit associated with increasing the fraction of recycled inputs is:</t>
  </si>
  <si>
    <t>MMBtu</t>
  </si>
  <si>
    <t>MTCO2 Eq</t>
  </si>
  <si>
    <t>Cars</t>
  </si>
  <si>
    <t>Gallons</t>
  </si>
  <si>
    <t>1 aluminum can</t>
  </si>
  <si>
    <t>average of two weights provided</t>
  </si>
  <si>
    <t>1 aluminum ingot</t>
  </si>
  <si>
    <t>55-gal steel drum</t>
  </si>
  <si>
    <t>Steel Rebar</t>
  </si>
  <si>
    <t>Filing Cabinet</t>
  </si>
  <si>
    <t>2-drawer letter</t>
  </si>
  <si>
    <t>2-drawer legal</t>
  </si>
  <si>
    <t>4-drawer letter</t>
  </si>
  <si>
    <t>4-drawer legal</t>
  </si>
  <si>
    <t>1 12 oz. Glass bottle</t>
  </si>
  <si>
    <t xml:space="preserve">1/4"x 23 3/4"x 24 1/2" </t>
  </si>
  <si>
    <t>3.5 in. diameter tube</t>
  </si>
  <si>
    <t>1 16 oz. Soda bottle</t>
  </si>
  <si>
    <t>1 20 oz. Soda bottle</t>
  </si>
  <si>
    <t>1 2-liter soda bottle</t>
  </si>
  <si>
    <t>1 cubic yard, loose</t>
  </si>
  <si>
    <t>1 magazine</t>
  </si>
  <si>
    <t>0.3 in thick</t>
  </si>
  <si>
    <r>
      <t xml:space="preserve">weekday edition of </t>
    </r>
    <r>
      <rPr>
        <i/>
        <sz val="10"/>
        <rFont val="Arial"/>
        <family val="2"/>
      </rPr>
      <t>Wall Street Journal</t>
    </r>
  </si>
  <si>
    <t>10 Kraft envelopes</t>
  </si>
  <si>
    <t>1 book</t>
  </si>
  <si>
    <t>2.75 in. thick book</t>
  </si>
  <si>
    <t>1 textbook</t>
  </si>
  <si>
    <t>Weight (lbs)</t>
  </si>
  <si>
    <t>1 bar, 13 mm dia., 20 ft long</t>
  </si>
  <si>
    <t>1 bar 36 mm dia., 60 ft long</t>
  </si>
  <si>
    <t>lbs. per foot</t>
  </si>
  <si>
    <t>1 3/8" x 1 7/8"</t>
  </si>
  <si>
    <t>2 7/8" x 2 7/8"</t>
  </si>
  <si>
    <t>2 7/8" x 4 7/8"</t>
  </si>
  <si>
    <t>10" x 13"</t>
  </si>
  <si>
    <t>letter 8 1/2" x 11", 500 sheets</t>
  </si>
  <si>
    <t>Spruce/Pine/Fir, board</t>
  </si>
  <si>
    <t>Treated lumber</t>
  </si>
  <si>
    <t>ingot weights vary greatly</t>
  </si>
  <si>
    <t>3/8" particle board</t>
  </si>
  <si>
    <t>5/8" particle board</t>
  </si>
  <si>
    <t>Material Unit Converter</t>
  </si>
  <si>
    <t>1 newspaper</t>
  </si>
  <si>
    <t>Material Unit Weight Table</t>
  </si>
  <si>
    <t>Width</t>
  </si>
  <si>
    <t>Paper Dimensions (inches):</t>
  </si>
  <si>
    <t>Height</t>
  </si>
  <si>
    <t>Weight of One Ream (lbs)</t>
  </si>
  <si>
    <t>Paper Grade (lb)</t>
  </si>
  <si>
    <t>50 white business envelopes</t>
  </si>
  <si>
    <t>Box of No. 10 (4 1/8" x 9 1/2")</t>
  </si>
  <si>
    <t>Reams Purchased</t>
  </si>
  <si>
    <t>Total Weight of Paper (lbs)</t>
  </si>
  <si>
    <t>Paper Calculator Equations</t>
  </si>
  <si>
    <t>Ream weight</t>
  </si>
  <si>
    <t>Total weight</t>
  </si>
  <si>
    <t>average H.S. physics textbook</t>
  </si>
  <si>
    <t>55-gal plastic drum</t>
  </si>
  <si>
    <t>GHG Emissions</t>
  </si>
  <si>
    <t>Energy Consumption</t>
  </si>
  <si>
    <t>The default recycled content represents typical recycled content of these materials.</t>
  </si>
  <si>
    <t>Standard single wall  (3mm)</t>
  </si>
  <si>
    <t>lbs. per drum</t>
  </si>
  <si>
    <t>lbs. per sq. foot</t>
  </si>
  <si>
    <t>lbs. per cubic yard (not compacted)</t>
  </si>
  <si>
    <t>lbs. per box</t>
  </si>
  <si>
    <t>lbs. per board-foot</t>
  </si>
  <si>
    <t>lbs. per bottle</t>
  </si>
  <si>
    <t>Please note that weights of these materials may vary depending on design specifications and other factors.</t>
  </si>
  <si>
    <t>Printer paper, 1 ream</t>
  </si>
  <si>
    <t>Printer/Office Paper Ream Weight Calculator</t>
  </si>
  <si>
    <t>Forest Sequestration</t>
  </si>
  <si>
    <t>RMAM Emissions</t>
  </si>
  <si>
    <t>Disposal Scenario</t>
  </si>
  <si>
    <t>LF (percent)</t>
  </si>
  <si>
    <t>Comb (percent)</t>
  </si>
  <si>
    <t>Conversions</t>
  </si>
  <si>
    <t>Baseline EF Calc</t>
  </si>
  <si>
    <t>Alternate EF Calc</t>
  </si>
  <si>
    <t>RMAM Energy</t>
  </si>
  <si>
    <t>Baseline EnF Calc (MMBtu/ton)</t>
  </si>
  <si>
    <t>Alternate EnF Calc (MMBtu/ton)</t>
  </si>
  <si>
    <t>Landfilling EnF Nat. Ave (MMBtu/ton)</t>
  </si>
  <si>
    <t>Combustion EnF (MMBtu/ton)</t>
  </si>
  <si>
    <t>Baseline Composite Disposal EnF (MMBtu/ton)</t>
  </si>
  <si>
    <t>Alternate Composite Disposal EnF (MMBtu/ton)</t>
  </si>
  <si>
    <t>RMAM 100% Virgin MMBtu/ton</t>
  </si>
  <si>
    <t>RMAM 100% Recycled MMBtu/ton</t>
  </si>
  <si>
    <t>Avoided Disposal Adjustment</t>
  </si>
  <si>
    <t>Baseline Recovery Loss Adj. (percent)</t>
  </si>
  <si>
    <t>Alternate Recovery Loss Adj. (percent)</t>
  </si>
  <si>
    <t>The energy benefit in terms of gallons of gasoline not consumed:</t>
  </si>
  <si>
    <t>MMbtu/gal</t>
  </si>
  <si>
    <t>Forest C Sequestration</t>
  </si>
  <si>
    <t>Baseline C Seq Calc (MMBtu/ton)</t>
  </si>
  <si>
    <t>Alternate C Seq Calc (MMBtu/ton)</t>
  </si>
  <si>
    <t>Unit Explanation/Notes</t>
  </si>
  <si>
    <t>that are made with the default fraction (or baseline percentage) of recycled inputs.</t>
  </si>
  <si>
    <t>Flat plastic rectangle</t>
  </si>
  <si>
    <t>1 16 oz. Glass bottle</t>
  </si>
  <si>
    <t>0.6 in. diameter tube</t>
  </si>
  <si>
    <t>NA</t>
  </si>
  <si>
    <t>Number of units (cans, feet, cubic yards, etc.)</t>
  </si>
  <si>
    <t>Total Weight (pounds)</t>
  </si>
  <si>
    <t>Weight per Unit Selected</t>
  </si>
  <si>
    <t>Selected Unit:</t>
  </si>
  <si>
    <t>Factor</t>
  </si>
  <si>
    <t>lbs. per drum (avg of two wts provided)</t>
  </si>
  <si>
    <r>
      <t>Corresponding Material (or Surrogate)</t>
    </r>
    <r>
      <rPr>
        <b/>
        <vertAlign val="superscript"/>
        <sz val="10"/>
        <rFont val="Arial"/>
        <family val="2"/>
      </rPr>
      <t>1</t>
    </r>
  </si>
  <si>
    <t>Cardboard, boxboard, kraft paper</t>
  </si>
  <si>
    <t>Example Materials for Which This Material can be Used as a Surrogate</t>
  </si>
  <si>
    <t>Glass-based products</t>
  </si>
  <si>
    <t>Any solid wood materials</t>
  </si>
  <si>
    <t>ReCon Input Sheet</t>
  </si>
  <si>
    <t>The life-cycle energy consumption for the baseline manufacturing scenario is:</t>
  </si>
  <si>
    <t>The life-cycle energy consumption for the alternate manufacturing scenario is:</t>
  </si>
  <si>
    <t xml:space="preserve">        Note: negative value indicates GHG emission reductions, i.e., benefit.</t>
  </si>
  <si>
    <t xml:space="preserve">        Note: negative value indicates energy savings, i.e., benefit.</t>
  </si>
  <si>
    <t>Post-it notes, 1 pack of 12</t>
  </si>
  <si>
    <t>2'x2'x2' box, 3mm SW</t>
  </si>
  <si>
    <t>Material Type</t>
  </si>
  <si>
    <t>Example Material</t>
  </si>
  <si>
    <t>20 - 50</t>
  </si>
  <si>
    <t>5 - 30</t>
  </si>
  <si>
    <t>0 - 15</t>
  </si>
  <si>
    <t>0 - 10</t>
  </si>
  <si>
    <t>10 - 75</t>
  </si>
  <si>
    <t>0 - 30</t>
  </si>
  <si>
    <t>0 - 60</t>
  </si>
  <si>
    <t>0 - 35</t>
  </si>
  <si>
    <t>Copper Wire</t>
  </si>
  <si>
    <t>24 Gauge Wire</t>
  </si>
  <si>
    <t>16 Gauge Wire</t>
  </si>
  <si>
    <t>4 Gauge Wire</t>
  </si>
  <si>
    <t>Electrical copper wire of varying gauges</t>
  </si>
  <si>
    <t>12 Gauge Wire</t>
  </si>
  <si>
    <t/>
  </si>
  <si>
    <t>Ferrous and non-ferrous metals, iron</t>
  </si>
  <si>
    <t>The greenhouse gas benefit in terms of passenger cars not driven for one year:</t>
  </si>
  <si>
    <t>Source: Energy Savings.xls</t>
  </si>
  <si>
    <t>Contant for loss rate calculation</t>
  </si>
  <si>
    <t>(a)
Amount
(tons)</t>
  </si>
  <si>
    <t>Aluminum Ingot</t>
  </si>
  <si>
    <t>Mixed Paper (general)</t>
  </si>
  <si>
    <t>Mixed Paper (primarily from offices)</t>
  </si>
  <si>
    <t>Mixed Paper (primarily residential)</t>
  </si>
  <si>
    <t>Current Mix of Virgin and Recycled Inputs</t>
  </si>
  <si>
    <t>Electrical conductors, aluminum product cuttings, joinings and weldings, and consumer durable products</t>
  </si>
  <si>
    <t>Color Legend for Cells</t>
  </si>
  <si>
    <t>User inputs</t>
  </si>
  <si>
    <t>Calculated or locked cells</t>
  </si>
  <si>
    <t>Data cannot be entered</t>
  </si>
  <si>
    <t>Color Legend For Tabs</t>
  </si>
  <si>
    <t>GHG and Energy Impacts</t>
  </si>
  <si>
    <t>MTCO2e/car</t>
  </si>
  <si>
    <t>gallons/MTCO2e</t>
  </si>
  <si>
    <t>RMAM 100% Virgin MTCO2e/ton</t>
  </si>
  <si>
    <t>RMAM 100% Recycled MTCO2e/ton</t>
  </si>
  <si>
    <t>Forest C Seq. MTCO2e/ton</t>
  </si>
  <si>
    <t>Baseline C Seq Calc (MTCO2e/ton)</t>
  </si>
  <si>
    <t>Alternate C Seq Calc (MTCO2e/ton)</t>
  </si>
  <si>
    <t>Landfilling EF Nat. Ave (MTCO2e/ton)</t>
  </si>
  <si>
    <t>Combustion EF (MTCO2e/ton)</t>
  </si>
  <si>
    <t>Baseline Composite Disposal EF (MTCO2e/ton)</t>
  </si>
  <si>
    <t>Alternate Composite Disposal EF (MTCO2e/ton)</t>
  </si>
  <si>
    <t>This tool is designed to assist companies in evaluating the greenhouse gas and energy benefits associated with increasing the content of post-consumer recycled inputs in materials they may purchase or manufacture. Cells shaded in green are data input cells.</t>
  </si>
  <si>
    <t>Enter the tons of each type of material you purchase or manufacture in the table below. EPA has not evaluated all material types; if the material of interest is not listed, enter your data in the row of a "surrogate" material similar to the materials you purchase or manufacture. Enter a brief description of the material and the amount of each material that is purchased in pounds. Note that the table includes some sample data to show you how you might enter your company's data. Also note that different materials of the same basic material type (i.e., steel drums and steel rods) should be included in the same row. If you do not have weight information for certain materials, the Unit Converter Sheet provides some conversion factors for each material type.</t>
  </si>
  <si>
    <t>Mixed Metals</t>
  </si>
  <si>
    <t>Mixed Plastics</t>
  </si>
  <si>
    <r>
      <t>b</t>
    </r>
    <r>
      <rPr>
        <sz val="9"/>
        <rFont val="Arial"/>
        <family val="2"/>
      </rPr>
      <t xml:space="preserve"> Average of PET and HDPE.</t>
    </r>
  </si>
  <si>
    <r>
      <t>Mixed Metals</t>
    </r>
    <r>
      <rPr>
        <vertAlign val="superscript"/>
        <sz val="10"/>
        <rFont val="Arial"/>
        <family val="2"/>
      </rPr>
      <t>a</t>
    </r>
  </si>
  <si>
    <r>
      <t>Mixed Plastics</t>
    </r>
    <r>
      <rPr>
        <vertAlign val="superscript"/>
        <sz val="10"/>
        <rFont val="Arial"/>
        <family val="2"/>
      </rPr>
      <t>b</t>
    </r>
  </si>
  <si>
    <t>Mixture of paper products</t>
  </si>
  <si>
    <t>Mixture of paper products found in a home</t>
  </si>
  <si>
    <t>Mixture of paper products found in an office</t>
  </si>
  <si>
    <r>
      <t>1</t>
    </r>
    <r>
      <rPr>
        <sz val="9"/>
        <rFont val="Arial"/>
        <family val="2"/>
      </rPr>
      <t xml:space="preserve"> The use of surrogate material types should be considered as an approximation only. Actual GHG emissions and energy consumption related to the manufacture of materials other than those specifically listed in the surrogate material column may differ significantly.</t>
    </r>
  </si>
  <si>
    <t>Use Default for Baseline Recycled Content</t>
  </si>
  <si>
    <t>32 - 100</t>
  </si>
  <si>
    <t>0 - 100</t>
  </si>
  <si>
    <t>0 - 75</t>
  </si>
  <si>
    <t>Baseline Recycled Content Used in Calculations</t>
  </si>
  <si>
    <t>Recycled Content Range (percent)</t>
  </si>
  <si>
    <t>User-Selected Baseline Recycled Content (percent)</t>
  </si>
  <si>
    <t>Use Default for Baseline Recycled Content 
(percent)</t>
  </si>
  <si>
    <t>Click here to proceed to the GHG Output Sheet</t>
  </si>
  <si>
    <t>Click here to proceed to the Energy Output Sheet</t>
  </si>
  <si>
    <t>Click here to proceed to the Unit Converter Sheet</t>
  </si>
  <si>
    <t xml:space="preserve">If you select the check box in the grey column above, the tool will assume that you are purchasing materials </t>
  </si>
  <si>
    <t>Enter the post-consumer recycled content of each material below. The baseline recycled content value should reflect the current proportion of recycled inputs. The alternate recycled content value should reflect the percent of recycled content if you alter your purchasing or manufacturing patterns. If you do not know the percent recycled content in the baseline, click the check box in the Use Default for Baseline Recycled Content column of the table to use a default value. Please note that typical recycled content ranges for each material are provided in the recycled content range table. This table provides the user with reasonable estimates of minimum and maximum post-consumer recycled content for materials in the marketplace.</t>
  </si>
  <si>
    <t>Aluminum Cans1</t>
  </si>
  <si>
    <t>Aluminum Ingot1</t>
  </si>
  <si>
    <t>Steel Cans1</t>
  </si>
  <si>
    <t>Steel Cans2</t>
  </si>
  <si>
    <t>Steel Cans3</t>
  </si>
  <si>
    <t>Steel Cans4</t>
  </si>
  <si>
    <t>Steel Cans5</t>
  </si>
  <si>
    <t>Steel Cans6</t>
  </si>
  <si>
    <t>Steel Cans7</t>
  </si>
  <si>
    <t>Copper Wire1</t>
  </si>
  <si>
    <t>Copper Wire2</t>
  </si>
  <si>
    <t>Copper Wire3</t>
  </si>
  <si>
    <t>Copper Wire4</t>
  </si>
  <si>
    <t>Glass1</t>
  </si>
  <si>
    <t>Glass2</t>
  </si>
  <si>
    <t>HDPE1</t>
  </si>
  <si>
    <t>HDPE2</t>
  </si>
  <si>
    <t>HDPE3</t>
  </si>
  <si>
    <t>HDPE4</t>
  </si>
  <si>
    <t>PET1</t>
  </si>
  <si>
    <t>PET2</t>
  </si>
  <si>
    <t>PET3</t>
  </si>
  <si>
    <t>Corrugated Cardboard1</t>
  </si>
  <si>
    <t>Corrugated Cardboard2</t>
  </si>
  <si>
    <t>Corrugated Cardboard3</t>
  </si>
  <si>
    <t>Magazines/Third-class Mail1</t>
  </si>
  <si>
    <t>Newspaper1</t>
  </si>
  <si>
    <t>Office Paper1</t>
  </si>
  <si>
    <t>Office Paper2</t>
  </si>
  <si>
    <t>Office Paper3</t>
  </si>
  <si>
    <t>Office Paper4</t>
  </si>
  <si>
    <t>Office Paper5</t>
  </si>
  <si>
    <t>Office Paper6</t>
  </si>
  <si>
    <t>Phonebooks1</t>
  </si>
  <si>
    <t>Textbooks1</t>
  </si>
  <si>
    <t>Dimensional Lumber1</t>
  </si>
  <si>
    <t>Dimensional Lumber2</t>
  </si>
  <si>
    <t>Medium-density Fiberboard1</t>
  </si>
  <si>
    <t>Medium-density Fiberboard2</t>
  </si>
  <si>
    <t>Select a material</t>
  </si>
  <si>
    <t>Select a unit</t>
  </si>
  <si>
    <t>This sheet provides a calculator based on sample weights for some typical materials and an office paper weight calculator. The unit weight values may be used to determine the weight of materials purchased or manufactured when only information on the number of units is available. Please note that these values should be considered as an approximation only, and the user is encouraged to utilize actual material weight values where possible. The user can select the drop-down cells below to choose a material type and example material from the Material Unit Weight Table, and then enter the number of units in the input cell (shaded green) to get an approximate weight estimate. The weight estimates created in this sheet can then be entered in the Input Sheet.</t>
  </si>
  <si>
    <t>(b)
Baseline Total GHG Emission Factor
(MTCO2e/ton)</t>
  </si>
  <si>
    <t>(d)
Alternate Total GHG Emission Factor
(MTCO2e/ton)</t>
  </si>
  <si>
    <t>(f)
Differential Between Baseline and Alternate
(MTCO2e)
( = e - c)</t>
  </si>
  <si>
    <t>(e)
Alternate Total GHG Emissions
(MTCO2e)
( = a x d)</t>
  </si>
  <si>
    <t>(c)  
Baseline Total GHG Emissions (MTCO2e)  
( = a x b)</t>
  </si>
  <si>
    <t>This sheet provides the user with an estimate of the GHG emissions impact of the materials purchased or manufactured based on the information entered in the Input Sheet. The emission factors include upstream manufacturing emissions, carbon sequestration, and avoided disposal emissions.</t>
  </si>
  <si>
    <t xml:space="preserve">Results: The table below provides emission factors and GHG emissions impacts for purchasing and manufacturing activities in the baseline and alternate recycled content scenarios. Column f provides an estimate of the impact of shifting manufacturing processes to include more recycled inputs. Negative results in this column indicate an emission savings. </t>
  </si>
  <si>
    <t>Click here to return to the Input Sheet</t>
  </si>
  <si>
    <t>Emission factors taken from the EPA Waste Reduction Model (WARM).</t>
  </si>
  <si>
    <t>Notes: Energy factors taken from the EPA's Waste Reduction Model (WARM).</t>
  </si>
  <si>
    <t>This sheet provides the user with an estimate of the energy impact of the materials purchased or manufactured based on the information entered in the Input Sheet. The energy factors include upstream manufacturing as well as avoided disposal impacts.</t>
  </si>
  <si>
    <t>Results: The table below provides energy consumption factors and total energy consumption impacts for manufacturing activities in the baseline and alternate recycled content scenarios. Column f provides an estimate of the impact of shifting manufacturing processes to include increased recycled content. Negative results in this column indicate an energy savings.</t>
  </si>
  <si>
    <t>(b)
Baseline Total Energy Consumption
(MMBtu/ton)</t>
  </si>
  <si>
    <t>(d)
Alternate Total Energy Consumption
(MMBtu/ton)</t>
  </si>
  <si>
    <t>(c )
Baseline Total Energy
(MMBtu)
( = a x b)</t>
  </si>
  <si>
    <t>(e)
Alternate Total Energy Consumption
(MMBtu)
( = a x d)</t>
  </si>
  <si>
    <t>(f)
Differential Between Baseline and Alternate
(MMBtu)
( = e - c)</t>
  </si>
  <si>
    <t>This calculator will determine the approximate weight of one ream (500 sheets) of office paper based on specifications entered by the user. The user must enter the dimensions and grade of paper (lb). Cells shaded in green are input cells. Note that standard office paper is considered to be 8.5" x 11", 20 lb grade.</t>
  </si>
  <si>
    <t>Corrugated Containers</t>
  </si>
  <si>
    <t>Version 5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</si>
</sst>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0.0000"/>
    <numFmt numFmtId="166" formatCode="0.000"/>
    <numFmt numFmtId="167" formatCode="#,##0.0000_);\(#,##0.0000\)"/>
    <numFmt numFmtId="168" formatCode="#,##0.00000_);\(#,##0.00000\)"/>
    <numFmt numFmtId="169" formatCode="#,##0.0"/>
    <numFmt numFmtId="170" formatCode="_(* #,##0_);_(* \(#,##0\);_(* &quot;-&quot;??_);_(@_)"/>
    <numFmt numFmtId="171" formatCode="0.0%"/>
    <numFmt numFmtId="172" formatCode="General_)"/>
    <numFmt numFmtId="173" formatCode="#,##0.000_);\(#,##0.000\)"/>
  </numFmts>
  <fonts count="21" x14ac:knownFonts="1">
    <font>
      <sz val="10"/>
      <name val="Arial"/>
    </font>
    <font>
      <sz val="10"/>
      <name val="Arial"/>
    </font>
    <font>
      <b/>
      <sz val="10"/>
      <name val="Arial"/>
      <family val="2"/>
    </font>
    <font>
      <b/>
      <sz val="12"/>
      <name val="Arial"/>
      <family val="2"/>
    </font>
    <font>
      <vertAlign val="superscript"/>
      <sz val="10"/>
      <name val="Arial"/>
      <family val="2"/>
    </font>
    <font>
      <vertAlign val="superscript"/>
      <sz val="9"/>
      <name val="Arial"/>
      <family val="2"/>
    </font>
    <font>
      <sz val="9"/>
      <name val="Arial"/>
      <family val="2"/>
    </font>
    <font>
      <sz val="8"/>
      <color indexed="81"/>
      <name val="Tahoma"/>
      <family val="2"/>
    </font>
    <font>
      <b/>
      <sz val="8"/>
      <color indexed="81"/>
      <name val="Tahoma"/>
      <family val="2"/>
    </font>
    <font>
      <b/>
      <i/>
      <sz val="10"/>
      <name val="Arial"/>
      <family val="2"/>
    </font>
    <font>
      <sz val="11"/>
      <name val="Arial"/>
      <family val="2"/>
    </font>
    <font>
      <i/>
      <sz val="10"/>
      <name val="Arial"/>
      <family val="2"/>
    </font>
    <font>
      <sz val="10"/>
      <color indexed="8"/>
      <name val="Arial"/>
      <family val="2"/>
    </font>
    <font>
      <b/>
      <vertAlign val="superscript"/>
      <sz val="10"/>
      <name val="Arial"/>
      <family val="2"/>
    </font>
    <font>
      <sz val="10"/>
      <name val="Arial"/>
      <family val="2"/>
    </font>
    <font>
      <b/>
      <sz val="11"/>
      <color indexed="10"/>
      <name val="Arial"/>
      <family val="2"/>
    </font>
    <font>
      <sz val="12"/>
      <name val="Arial"/>
      <family val="2"/>
    </font>
    <font>
      <sz val="8"/>
      <name val="Arial"/>
      <family val="2"/>
    </font>
    <font>
      <sz val="8"/>
      <name val="helv"/>
    </font>
    <font>
      <u/>
      <sz val="10"/>
      <color theme="10"/>
      <name val="Arial"/>
    </font>
    <font>
      <b/>
      <u/>
      <sz val="10"/>
      <color theme="10"/>
      <name val="Arial"/>
      <family val="2"/>
    </font>
  </fonts>
  <fills count="14">
    <fill>
      <patternFill patternType="none"/>
    </fill>
    <fill>
      <patternFill patternType="gray125"/>
    </fill>
    <fill>
      <patternFill patternType="solid">
        <fgColor indexed="50"/>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bgColor indexed="64"/>
      </patternFill>
    </fill>
    <fill>
      <patternFill patternType="solid">
        <fgColor theme="0" tint="-0.249977111117893"/>
        <bgColor indexed="64"/>
      </patternFill>
    </fill>
    <fill>
      <patternFill patternType="solid">
        <fgColor rgb="FFCCFFCC"/>
        <bgColor indexed="64"/>
      </patternFill>
    </fill>
  </fills>
  <borders count="116">
    <border>
      <left/>
      <right/>
      <top/>
      <bottom/>
      <diagonal/>
    </border>
    <border>
      <left/>
      <right/>
      <top style="double">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bottom/>
      <diagonal/>
    </border>
    <border>
      <left style="double">
        <color indexed="64"/>
      </left>
      <right style="thin">
        <color indexed="9"/>
      </right>
      <top style="double">
        <color indexed="64"/>
      </top>
      <bottom style="thin">
        <color indexed="64"/>
      </bottom>
      <diagonal/>
    </border>
    <border>
      <left style="thin">
        <color indexed="9"/>
      </left>
      <right style="thin">
        <color indexed="9"/>
      </right>
      <top style="double">
        <color indexed="64"/>
      </top>
      <bottom style="thin">
        <color indexed="64"/>
      </bottom>
      <diagonal/>
    </border>
    <border>
      <left style="thin">
        <color indexed="9"/>
      </left>
      <right style="double">
        <color indexed="64"/>
      </right>
      <top style="double">
        <color indexed="64"/>
      </top>
      <bottom style="thin">
        <color indexed="64"/>
      </bottom>
      <diagonal/>
    </border>
    <border>
      <left style="double">
        <color indexed="64"/>
      </left>
      <right/>
      <top/>
      <bottom style="thin">
        <color indexed="9"/>
      </bottom>
      <diagonal/>
    </border>
    <border>
      <left/>
      <right style="double">
        <color indexed="64"/>
      </right>
      <top/>
      <bottom style="thin">
        <color indexed="9"/>
      </bottom>
      <diagonal/>
    </border>
    <border>
      <left style="double">
        <color indexed="64"/>
      </left>
      <right/>
      <top style="thin">
        <color indexed="9"/>
      </top>
      <bottom style="thin">
        <color indexed="9"/>
      </bottom>
      <diagonal/>
    </border>
    <border>
      <left/>
      <right style="double">
        <color indexed="64"/>
      </right>
      <top style="thin">
        <color indexed="9"/>
      </top>
      <bottom style="thin">
        <color indexed="9"/>
      </bottom>
      <diagonal/>
    </border>
    <border>
      <left style="double">
        <color indexed="64"/>
      </left>
      <right/>
      <top style="thin">
        <color indexed="9"/>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9"/>
      </right>
      <top/>
      <bottom style="thin">
        <color indexed="9"/>
      </bottom>
      <diagonal/>
    </border>
    <border>
      <left style="thin">
        <color indexed="9"/>
      </left>
      <right style="double">
        <color indexed="64"/>
      </right>
      <top/>
      <bottom style="thin">
        <color indexed="9"/>
      </bottom>
      <diagonal/>
    </border>
    <border>
      <left style="double">
        <color indexed="64"/>
      </left>
      <right style="thin">
        <color indexed="9"/>
      </right>
      <top style="thin">
        <color indexed="9"/>
      </top>
      <bottom style="thin">
        <color indexed="9"/>
      </bottom>
      <diagonal/>
    </border>
    <border>
      <left style="thin">
        <color indexed="9"/>
      </left>
      <right style="double">
        <color indexed="64"/>
      </right>
      <top style="thin">
        <color indexed="9"/>
      </top>
      <bottom/>
      <diagonal/>
    </border>
    <border>
      <left style="thin">
        <color indexed="9"/>
      </left>
      <right style="double">
        <color indexed="64"/>
      </right>
      <top style="thin">
        <color indexed="9"/>
      </top>
      <bottom style="thin">
        <color indexed="9"/>
      </bottom>
      <diagonal/>
    </border>
    <border>
      <left style="double">
        <color indexed="64"/>
      </left>
      <right style="thin">
        <color indexed="9"/>
      </right>
      <top style="thin">
        <color indexed="9"/>
      </top>
      <bottom/>
      <diagonal/>
    </border>
    <border>
      <left style="double">
        <color indexed="64"/>
      </left>
      <right style="thin">
        <color indexed="9"/>
      </right>
      <top style="thin">
        <color indexed="9"/>
      </top>
      <bottom style="double">
        <color indexed="64"/>
      </bottom>
      <diagonal/>
    </border>
    <border>
      <left style="thin">
        <color indexed="9"/>
      </left>
      <right style="thin">
        <color indexed="9"/>
      </right>
      <top/>
      <bottom style="double">
        <color indexed="64"/>
      </bottom>
      <diagonal/>
    </border>
    <border>
      <left style="thin">
        <color indexed="9"/>
      </left>
      <right style="thin">
        <color indexed="9"/>
      </right>
      <top style="thin">
        <color indexed="9"/>
      </top>
      <bottom style="double">
        <color indexed="64"/>
      </bottom>
      <diagonal/>
    </border>
    <border>
      <left style="thin">
        <color indexed="9"/>
      </left>
      <right style="double">
        <color indexed="64"/>
      </right>
      <top style="thin">
        <color indexed="9"/>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ck">
        <color indexed="64"/>
      </right>
      <top style="thin">
        <color indexed="64"/>
      </top>
      <bottom/>
      <diagonal/>
    </border>
    <border>
      <left style="thin">
        <color indexed="64"/>
      </left>
      <right style="thin">
        <color indexed="64"/>
      </right>
      <top style="thin">
        <color indexed="9"/>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thin">
        <color indexed="9"/>
      </top>
      <bottom style="double">
        <color indexed="64"/>
      </bottom>
      <diagonal/>
    </border>
    <border>
      <left style="thin">
        <color indexed="64"/>
      </left>
      <right style="thin">
        <color indexed="64"/>
      </right>
      <top/>
      <bottom style="thin">
        <color indexed="9"/>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double">
        <color indexed="64"/>
      </top>
      <bottom style="double">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72" fontId="18" fillId="0" borderId="0"/>
    <xf numFmtId="0" fontId="19" fillId="0" borderId="0" applyNumberFormat="0" applyFill="0" applyBorder="0" applyAlignment="0" applyProtection="0"/>
  </cellStyleXfs>
  <cellXfs count="309">
    <xf numFmtId="0" fontId="0" fillId="0" borderId="0" xfId="0"/>
    <xf numFmtId="0" fontId="0" fillId="0" borderId="0" xfId="0" applyAlignment="1">
      <alignment wrapText="1"/>
    </xf>
    <xf numFmtId="0" fontId="2" fillId="0" borderId="0" xfId="0" applyFont="1" applyAlignment="1">
      <alignment horizontal="center" wrapText="1"/>
    </xf>
    <xf numFmtId="0" fontId="0" fillId="0" borderId="0" xfId="0" applyAlignment="1">
      <alignment horizontal="left" vertical="top" wrapText="1"/>
    </xf>
    <xf numFmtId="39"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5" fillId="0" borderId="0" xfId="0" applyFont="1"/>
    <xf numFmtId="0" fontId="6" fillId="0" borderId="1" xfId="0" applyFont="1" applyFill="1" applyBorder="1"/>
    <xf numFmtId="0" fontId="0" fillId="0" borderId="0" xfId="0" applyFill="1" applyBorder="1"/>
    <xf numFmtId="49" fontId="2" fillId="0" borderId="0" xfId="0" applyNumberFormat="1" applyFont="1" applyAlignment="1">
      <alignment horizontal="left" vertical="top" wrapText="1"/>
    </xf>
    <xf numFmtId="1" fontId="0" fillId="0" borderId="2" xfId="0" applyNumberFormat="1" applyBorder="1" applyAlignment="1">
      <alignment horizontal="center"/>
    </xf>
    <xf numFmtId="0" fontId="6" fillId="0" borderId="0" xfId="0" applyFont="1"/>
    <xf numFmtId="0" fontId="2" fillId="0" borderId="0" xfId="0" applyFont="1" applyBorder="1" applyAlignment="1">
      <alignment horizontal="center" wrapText="1"/>
    </xf>
    <xf numFmtId="0" fontId="0" fillId="0" borderId="3" xfId="0" applyBorder="1"/>
    <xf numFmtId="164" fontId="0" fillId="0" borderId="3" xfId="0" applyNumberFormat="1" applyBorder="1" applyAlignment="1">
      <alignment horizontal="center"/>
    </xf>
    <xf numFmtId="0" fontId="0" fillId="0" borderId="5" xfId="0" applyBorder="1"/>
    <xf numFmtId="164" fontId="0" fillId="0" borderId="5" xfId="0" applyNumberFormat="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wrapText="1"/>
    </xf>
    <xf numFmtId="2" fontId="0" fillId="0" borderId="8" xfId="0" applyNumberFormat="1" applyBorder="1" applyAlignment="1">
      <alignment horizontal="center"/>
    </xf>
    <xf numFmtId="0" fontId="2" fillId="0" borderId="9" xfId="0" applyFont="1" applyBorder="1" applyAlignment="1">
      <alignment horizontal="center" wrapText="1"/>
    </xf>
    <xf numFmtId="0" fontId="2" fillId="0" borderId="0" xfId="0" applyFont="1" applyFill="1" applyBorder="1" applyAlignment="1">
      <alignment horizontal="center" wrapText="1"/>
    </xf>
    <xf numFmtId="2" fontId="0" fillId="0" borderId="3" xfId="0" applyNumberFormat="1" applyBorder="1" applyAlignment="1">
      <alignment horizontal="center"/>
    </xf>
    <xf numFmtId="4" fontId="0" fillId="0" borderId="5" xfId="0" applyNumberFormat="1" applyBorder="1" applyAlignment="1">
      <alignment horizontal="center"/>
    </xf>
    <xf numFmtId="2" fontId="0" fillId="0" borderId="5" xfId="0" applyNumberFormat="1" applyBorder="1" applyAlignment="1">
      <alignment horizontal="center"/>
    </xf>
    <xf numFmtId="0" fontId="2" fillId="0" borderId="9" xfId="0" applyFont="1" applyFill="1" applyBorder="1" applyAlignment="1">
      <alignment horizontal="center" wrapText="1"/>
    </xf>
    <xf numFmtId="4" fontId="0" fillId="0" borderId="4" xfId="0" applyNumberFormat="1" applyBorder="1" applyAlignment="1">
      <alignment horizontal="center"/>
    </xf>
    <xf numFmtId="2" fontId="0" fillId="0" borderId="10" xfId="0" applyNumberFormat="1" applyFill="1" applyBorder="1" applyAlignment="1">
      <alignment horizontal="center"/>
    </xf>
    <xf numFmtId="2" fontId="0" fillId="0" borderId="11" xfId="0" applyNumberFormat="1" applyFill="1" applyBorder="1" applyAlignment="1">
      <alignment horizontal="center"/>
    </xf>
    <xf numFmtId="2" fontId="0" fillId="0" borderId="12" xfId="0" applyNumberFormat="1" applyFill="1" applyBorder="1" applyAlignment="1">
      <alignment horizontal="center"/>
    </xf>
    <xf numFmtId="4" fontId="2" fillId="0" borderId="13" xfId="0" applyNumberFormat="1" applyFont="1" applyFill="1" applyBorder="1" applyAlignment="1">
      <alignment horizontal="center"/>
    </xf>
    <xf numFmtId="4" fontId="2" fillId="0" borderId="14" xfId="0" applyNumberFormat="1" applyFont="1" applyFill="1" applyBorder="1" applyAlignment="1">
      <alignment horizontal="center"/>
    </xf>
    <xf numFmtId="0" fontId="0" fillId="0" borderId="0" xfId="0" applyBorder="1"/>
    <xf numFmtId="1" fontId="0" fillId="0" borderId="0" xfId="0" applyNumberFormat="1" applyFill="1" applyBorder="1" applyAlignment="1">
      <alignment horizontal="center"/>
    </xf>
    <xf numFmtId="0" fontId="6" fillId="0" borderId="0" xfId="0" applyFont="1" applyFill="1" applyBorder="1"/>
    <xf numFmtId="0" fontId="3" fillId="0" borderId="0" xfId="0" applyFont="1"/>
    <xf numFmtId="0" fontId="2" fillId="0" borderId="15" xfId="0" applyFont="1" applyFill="1" applyBorder="1"/>
    <xf numFmtId="0" fontId="2" fillId="0" borderId="16" xfId="0" applyFont="1" applyBorder="1"/>
    <xf numFmtId="0" fontId="2" fillId="0" borderId="17" xfId="0" applyFont="1" applyBorder="1" applyAlignment="1">
      <alignment horizontal="right"/>
    </xf>
    <xf numFmtId="0" fontId="0" fillId="0" borderId="18" xfId="0" applyBorder="1"/>
    <xf numFmtId="4" fontId="9" fillId="0" borderId="14" xfId="0" applyNumberFormat="1" applyFont="1" applyBorder="1" applyAlignment="1">
      <alignment horizontal="right"/>
    </xf>
    <xf numFmtId="4" fontId="9" fillId="0" borderId="14" xfId="0" applyNumberFormat="1" applyFont="1" applyFill="1" applyBorder="1" applyAlignment="1">
      <alignment horizontal="right"/>
    </xf>
    <xf numFmtId="0" fontId="0" fillId="2" borderId="0" xfId="0" applyFill="1"/>
    <xf numFmtId="0" fontId="0" fillId="3" borderId="0" xfId="0" applyFill="1"/>
    <xf numFmtId="0" fontId="2" fillId="3" borderId="0" xfId="0" applyFont="1" applyFill="1" applyAlignment="1">
      <alignment horizontal="center" wrapText="1"/>
    </xf>
    <xf numFmtId="39" fontId="0" fillId="3" borderId="0" xfId="0" applyNumberFormat="1" applyFill="1" applyAlignment="1">
      <alignment horizontal="center"/>
    </xf>
    <xf numFmtId="0" fontId="0" fillId="3" borderId="0" xfId="0" applyFill="1" applyAlignment="1">
      <alignment horizontal="center"/>
    </xf>
    <xf numFmtId="1" fontId="0" fillId="3" borderId="0" xfId="0" applyNumberFormat="1" applyFill="1" applyAlignment="1">
      <alignment horizontal="center"/>
    </xf>
    <xf numFmtId="164" fontId="0" fillId="0" borderId="19" xfId="0" applyNumberFormat="1" applyBorder="1" applyAlignment="1">
      <alignment horizontal="center"/>
    </xf>
    <xf numFmtId="2" fontId="0" fillId="0" borderId="0" xfId="0" applyNumberFormat="1" applyBorder="1" applyAlignment="1">
      <alignment horizontal="center"/>
    </xf>
    <xf numFmtId="0" fontId="3" fillId="0" borderId="20" xfId="0" applyFont="1" applyFill="1" applyBorder="1"/>
    <xf numFmtId="4" fontId="2" fillId="0" borderId="20" xfId="0" applyNumberFormat="1" applyFont="1" applyFill="1" applyBorder="1" applyAlignment="1">
      <alignment horizontal="center"/>
    </xf>
    <xf numFmtId="2" fontId="3" fillId="0" borderId="0" xfId="0" applyNumberFormat="1" applyFont="1" applyFill="1" applyBorder="1" applyAlignment="1">
      <alignment horizontal="center"/>
    </xf>
    <xf numFmtId="0" fontId="3" fillId="0" borderId="0" xfId="0" applyFont="1" applyFill="1" applyBorder="1"/>
    <xf numFmtId="0" fontId="3" fillId="3" borderId="15" xfId="0" applyFont="1" applyFill="1" applyBorder="1"/>
    <xf numFmtId="4" fontId="3" fillId="3" borderId="20" xfId="0" applyNumberFormat="1" applyFont="1" applyFill="1" applyBorder="1" applyAlignment="1">
      <alignment horizontal="center"/>
    </xf>
    <xf numFmtId="0" fontId="0" fillId="0" borderId="0" xfId="0" applyFill="1" applyBorder="1" applyAlignment="1">
      <alignment horizontal="center"/>
    </xf>
    <xf numFmtId="0" fontId="0" fillId="0" borderId="21" xfId="0" applyBorder="1"/>
    <xf numFmtId="0" fontId="0" fillId="0" borderId="21" xfId="0" applyFill="1"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3" xfId="0" applyFill="1" applyBorder="1"/>
    <xf numFmtId="0" fontId="0" fillId="0" borderId="27" xfId="0" applyBorder="1"/>
    <xf numFmtId="0" fontId="0" fillId="0" borderId="27" xfId="0" applyFill="1" applyBorder="1"/>
    <xf numFmtId="0" fontId="2" fillId="0" borderId="25" xfId="0" applyFont="1" applyBorder="1"/>
    <xf numFmtId="0" fontId="0" fillId="0" borderId="28" xfId="0" applyFill="1" applyBorder="1" applyAlignment="1">
      <alignment horizontal="right"/>
    </xf>
    <xf numFmtId="0" fontId="6" fillId="0" borderId="25" xfId="0" applyFont="1" applyFill="1" applyBorder="1" applyAlignment="1">
      <alignment horizontal="center" wrapText="1"/>
    </xf>
    <xf numFmtId="0" fontId="0" fillId="0" borderId="24" xfId="0" applyFill="1" applyBorder="1"/>
    <xf numFmtId="0" fontId="0" fillId="0" borderId="29" xfId="0" applyFill="1" applyBorder="1"/>
    <xf numFmtId="0" fontId="2" fillId="3" borderId="3" xfId="0" applyFont="1" applyFill="1" applyBorder="1" applyAlignment="1">
      <alignment horizontal="left"/>
    </xf>
    <xf numFmtId="2" fontId="2" fillId="3" borderId="3" xfId="0" applyNumberFormat="1" applyFont="1" applyFill="1" applyBorder="1" applyAlignment="1">
      <alignment horizontal="left"/>
    </xf>
    <xf numFmtId="0" fontId="2" fillId="0" borderId="25" xfId="0" applyFont="1" applyFill="1" applyBorder="1"/>
    <xf numFmtId="0" fontId="0" fillId="0" borderId="25" xfId="0" applyFill="1" applyBorder="1"/>
    <xf numFmtId="0" fontId="6" fillId="0" borderId="24" xfId="0" applyFont="1" applyFill="1" applyBorder="1" applyAlignment="1">
      <alignment horizontal="center" wrapText="1"/>
    </xf>
    <xf numFmtId="0" fontId="0" fillId="0" borderId="29" xfId="0" applyBorder="1"/>
    <xf numFmtId="0" fontId="2" fillId="0" borderId="21" xfId="0" applyFont="1" applyFill="1" applyBorder="1" applyAlignment="1">
      <alignment horizontal="center"/>
    </xf>
    <xf numFmtId="2" fontId="0" fillId="0" borderId="21" xfId="0" applyNumberFormat="1" applyFill="1" applyBorder="1" applyAlignment="1">
      <alignment horizontal="center"/>
    </xf>
    <xf numFmtId="0" fontId="2" fillId="0" borderId="23" xfId="0" applyFont="1" applyFill="1" applyBorder="1" applyAlignment="1">
      <alignment horizontal="center"/>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0" fillId="0" borderId="35" xfId="0" applyBorder="1"/>
    <xf numFmtId="0" fontId="0" fillId="0" borderId="36" xfId="0" applyFill="1" applyBorder="1"/>
    <xf numFmtId="0" fontId="12" fillId="0" borderId="39" xfId="0" applyFont="1" applyFill="1" applyBorder="1" applyAlignment="1">
      <alignment wrapText="1"/>
    </xf>
    <xf numFmtId="0" fontId="0" fillId="0" borderId="40" xfId="0" applyBorder="1"/>
    <xf numFmtId="0" fontId="0" fillId="0" borderId="41" xfId="0" applyFill="1" applyBorder="1" applyAlignment="1">
      <alignment vertical="top" wrapText="1"/>
    </xf>
    <xf numFmtId="0" fontId="0" fillId="0" borderId="42" xfId="0" applyBorder="1"/>
    <xf numFmtId="0" fontId="0" fillId="0" borderId="35" xfId="0" applyFill="1" applyBorder="1" applyAlignment="1">
      <alignment horizontal="right"/>
    </xf>
    <xf numFmtId="0" fontId="0" fillId="0" borderId="41" xfId="0" applyFill="1" applyBorder="1"/>
    <xf numFmtId="0" fontId="0" fillId="0" borderId="35" xfId="0" applyFill="1" applyBorder="1"/>
    <xf numFmtId="0" fontId="0" fillId="0" borderId="43" xfId="0" applyBorder="1"/>
    <xf numFmtId="0" fontId="0" fillId="0" borderId="41"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6" fillId="0" borderId="24" xfId="0" applyFont="1" applyBorder="1"/>
    <xf numFmtId="2" fontId="0" fillId="0" borderId="49" xfId="0" applyNumberFormat="1" applyBorder="1" applyAlignment="1">
      <alignment horizontal="center"/>
    </xf>
    <xf numFmtId="3" fontId="2" fillId="3" borderId="3" xfId="0" applyNumberFormat="1" applyFont="1" applyFill="1" applyBorder="1" applyAlignment="1">
      <alignment horizontal="left"/>
    </xf>
    <xf numFmtId="3" fontId="3" fillId="3" borderId="50" xfId="0" applyNumberFormat="1" applyFont="1" applyFill="1" applyBorder="1" applyAlignment="1">
      <alignment horizontal="center"/>
    </xf>
    <xf numFmtId="2" fontId="0" fillId="0" borderId="51" xfId="0" applyNumberFormat="1" applyBorder="1" applyAlignment="1">
      <alignment horizontal="center"/>
    </xf>
    <xf numFmtId="0" fontId="2" fillId="0" borderId="52" xfId="0" applyFont="1" applyBorder="1" applyAlignment="1">
      <alignment horizontal="center" wrapText="1"/>
    </xf>
    <xf numFmtId="0" fontId="2" fillId="0" borderId="53" xfId="0" applyFont="1" applyFill="1" applyBorder="1" applyAlignment="1">
      <alignment horizontal="center" wrapText="1"/>
    </xf>
    <xf numFmtId="2" fontId="0" fillId="0" borderId="54" xfId="0" applyNumberFormat="1" applyBorder="1"/>
    <xf numFmtId="0" fontId="2" fillId="0" borderId="55" xfId="0" applyFont="1" applyBorder="1" applyAlignment="1">
      <alignment horizontal="center" wrapText="1"/>
    </xf>
    <xf numFmtId="0" fontId="2" fillId="0" borderId="56" xfId="0" applyFont="1" applyBorder="1" applyAlignment="1">
      <alignment horizontal="center" wrapText="1"/>
    </xf>
    <xf numFmtId="0" fontId="2" fillId="0" borderId="53" xfId="0" applyFont="1" applyBorder="1" applyAlignment="1">
      <alignment horizontal="center" wrapText="1"/>
    </xf>
    <xf numFmtId="0" fontId="2" fillId="0" borderId="57" xfId="0" applyFont="1" applyBorder="1"/>
    <xf numFmtId="0" fontId="0" fillId="0" borderId="58" xfId="0" applyBorder="1"/>
    <xf numFmtId="0" fontId="0" fillId="0" borderId="59" xfId="0" applyBorder="1"/>
    <xf numFmtId="43" fontId="0" fillId="0" borderId="60" xfId="0" applyNumberFormat="1" applyBorder="1"/>
    <xf numFmtId="0" fontId="0" fillId="0" borderId="61" xfId="0" applyBorder="1"/>
    <xf numFmtId="0" fontId="0" fillId="0" borderId="62" xfId="0" applyBorder="1"/>
    <xf numFmtId="0" fontId="0" fillId="0" borderId="63" xfId="0" applyBorder="1"/>
    <xf numFmtId="2" fontId="0" fillId="0" borderId="2" xfId="0" applyNumberFormat="1" applyBorder="1"/>
    <xf numFmtId="2" fontId="0" fillId="0" borderId="0" xfId="0" applyNumberFormat="1" applyBorder="1"/>
    <xf numFmtId="0" fontId="0" fillId="0" borderId="64" xfId="0" applyBorder="1"/>
    <xf numFmtId="0" fontId="0" fillId="0" borderId="60" xfId="0" applyBorder="1"/>
    <xf numFmtId="2" fontId="0" fillId="0" borderId="62" xfId="0" applyNumberFormat="1" applyBorder="1"/>
    <xf numFmtId="0" fontId="2" fillId="0" borderId="65" xfId="0" applyFont="1" applyFill="1" applyBorder="1" applyAlignment="1">
      <alignment horizontal="center" wrapText="1"/>
    </xf>
    <xf numFmtId="0" fontId="2" fillId="0" borderId="56" xfId="0" applyFont="1" applyFill="1" applyBorder="1" applyAlignment="1">
      <alignment horizontal="center" wrapText="1"/>
    </xf>
    <xf numFmtId="0" fontId="2" fillId="0" borderId="66" xfId="0" applyFont="1" applyFill="1" applyBorder="1" applyAlignment="1">
      <alignment horizontal="center" wrapText="1"/>
    </xf>
    <xf numFmtId="4" fontId="0" fillId="0" borderId="51" xfId="0" applyNumberFormat="1" applyBorder="1"/>
    <xf numFmtId="4" fontId="0" fillId="0" borderId="67" xfId="0" applyNumberFormat="1" applyBorder="1"/>
    <xf numFmtId="39" fontId="0" fillId="0" borderId="59" xfId="0" applyNumberFormat="1" applyBorder="1"/>
    <xf numFmtId="0" fontId="2" fillId="0" borderId="66" xfId="0" applyFont="1" applyBorder="1" applyAlignment="1">
      <alignment horizontal="center" wrapText="1"/>
    </xf>
    <xf numFmtId="1" fontId="0" fillId="0" borderId="67" xfId="0" applyNumberFormat="1" applyBorder="1" applyAlignment="1">
      <alignment horizontal="center"/>
    </xf>
    <xf numFmtId="0" fontId="2" fillId="0" borderId="68" xfId="0" applyFont="1" applyBorder="1" applyAlignment="1">
      <alignment horizontal="center" wrapText="1"/>
    </xf>
    <xf numFmtId="2" fontId="0" fillId="0" borderId="69" xfId="0" applyNumberFormat="1" applyBorder="1" applyAlignment="1">
      <alignment horizontal="center"/>
    </xf>
    <xf numFmtId="37" fontId="0" fillId="3" borderId="0" xfId="0" applyNumberFormat="1" applyFill="1" applyAlignment="1">
      <alignment horizontal="center"/>
    </xf>
    <xf numFmtId="0" fontId="10" fillId="0" borderId="0" xfId="0" applyFont="1"/>
    <xf numFmtId="0" fontId="0" fillId="0" borderId="70" xfId="0" applyBorder="1"/>
    <xf numFmtId="0" fontId="0" fillId="0" borderId="71" xfId="0" applyBorder="1"/>
    <xf numFmtId="2" fontId="0" fillId="0" borderId="67" xfId="0" applyNumberFormat="1" applyBorder="1"/>
    <xf numFmtId="167" fontId="0" fillId="0" borderId="0" xfId="0" applyNumberFormat="1"/>
    <xf numFmtId="168" fontId="0" fillId="0" borderId="0" xfId="0" applyNumberFormat="1"/>
    <xf numFmtId="165" fontId="0" fillId="0" borderId="0" xfId="0" applyNumberFormat="1"/>
    <xf numFmtId="39" fontId="0" fillId="0" borderId="49" xfId="0" applyNumberFormat="1" applyBorder="1" applyAlignment="1">
      <alignment horizontal="center"/>
    </xf>
    <xf numFmtId="0" fontId="2" fillId="0" borderId="75" xfId="0" applyFont="1" applyBorder="1" applyAlignment="1">
      <alignment horizontal="center" wrapText="1"/>
    </xf>
    <xf numFmtId="0" fontId="2" fillId="0" borderId="3" xfId="0" applyFont="1" applyBorder="1" applyAlignment="1">
      <alignment horizontal="center" wrapText="1"/>
    </xf>
    <xf numFmtId="0" fontId="2" fillId="0" borderId="76" xfId="0" applyFont="1" applyBorder="1" applyAlignment="1">
      <alignment horizontal="center" wrapText="1"/>
    </xf>
    <xf numFmtId="2" fontId="0" fillId="0" borderId="59" xfId="0" applyNumberFormat="1" applyBorder="1" applyAlignment="1">
      <alignment horizontal="right"/>
    </xf>
    <xf numFmtId="2" fontId="0" fillId="0" borderId="70" xfId="0" applyNumberFormat="1" applyBorder="1" applyAlignment="1">
      <alignment horizontal="right"/>
    </xf>
    <xf numFmtId="2" fontId="0" fillId="0" borderId="77" xfId="0" applyNumberFormat="1" applyBorder="1" applyAlignment="1">
      <alignment horizontal="right"/>
    </xf>
    <xf numFmtId="2" fontId="0" fillId="0" borderId="74" xfId="0" applyNumberFormat="1" applyBorder="1" applyAlignment="1">
      <alignment horizontal="right"/>
    </xf>
    <xf numFmtId="0" fontId="0" fillId="0" borderId="21" xfId="0" applyBorder="1" applyAlignment="1">
      <alignment horizontal="left" vertical="top" wrapText="1"/>
    </xf>
    <xf numFmtId="0" fontId="0" fillId="0" borderId="26" xfId="0" applyBorder="1"/>
    <xf numFmtId="0" fontId="0" fillId="0" borderId="78" xfId="0" applyBorder="1"/>
    <xf numFmtId="0" fontId="2" fillId="0" borderId="0" xfId="0" applyFont="1" applyAlignment="1">
      <alignment horizontal="left" vertical="top" wrapText="1"/>
    </xf>
    <xf numFmtId="0" fontId="0" fillId="0" borderId="0" xfId="0" applyAlignment="1"/>
    <xf numFmtId="0" fontId="0" fillId="0" borderId="21" xfId="0" applyBorder="1" applyProtection="1">
      <protection locked="0"/>
    </xf>
    <xf numFmtId="0" fontId="0" fillId="5" borderId="8" xfId="0" applyFill="1" applyBorder="1" applyAlignment="1" applyProtection="1">
      <alignment horizontal="center"/>
      <protection locked="0"/>
    </xf>
    <xf numFmtId="0" fontId="0" fillId="5" borderId="79" xfId="0" applyFill="1" applyBorder="1" applyAlignment="1" applyProtection="1">
      <alignment horizontal="center"/>
      <protection locked="0"/>
    </xf>
    <xf numFmtId="1" fontId="0" fillId="5" borderId="5" xfId="0" applyNumberFormat="1" applyFill="1" applyBorder="1" applyAlignment="1" applyProtection="1">
      <alignment horizontal="center"/>
      <protection locked="0"/>
    </xf>
    <xf numFmtId="1" fontId="0" fillId="5" borderId="10" xfId="0" applyNumberFormat="1" applyFill="1" applyBorder="1" applyAlignment="1" applyProtection="1">
      <alignment horizontal="center"/>
      <protection locked="0"/>
    </xf>
    <xf numFmtId="164" fontId="3" fillId="3" borderId="50" xfId="0" applyNumberFormat="1" applyFont="1" applyFill="1" applyBorder="1" applyAlignment="1">
      <alignment horizontal="center"/>
    </xf>
    <xf numFmtId="169" fontId="2" fillId="0" borderId="50" xfId="0" applyNumberFormat="1" applyFont="1" applyFill="1" applyBorder="1" applyAlignment="1">
      <alignment horizontal="center"/>
    </xf>
    <xf numFmtId="169" fontId="3" fillId="3" borderId="50" xfId="0" applyNumberFormat="1" applyFont="1" applyFill="1" applyBorder="1" applyAlignment="1">
      <alignment horizontal="center"/>
    </xf>
    <xf numFmtId="170" fontId="0" fillId="0" borderId="60" xfId="0" applyNumberFormat="1" applyBorder="1"/>
    <xf numFmtId="0" fontId="0" fillId="0" borderId="0" xfId="0" applyAlignment="1">
      <alignment vertical="top"/>
    </xf>
    <xf numFmtId="0" fontId="2" fillId="0" borderId="25" xfId="0" applyFont="1" applyBorder="1" applyAlignment="1">
      <alignment horizontal="left" vertical="top" wrapText="1"/>
    </xf>
    <xf numFmtId="0" fontId="0" fillId="0" borderId="25" xfId="0" applyBorder="1" applyAlignment="1">
      <alignment horizontal="left" vertical="top" wrapText="1"/>
    </xf>
    <xf numFmtId="0" fontId="2" fillId="0" borderId="80" xfId="0" applyFont="1" applyBorder="1" applyAlignment="1">
      <alignment wrapText="1"/>
    </xf>
    <xf numFmtId="0" fontId="2" fillId="0" borderId="81" xfId="0" applyFont="1" applyBorder="1" applyAlignment="1">
      <alignment horizontal="center"/>
    </xf>
    <xf numFmtId="1" fontId="0" fillId="3" borderId="12" xfId="0" applyNumberFormat="1" applyFill="1" applyBorder="1" applyAlignment="1">
      <alignment horizontal="center"/>
    </xf>
    <xf numFmtId="49" fontId="0" fillId="0" borderId="83" xfId="0" applyNumberFormat="1" applyBorder="1" applyAlignment="1">
      <alignment horizontal="center"/>
    </xf>
    <xf numFmtId="0" fontId="2" fillId="0" borderId="84" xfId="0" applyFont="1" applyFill="1" applyBorder="1" applyAlignment="1">
      <alignment horizontal="center" wrapText="1"/>
    </xf>
    <xf numFmtId="43" fontId="0" fillId="0" borderId="0" xfId="1" applyFont="1" applyBorder="1"/>
    <xf numFmtId="2" fontId="0" fillId="0" borderId="0" xfId="0" applyNumberFormat="1"/>
    <xf numFmtId="0" fontId="0" fillId="5" borderId="3" xfId="0" applyFill="1" applyBorder="1" applyAlignment="1" applyProtection="1">
      <alignment horizontal="left"/>
      <protection locked="0"/>
    </xf>
    <xf numFmtId="0" fontId="0" fillId="5" borderId="11" xfId="0" applyFill="1" applyBorder="1" applyAlignment="1" applyProtection="1">
      <alignment horizontal="left"/>
      <protection locked="0"/>
    </xf>
    <xf numFmtId="3" fontId="0" fillId="5" borderId="3" xfId="0" applyNumberFormat="1" applyFill="1" applyBorder="1" applyAlignment="1" applyProtection="1">
      <alignment horizontal="left"/>
      <protection locked="0"/>
    </xf>
    <xf numFmtId="0" fontId="0" fillId="0" borderId="0" xfId="0" applyFill="1"/>
    <xf numFmtId="0" fontId="2" fillId="0" borderId="0" xfId="0" applyFont="1" applyFill="1"/>
    <xf numFmtId="2" fontId="0" fillId="0" borderId="51" xfId="0" applyNumberFormat="1" applyFill="1" applyBorder="1" applyAlignment="1">
      <alignment horizontal="center"/>
    </xf>
    <xf numFmtId="2" fontId="0" fillId="0" borderId="49" xfId="0" applyNumberFormat="1" applyFill="1" applyBorder="1" applyAlignment="1">
      <alignment horizontal="center"/>
    </xf>
    <xf numFmtId="2" fontId="0" fillId="0" borderId="73" xfId="0" applyNumberFormat="1" applyFill="1" applyBorder="1" applyAlignment="1">
      <alignment horizontal="center"/>
    </xf>
    <xf numFmtId="2" fontId="0" fillId="0" borderId="59" xfId="0" applyNumberFormat="1" applyFill="1" applyBorder="1" applyAlignment="1">
      <alignment horizontal="right"/>
    </xf>
    <xf numFmtId="2" fontId="0" fillId="0" borderId="74" xfId="0" applyNumberFormat="1" applyFill="1" applyBorder="1" applyAlignment="1">
      <alignment horizontal="right"/>
    </xf>
    <xf numFmtId="0" fontId="0" fillId="0" borderId="86" xfId="0" applyFill="1" applyBorder="1"/>
    <xf numFmtId="39" fontId="0" fillId="0" borderId="0" xfId="0" applyNumberFormat="1" applyFill="1" applyBorder="1"/>
    <xf numFmtId="4" fontId="0" fillId="0" borderId="0" xfId="0" applyNumberFormat="1" applyFill="1" applyBorder="1"/>
    <xf numFmtId="49" fontId="0" fillId="0" borderId="83" xfId="0" applyNumberFormat="1" applyFill="1" applyBorder="1" applyAlignment="1">
      <alignment horizontal="center"/>
    </xf>
    <xf numFmtId="4" fontId="0" fillId="0" borderId="10" xfId="0" applyNumberFormat="1" applyFill="1" applyBorder="1" applyAlignment="1">
      <alignment horizontal="center"/>
    </xf>
    <xf numFmtId="0" fontId="2" fillId="0" borderId="3" xfId="0" applyFont="1" applyBorder="1"/>
    <xf numFmtId="0" fontId="2" fillId="0" borderId="3" xfId="0" applyFont="1" applyBorder="1" applyAlignment="1">
      <alignment wrapText="1"/>
    </xf>
    <xf numFmtId="0" fontId="17" fillId="0" borderId="0" xfId="0" applyFont="1" applyFill="1" applyBorder="1" applyAlignment="1">
      <alignment horizontal="center"/>
    </xf>
    <xf numFmtId="171" fontId="2" fillId="0" borderId="72" xfId="2" applyNumberFormat="1" applyFont="1" applyBorder="1" applyAlignment="1">
      <alignment horizontal="center"/>
    </xf>
    <xf numFmtId="171" fontId="2" fillId="0" borderId="71" xfId="2" applyNumberFormat="1" applyFont="1" applyBorder="1" applyAlignment="1">
      <alignment horizontal="center"/>
    </xf>
    <xf numFmtId="172" fontId="14" fillId="8" borderId="60" xfId="3" applyFont="1" applyFill="1" applyBorder="1"/>
    <xf numFmtId="2" fontId="14" fillId="0" borderId="112" xfId="0" applyNumberFormat="1" applyFont="1" applyBorder="1"/>
    <xf numFmtId="172" fontId="14" fillId="8" borderId="60" xfId="3" applyFont="1" applyFill="1" applyBorder="1" applyAlignment="1">
      <alignment wrapText="1"/>
    </xf>
    <xf numFmtId="2" fontId="14" fillId="0" borderId="113" xfId="0" applyNumberFormat="1" applyFont="1" applyBorder="1" applyAlignment="1">
      <alignment horizontal="center"/>
    </xf>
    <xf numFmtId="0" fontId="14" fillId="9" borderId="112" xfId="0" applyFont="1" applyFill="1" applyBorder="1"/>
    <xf numFmtId="172" fontId="14" fillId="8" borderId="62" xfId="3" applyFont="1" applyFill="1" applyBorder="1"/>
    <xf numFmtId="0" fontId="0" fillId="5" borderId="112" xfId="0" applyFill="1" applyBorder="1" applyAlignment="1" applyProtection="1">
      <alignment horizontal="center"/>
      <protection locked="0"/>
    </xf>
    <xf numFmtId="0" fontId="14" fillId="11" borderId="113" xfId="0" applyFont="1" applyFill="1" applyBorder="1"/>
    <xf numFmtId="0" fontId="0" fillId="12" borderId="0" xfId="0" applyFill="1"/>
    <xf numFmtId="0" fontId="17" fillId="8" borderId="0" xfId="0" applyFont="1" applyFill="1" applyAlignment="1">
      <alignment vertical="top"/>
    </xf>
    <xf numFmtId="0" fontId="0" fillId="0" borderId="33" xfId="0" applyFill="1" applyBorder="1"/>
    <xf numFmtId="0" fontId="0" fillId="0" borderId="34" xfId="0" applyFill="1" applyBorder="1"/>
    <xf numFmtId="0" fontId="0" fillId="0" borderId="27" xfId="0" applyFill="1" applyBorder="1" applyAlignment="1">
      <alignment horizontal="right"/>
    </xf>
    <xf numFmtId="0" fontId="0" fillId="0" borderId="37" xfId="0" applyFill="1" applyBorder="1"/>
    <xf numFmtId="0" fontId="0" fillId="0" borderId="38" xfId="0" applyFill="1" applyBorder="1"/>
    <xf numFmtId="0" fontId="0" fillId="0" borderId="38" xfId="0" applyFill="1" applyBorder="1" applyAlignment="1">
      <alignment horizontal="right"/>
    </xf>
    <xf numFmtId="39" fontId="0" fillId="0" borderId="115" xfId="0" applyNumberFormat="1" applyBorder="1" applyAlignment="1">
      <alignment horizontal="center"/>
    </xf>
    <xf numFmtId="39" fontId="0" fillId="0" borderId="114" xfId="0" applyNumberFormat="1" applyBorder="1" applyAlignment="1">
      <alignment horizontal="center"/>
    </xf>
    <xf numFmtId="4" fontId="0" fillId="0" borderId="12" xfId="0" applyNumberFormat="1" applyFill="1" applyBorder="1" applyAlignment="1">
      <alignment horizontal="center"/>
    </xf>
    <xf numFmtId="2" fontId="0" fillId="0" borderId="4" xfId="0" applyNumberFormat="1" applyBorder="1" applyAlignment="1">
      <alignment horizontal="center"/>
    </xf>
    <xf numFmtId="2" fontId="0" fillId="0" borderId="82" xfId="0" applyNumberFormat="1" applyBorder="1" applyAlignment="1">
      <alignment horizontal="center"/>
    </xf>
    <xf numFmtId="2" fontId="0" fillId="0" borderId="0" xfId="0" applyNumberFormat="1" applyFill="1"/>
    <xf numFmtId="0" fontId="0" fillId="0" borderId="21" xfId="0" applyBorder="1" applyAlignment="1">
      <alignment horizontal="left" vertical="top" wrapText="1"/>
    </xf>
    <xf numFmtId="0" fontId="14" fillId="0" borderId="3" xfId="0" applyFont="1" applyBorder="1"/>
    <xf numFmtId="0" fontId="14" fillId="0" borderId="4" xfId="0" applyFont="1" applyBorder="1"/>
    <xf numFmtId="1" fontId="0" fillId="0" borderId="3" xfId="0" applyNumberFormat="1" applyBorder="1" applyAlignment="1">
      <alignment horizontal="center"/>
    </xf>
    <xf numFmtId="49" fontId="14" fillId="0" borderId="83" xfId="0" applyNumberFormat="1" applyFont="1" applyBorder="1" applyAlignment="1">
      <alignment horizontal="center"/>
    </xf>
    <xf numFmtId="0" fontId="14" fillId="0" borderId="85" xfId="0" applyFont="1" applyBorder="1" applyAlignment="1">
      <alignment horizontal="center"/>
    </xf>
    <xf numFmtId="1" fontId="0" fillId="10" borderId="5" xfId="0" applyNumberFormat="1" applyFill="1" applyBorder="1" applyAlignment="1">
      <alignment horizontal="center"/>
    </xf>
    <xf numFmtId="1" fontId="0" fillId="10" borderId="3" xfId="0" applyNumberFormat="1" applyFill="1" applyBorder="1" applyAlignment="1">
      <alignment horizontal="center"/>
    </xf>
    <xf numFmtId="1" fontId="0" fillId="10" borderId="4" xfId="0" applyNumberFormat="1" applyFill="1" applyBorder="1" applyAlignment="1">
      <alignment horizontal="center"/>
    </xf>
    <xf numFmtId="0" fontId="20" fillId="12" borderId="3" xfId="4" applyFont="1" applyFill="1" applyBorder="1" applyAlignment="1">
      <alignment horizontal="center" vertical="center" wrapText="1"/>
    </xf>
    <xf numFmtId="0" fontId="0" fillId="10" borderId="33" xfId="0" applyFill="1" applyBorder="1"/>
    <xf numFmtId="0" fontId="0" fillId="10" borderId="26" xfId="0" applyFill="1" applyBorder="1"/>
    <xf numFmtId="166" fontId="0" fillId="10" borderId="26" xfId="0" applyNumberFormat="1" applyFill="1" applyBorder="1"/>
    <xf numFmtId="0" fontId="0" fillId="10" borderId="34" xfId="0" applyFill="1" applyBorder="1"/>
    <xf numFmtId="0" fontId="0" fillId="10" borderId="87" xfId="0" applyFill="1" applyBorder="1"/>
    <xf numFmtId="0" fontId="0" fillId="10" borderId="87" xfId="0" applyFill="1" applyBorder="1" applyAlignment="1">
      <alignment horizontal="right"/>
    </xf>
    <xf numFmtId="0" fontId="0" fillId="10" borderId="36" xfId="0" applyFill="1" applyBorder="1"/>
    <xf numFmtId="0" fontId="0" fillId="10" borderId="35" xfId="0" applyFill="1" applyBorder="1"/>
    <xf numFmtId="0" fontId="0" fillId="10" borderId="27" xfId="0" applyFill="1" applyBorder="1"/>
    <xf numFmtId="0" fontId="0" fillId="10" borderId="27" xfId="0" applyFill="1" applyBorder="1" applyAlignment="1">
      <alignment horizontal="right"/>
    </xf>
    <xf numFmtId="0" fontId="0" fillId="0" borderId="24" xfId="0" applyBorder="1" applyAlignment="1">
      <alignment horizontal="left" vertical="top" wrapText="1"/>
    </xf>
    <xf numFmtId="0" fontId="14" fillId="13" borderId="82" xfId="0" applyFont="1" applyFill="1" applyBorder="1" applyAlignment="1" applyProtection="1">
      <alignment horizontal="center"/>
      <protection locked="0"/>
    </xf>
    <xf numFmtId="0" fontId="0" fillId="13" borderId="3" xfId="0" applyFill="1" applyBorder="1" applyAlignment="1">
      <alignment horizontal="left" vertical="top" wrapText="1"/>
    </xf>
    <xf numFmtId="0" fontId="0" fillId="0" borderId="28" xfId="0" applyBorder="1" applyAlignment="1">
      <alignment horizontal="left" vertical="top" wrapText="1"/>
    </xf>
    <xf numFmtId="166" fontId="0" fillId="0" borderId="21" xfId="0" applyNumberFormat="1" applyBorder="1"/>
    <xf numFmtId="0" fontId="2" fillId="0" borderId="25" xfId="0" applyFont="1" applyBorder="1" applyAlignment="1">
      <alignment horizontal="left" wrapText="1"/>
    </xf>
    <xf numFmtId="173" fontId="0" fillId="0" borderId="49" xfId="0" applyNumberFormat="1" applyBorder="1" applyAlignment="1">
      <alignment horizontal="center"/>
    </xf>
    <xf numFmtId="4" fontId="0" fillId="0" borderId="0" xfId="0" applyNumberFormat="1"/>
    <xf numFmtId="1" fontId="0" fillId="5" borderId="4" xfId="0" applyNumberFormat="1" applyFill="1" applyBorder="1" applyAlignment="1" applyProtection="1">
      <alignment horizontal="center"/>
      <protection locked="0"/>
    </xf>
    <xf numFmtId="1" fontId="0" fillId="5" borderId="12" xfId="0" applyNumberFormat="1" applyFill="1" applyBorder="1" applyAlignment="1" applyProtection="1">
      <alignment horizontal="center"/>
      <protection locked="0"/>
    </xf>
    <xf numFmtId="1" fontId="0" fillId="5" borderId="3" xfId="0" applyNumberFormat="1" applyFill="1" applyBorder="1" applyAlignment="1" applyProtection="1">
      <alignment horizontal="center"/>
      <protection locked="0"/>
    </xf>
    <xf numFmtId="172" fontId="2" fillId="10" borderId="20" xfId="3" applyFont="1" applyFill="1" applyBorder="1" applyAlignment="1">
      <alignment horizontal="center"/>
    </xf>
    <xf numFmtId="172" fontId="2" fillId="10" borderId="50" xfId="3" applyFont="1" applyFill="1" applyBorder="1" applyAlignment="1">
      <alignment horizontal="center"/>
    </xf>
    <xf numFmtId="172" fontId="2" fillId="10" borderId="15" xfId="3" applyFont="1" applyFill="1" applyBorder="1" applyAlignment="1">
      <alignment horizontal="center"/>
    </xf>
    <xf numFmtId="0" fontId="2" fillId="0" borderId="0" xfId="0" applyFont="1" applyAlignment="1">
      <alignment horizontal="left" vertical="top" wrapText="1"/>
    </xf>
    <xf numFmtId="0" fontId="0" fillId="0" borderId="0" xfId="0" applyAlignment="1"/>
    <xf numFmtId="0" fontId="0" fillId="0" borderId="0" xfId="0" applyAlignment="1">
      <alignment horizontal="left" vertical="top" wrapText="1"/>
    </xf>
    <xf numFmtId="0" fontId="0" fillId="0" borderId="90" xfId="0" applyBorder="1" applyAlignment="1">
      <alignment horizontal="center" wrapText="1"/>
    </xf>
    <xf numFmtId="0" fontId="0" fillId="0" borderId="89" xfId="0" applyBorder="1" applyAlignment="1">
      <alignment horizontal="center" wrapText="1"/>
    </xf>
    <xf numFmtId="0" fontId="0" fillId="0" borderId="89" xfId="0" applyBorder="1" applyAlignment="1"/>
    <xf numFmtId="0" fontId="0" fillId="0" borderId="91" xfId="0" applyBorder="1" applyAlignment="1"/>
    <xf numFmtId="0" fontId="0" fillId="0" borderId="92" xfId="0" applyBorder="1" applyAlignment="1">
      <alignment horizontal="center" wrapText="1"/>
    </xf>
    <xf numFmtId="0" fontId="0" fillId="0" borderId="88" xfId="0" applyBorder="1" applyAlignment="1">
      <alignment horizontal="center" wrapText="1"/>
    </xf>
    <xf numFmtId="0" fontId="0" fillId="0" borderId="88" xfId="0" applyBorder="1" applyAlignment="1"/>
    <xf numFmtId="0" fontId="0" fillId="0" borderId="93" xfId="0" applyBorder="1" applyAlignment="1"/>
    <xf numFmtId="0" fontId="14" fillId="0" borderId="90" xfId="0" applyFont="1" applyBorder="1" applyAlignment="1">
      <alignment horizontal="center" wrapText="1"/>
    </xf>
    <xf numFmtId="0" fontId="0" fillId="0" borderId="91" xfId="0" applyBorder="1" applyAlignment="1">
      <alignment horizontal="center" wrapText="1"/>
    </xf>
    <xf numFmtId="0" fontId="0" fillId="0" borderId="90" xfId="0" applyFill="1" applyBorder="1" applyAlignment="1">
      <alignment horizontal="center"/>
    </xf>
    <xf numFmtId="0" fontId="0" fillId="0" borderId="89" xfId="0" applyFill="1" applyBorder="1" applyAlignment="1">
      <alignment horizontal="center"/>
    </xf>
    <xf numFmtId="0" fontId="0" fillId="0" borderId="89" xfId="0" applyFill="1" applyBorder="1" applyAlignment="1"/>
    <xf numFmtId="0" fontId="0" fillId="0" borderId="91" xfId="0" applyFill="1" applyBorder="1" applyAlignment="1"/>
    <xf numFmtId="0" fontId="3" fillId="7" borderId="75" xfId="0" applyFont="1" applyFill="1" applyBorder="1" applyAlignment="1">
      <alignment horizontal="center"/>
    </xf>
    <xf numFmtId="0" fontId="3" fillId="7" borderId="89" xfId="0" applyFont="1" applyFill="1" applyBorder="1" applyAlignment="1">
      <alignment horizontal="center"/>
    </xf>
    <xf numFmtId="0" fontId="0" fillId="7" borderId="89" xfId="0" applyFill="1" applyBorder="1" applyAlignment="1"/>
    <xf numFmtId="0" fontId="0" fillId="7" borderId="76" xfId="0" applyFill="1" applyBorder="1" applyAlignment="1"/>
    <xf numFmtId="0" fontId="2" fillId="0" borderId="16" xfId="0" applyFont="1" applyBorder="1" applyAlignment="1">
      <alignment horizontal="center" wrapText="1"/>
    </xf>
    <xf numFmtId="0" fontId="2" fillId="0" borderId="17" xfId="0" applyFont="1" applyBorder="1" applyAlignment="1">
      <alignment horizontal="center" wrapText="1"/>
    </xf>
    <xf numFmtId="0" fontId="0" fillId="0" borderId="17" xfId="0" applyBorder="1" applyAlignment="1">
      <alignment wrapText="1"/>
    </xf>
    <xf numFmtId="0" fontId="0" fillId="0" borderId="94" xfId="0" applyBorder="1" applyAlignment="1">
      <alignment wrapText="1"/>
    </xf>
    <xf numFmtId="0" fontId="0" fillId="0" borderId="90" xfId="0" applyBorder="1" applyAlignment="1">
      <alignment horizontal="center"/>
    </xf>
    <xf numFmtId="0" fontId="0" fillId="0" borderId="89" xfId="0" applyBorder="1" applyAlignment="1">
      <alignment horizontal="center"/>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7" borderId="95" xfId="0" applyFont="1" applyFill="1" applyBorder="1" applyAlignment="1">
      <alignment horizontal="center"/>
    </xf>
    <xf numFmtId="0" fontId="3" fillId="7" borderId="96" xfId="0" applyFont="1" applyFill="1" applyBorder="1" applyAlignment="1">
      <alignment horizontal="center"/>
    </xf>
    <xf numFmtId="0" fontId="3" fillId="7" borderId="97" xfId="0" applyFont="1" applyFill="1" applyBorder="1" applyAlignment="1">
      <alignment horizontal="center"/>
    </xf>
    <xf numFmtId="0" fontId="14" fillId="0" borderId="21" xfId="0" applyFont="1" applyBorder="1" applyAlignment="1">
      <alignment horizontal="left" vertical="top" wrapText="1"/>
    </xf>
    <xf numFmtId="0" fontId="0" fillId="0" borderId="21" xfId="0" applyBorder="1" applyAlignment="1">
      <alignment horizontal="left" vertical="top" wrapText="1"/>
    </xf>
    <xf numFmtId="0" fontId="14" fillId="0" borderId="98" xfId="0" applyFont="1" applyFill="1" applyBorder="1" applyAlignment="1">
      <alignment horizontal="left" vertical="top" wrapText="1"/>
    </xf>
    <xf numFmtId="0" fontId="0" fillId="0" borderId="99" xfId="0" applyFill="1" applyBorder="1" applyAlignment="1">
      <alignment horizontal="left" vertical="top" wrapText="1"/>
    </xf>
    <xf numFmtId="0" fontId="0" fillId="0" borderId="100" xfId="0" applyFill="1" applyBorder="1" applyAlignment="1">
      <alignment horizontal="left" vertical="top" wrapText="1"/>
    </xf>
    <xf numFmtId="0" fontId="2" fillId="0" borderId="101" xfId="0" applyFont="1" applyBorder="1" applyAlignment="1">
      <alignment horizontal="center"/>
    </xf>
    <xf numFmtId="0" fontId="2" fillId="0" borderId="102" xfId="0" applyFont="1"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0" fillId="13" borderId="75" xfId="0" applyFill="1" applyBorder="1" applyAlignment="1">
      <alignment horizontal="left" vertical="top" wrapText="1"/>
    </xf>
    <xf numFmtId="0" fontId="0" fillId="13" borderId="76" xfId="0" applyFill="1" applyBorder="1" applyAlignment="1">
      <alignment horizontal="left" vertical="top" wrapText="1"/>
    </xf>
    <xf numFmtId="0" fontId="14" fillId="0" borderId="0" xfId="0" applyFont="1" applyAlignment="1">
      <alignment horizontal="left" vertical="top" wrapText="1"/>
    </xf>
    <xf numFmtId="0" fontId="16" fillId="7" borderId="89" xfId="0" applyFont="1" applyFill="1" applyBorder="1" applyAlignment="1"/>
    <xf numFmtId="0" fontId="16" fillId="7" borderId="76" xfId="0" applyFont="1" applyFill="1" applyBorder="1" applyAlignment="1"/>
    <xf numFmtId="0" fontId="2" fillId="0" borderId="105" xfId="0" applyFont="1" applyBorder="1" applyAlignment="1">
      <alignment horizontal="center"/>
    </xf>
    <xf numFmtId="0" fontId="2" fillId="0" borderId="65" xfId="0" applyFont="1" applyBorder="1" applyAlignment="1">
      <alignment horizontal="center"/>
    </xf>
    <xf numFmtId="0" fontId="2" fillId="0" borderId="106" xfId="0" applyFont="1" applyBorder="1" applyAlignment="1">
      <alignment horizontal="center"/>
    </xf>
    <xf numFmtId="0" fontId="14" fillId="4" borderId="50" xfId="0" applyFont="1" applyFill="1" applyBorder="1" applyAlignment="1">
      <alignment horizontal="center"/>
    </xf>
    <xf numFmtId="0" fontId="14" fillId="4" borderId="107" xfId="0" applyFont="1" applyFill="1" applyBorder="1" applyAlignment="1">
      <alignment horizontal="center"/>
    </xf>
    <xf numFmtId="0" fontId="14" fillId="4" borderId="15" xfId="0" applyFont="1" applyFill="1" applyBorder="1" applyAlignment="1">
      <alignment horizontal="center"/>
    </xf>
    <xf numFmtId="0" fontId="0" fillId="2" borderId="108" xfId="0" applyFill="1" applyBorder="1" applyAlignment="1">
      <alignment horizontal="center"/>
    </xf>
    <xf numFmtId="0" fontId="0" fillId="2" borderId="109" xfId="0" applyFill="1" applyBorder="1" applyAlignment="1">
      <alignment horizontal="center"/>
    </xf>
    <xf numFmtId="0" fontId="14" fillId="4" borderId="110" xfId="0" applyFont="1" applyFill="1" applyBorder="1" applyAlignment="1">
      <alignment horizontal="center"/>
    </xf>
    <xf numFmtId="0" fontId="14" fillId="4" borderId="111" xfId="0" applyFont="1" applyFill="1" applyBorder="1" applyAlignment="1">
      <alignment horizontal="center"/>
    </xf>
    <xf numFmtId="0" fontId="14" fillId="4" borderId="109" xfId="0" applyFont="1" applyFill="1" applyBorder="1" applyAlignment="1">
      <alignment horizontal="center"/>
    </xf>
    <xf numFmtId="0" fontId="15" fillId="0" borderId="0" xfId="0" applyFont="1" applyFill="1" applyAlignment="1">
      <alignment horizontal="center" wrapText="1"/>
    </xf>
    <xf numFmtId="0" fontId="0" fillId="6" borderId="110" xfId="0" applyFill="1" applyBorder="1" applyAlignment="1">
      <alignment horizontal="center"/>
    </xf>
    <xf numFmtId="0" fontId="0" fillId="6" borderId="111" xfId="0" applyFill="1" applyBorder="1" applyAlignment="1">
      <alignment horizontal="center"/>
    </xf>
  </cellXfs>
  <cellStyles count="5">
    <cellStyle name="Comma" xfId="1" builtinId="3"/>
    <cellStyle name="Hyperlink" xfId="4" builtinId="8"/>
    <cellStyle name="Normal" xfId="0" builtinId="0"/>
    <cellStyle name="Normal 6" xfId="3" xr:uid="{00000000-0005-0000-0000-00000300000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D$67"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D$68" lockText="1"/>
</file>

<file path=xl/ctrlProps/ctrlProp22.xml><?xml version="1.0" encoding="utf-8"?>
<formControlPr xmlns="http://schemas.microsoft.com/office/spreadsheetml/2009/9/main" objectType="CheckBox" fmlaLink="$D$69" lockText="1"/>
</file>

<file path=xl/ctrlProps/ctrlProp23.xml><?xml version="1.0" encoding="utf-8"?>
<formControlPr xmlns="http://schemas.microsoft.com/office/spreadsheetml/2009/9/main" objectType="CheckBox" fmlaLink="$D$70" lockText="1"/>
</file>

<file path=xl/ctrlProps/ctrlProp24.xml><?xml version="1.0" encoding="utf-8"?>
<formControlPr xmlns="http://schemas.microsoft.com/office/spreadsheetml/2009/9/main" objectType="CheckBox" fmlaLink="$D$71" lockText="1"/>
</file>

<file path=xl/ctrlProps/ctrlProp25.xml><?xml version="1.0" encoding="utf-8"?>
<formControlPr xmlns="http://schemas.microsoft.com/office/spreadsheetml/2009/9/main" objectType="CheckBox" fmlaLink="$D$72" lockText="1"/>
</file>

<file path=xl/ctrlProps/ctrlProp26.xml><?xml version="1.0" encoding="utf-8"?>
<formControlPr xmlns="http://schemas.microsoft.com/office/spreadsheetml/2009/9/main" objectType="CheckBox" fmlaLink="$D$73" lockText="1"/>
</file>

<file path=xl/ctrlProps/ctrlProp27.xml><?xml version="1.0" encoding="utf-8"?>
<formControlPr xmlns="http://schemas.microsoft.com/office/spreadsheetml/2009/9/main" objectType="CheckBox" fmlaLink="$D$74" lockText="1"/>
</file>

<file path=xl/ctrlProps/ctrlProp28.xml><?xml version="1.0" encoding="utf-8"?>
<formControlPr xmlns="http://schemas.microsoft.com/office/spreadsheetml/2009/9/main" objectType="CheckBox" fmlaLink="$D$75" lockText="1"/>
</file>

<file path=xl/ctrlProps/ctrlProp29.xml><?xml version="1.0" encoding="utf-8"?>
<formControlPr xmlns="http://schemas.microsoft.com/office/spreadsheetml/2009/9/main" objectType="CheckBox" fmlaLink="$D$76"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D$77" lockText="1"/>
</file>

<file path=xl/ctrlProps/ctrlProp31.xml><?xml version="1.0" encoding="utf-8"?>
<formControlPr xmlns="http://schemas.microsoft.com/office/spreadsheetml/2009/9/main" objectType="CheckBox" fmlaLink="$D$78" lockText="1"/>
</file>

<file path=xl/ctrlProps/ctrlProp32.xml><?xml version="1.0" encoding="utf-8"?>
<formControlPr xmlns="http://schemas.microsoft.com/office/spreadsheetml/2009/9/main" objectType="CheckBox" fmlaLink="$D$79" lockText="1"/>
</file>

<file path=xl/ctrlProps/ctrlProp33.xml><?xml version="1.0" encoding="utf-8"?>
<formControlPr xmlns="http://schemas.microsoft.com/office/spreadsheetml/2009/9/main" objectType="CheckBox" fmlaLink="$D$80" lockText="1"/>
</file>

<file path=xl/ctrlProps/ctrlProp34.xml><?xml version="1.0" encoding="utf-8"?>
<formControlPr xmlns="http://schemas.microsoft.com/office/spreadsheetml/2009/9/main" objectType="CheckBox" fmlaLink="$D$81" lockText="1"/>
</file>

<file path=xl/ctrlProps/ctrlProp35.xml><?xml version="1.0" encoding="utf-8"?>
<formControlPr xmlns="http://schemas.microsoft.com/office/spreadsheetml/2009/9/main" objectType="CheckBox" fmlaLink="$D$82" lockText="1"/>
</file>

<file path=xl/ctrlProps/ctrlProp36.xml><?xml version="1.0" encoding="utf-8"?>
<formControlPr xmlns="http://schemas.microsoft.com/office/spreadsheetml/2009/9/main" objectType="CheckBox" fmlaLink="$D$83" lockText="1"/>
</file>

<file path=xl/ctrlProps/ctrlProp37.xml><?xml version="1.0" encoding="utf-8"?>
<formControlPr xmlns="http://schemas.microsoft.com/office/spreadsheetml/2009/9/main" objectType="CheckBox" fmlaLink="$D$84" lockText="1"/>
</file>

<file path=xl/ctrlProps/ctrlProp38.xml><?xml version="1.0" encoding="utf-8"?>
<formControlPr xmlns="http://schemas.microsoft.com/office/spreadsheetml/2009/9/main" objectType="CheckBox" fmlaLink="$D$85" lockText="1"/>
</file>

<file path=xl/ctrlProps/ctrlProp39.xml><?xml version="1.0" encoding="utf-8"?>
<formControlPr xmlns="http://schemas.microsoft.com/office/spreadsheetml/2009/9/main" objectType="CheckBox" fmlaLink="$D$86"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47624</xdr:rowOff>
    </xdr:from>
    <xdr:to>
      <xdr:col>15</xdr:col>
      <xdr:colOff>57150</xdr:colOff>
      <xdr:row>109</xdr:row>
      <xdr:rowOff>0</xdr:rowOff>
    </xdr:to>
    <xdr:sp macro="" textlink="">
      <xdr:nvSpPr>
        <xdr:cNvPr id="3130" name="Text Box 1">
          <a:extLst>
            <a:ext uri="{FF2B5EF4-FFF2-40B4-BE49-F238E27FC236}">
              <a16:creationId xmlns:a16="http://schemas.microsoft.com/office/drawing/2014/main" id="{00000000-0008-0000-0000-00003A0C0000}"/>
            </a:ext>
          </a:extLst>
        </xdr:cNvPr>
        <xdr:cNvSpPr txBox="1">
          <a:spLocks noChangeArrowheads="1"/>
        </xdr:cNvSpPr>
      </xdr:nvSpPr>
      <xdr:spPr bwMode="auto">
        <a:xfrm>
          <a:off x="47625" y="47624"/>
          <a:ext cx="9153525" cy="17649826"/>
        </a:xfrm>
        <a:prstGeom prst="rect">
          <a:avLst/>
        </a:prstGeom>
        <a:solidFill>
          <a:srgbClr val="CCFFCC"/>
        </a:solidFill>
        <a:ln w="19050">
          <a:solidFill>
            <a:srgbClr val="000000"/>
          </a:solidFill>
          <a:miter lim="800000"/>
          <a:headEnd/>
          <a:tailEnd/>
        </a:ln>
      </xdr:spPr>
      <xdr:txBody>
        <a:bodyPr vertOverflow="clip" wrap="square" lIns="27432" tIns="22860" rIns="0" bIns="0" anchor="t" upright="1"/>
        <a:lstStyle/>
        <a:p>
          <a:pPr algn="l" rtl="0">
            <a:defRPr sz="1000"/>
          </a:pPr>
          <a:endParaRPr lang="en-US" sz="1100" b="0" i="0" strike="noStrike">
            <a:solidFill>
              <a:srgbClr val="000000"/>
            </a:solidFill>
            <a:latin typeface="Arial"/>
            <a:cs typeface="Arial"/>
          </a:endParaRPr>
        </a:p>
        <a:p>
          <a:pPr algn="l" rtl="0">
            <a:defRPr sz="1000"/>
          </a:pPr>
          <a:r>
            <a:rPr lang="en-US" sz="1400" b="1" i="0" strike="noStrike">
              <a:solidFill>
                <a:srgbClr val="000000"/>
              </a:solidFill>
              <a:latin typeface="Arial"/>
              <a:cs typeface="Arial"/>
            </a:rPr>
            <a:t>ReCon Tool User’s Guide</a:t>
          </a:r>
          <a:endParaRPr lang="en-US" sz="1100" b="1" i="0" strike="noStrike">
            <a:solidFill>
              <a:srgbClr val="000000"/>
            </a:solidFill>
            <a:latin typeface="Arial"/>
            <a:cs typeface="Arial"/>
          </a:endParaRPr>
        </a:p>
        <a:p>
          <a:pPr algn="l" rtl="0">
            <a:defRPr sz="1000"/>
          </a:pPr>
          <a:r>
            <a:rPr lang="en-US" sz="1200" b="1" i="0" strike="noStrike">
              <a:solidFill>
                <a:srgbClr val="000000"/>
              </a:solidFill>
              <a:latin typeface="Arial"/>
              <a:cs typeface="Arial"/>
            </a:rPr>
            <a:t>Calculating Greenhouse Gas Emissions and Energy Consumption with the Recycled Content Tool</a:t>
          </a: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 </a:t>
          </a:r>
        </a:p>
        <a:p>
          <a:pPr algn="l" rtl="0">
            <a:defRPr sz="1000"/>
          </a:pPr>
          <a:r>
            <a:rPr lang="en-US" sz="1100" b="1" i="0" strike="noStrike">
              <a:solidFill>
                <a:srgbClr val="000000"/>
              </a:solidFill>
              <a:latin typeface="Arial"/>
              <a:cs typeface="Arial"/>
            </a:rPr>
            <a:t>WHAT IS THE RECYCLED CONTENT TOOL?</a:t>
          </a: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 Recycled Content (ReCon) Tool was created by the U.S. Environmental Protection Agency (EPA) to help companies and individuals estimate life-cycle greenhouse gas (GHG) emissions and energy impacts from purchasing and/or manufacturing materials with varying degrees of post-consumer recycled content.</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 ReCon Tool calculates GHG emissions and energy consumption related to purchasing and/or manufacturing activities using analyses of baseline and alternative recycled-content scenarios. Emissions and energy units are calculated using a life-cycle perspective (i.e., what impacts will this purchasing or manufacturing decision have on emissions and energy use throughout all stages of this product's life-cycle). The model calculates emissions in metric tons of carbon dioxide equivalent (MTCO</a:t>
          </a:r>
          <a:r>
            <a:rPr lang="en-US" sz="1100" b="0" i="0" strike="noStrike" baseline="-25000">
              <a:solidFill>
                <a:srgbClr val="000000"/>
              </a:solidFill>
              <a:latin typeface="Arial"/>
              <a:cs typeface="Arial"/>
            </a:rPr>
            <a:t>2</a:t>
          </a:r>
          <a:r>
            <a:rPr lang="en-US" sz="1100" b="0" i="0" strike="noStrike">
              <a:solidFill>
                <a:srgbClr val="000000"/>
              </a:solidFill>
              <a:latin typeface="Arial"/>
              <a:cs typeface="Arial"/>
            </a:rPr>
            <a:t>e), and energy consumption in British thermal units (Btus) for several material types. In addition, the model calculates the GHG emissions and energy consumption differential between the two recycled-content scenarios (baseline and alternative). The user can construct various scenarios by entering the amount of materials purchased or manufactured and the recycled content of the types of materials. The ReCon Tool then applies material-specific GHG emission and energy factors to calculate the GHG emissions and energy consumption for each scenario and the benefit of choosing one scenario over another.</a:t>
          </a:r>
        </a:p>
        <a:p>
          <a:pPr algn="l" rtl="0">
            <a:defRPr sz="1000"/>
          </a:pPr>
          <a:endParaRPr lang="en-US" sz="1100" b="0" i="0" strike="noStrike">
            <a:solidFill>
              <a:srgbClr val="000000"/>
            </a:solidFill>
            <a:latin typeface="Arial"/>
            <a:cs typeface="Arial"/>
          </a:endParaRPr>
        </a:p>
        <a:p>
          <a:pPr marL="0" indent="0" algn="l" rtl="0">
            <a:defRPr sz="1000"/>
          </a:pPr>
          <a:r>
            <a:rPr lang="en-US" sz="1100" b="0" i="0" strike="noStrike">
              <a:solidFill>
                <a:sysClr val="windowText" lastClr="000000"/>
              </a:solidFill>
              <a:latin typeface="Arial"/>
              <a:ea typeface="+mn-ea"/>
              <a:cs typeface="Arial"/>
            </a:rPr>
            <a:t>The GHG emission and energy factors in the tool were developed using a life-cycle assessment methodology that is consistent with international guidance on GHG accounting (IPCC Guidelines). See</a:t>
          </a:r>
          <a:r>
            <a:rPr lang="en-US" sz="1100" b="0" i="0" strike="noStrike" baseline="0">
              <a:solidFill>
                <a:sysClr val="windowText" lastClr="000000"/>
              </a:solidFill>
              <a:latin typeface="Arial"/>
              <a:ea typeface="+mn-ea"/>
              <a:cs typeface="Arial"/>
            </a:rPr>
            <a:t> the documentation for the detailed methodology. </a:t>
          </a:r>
          <a:endParaRPr lang="en-US" sz="1100" b="0" i="0" strike="noStrike">
            <a:solidFill>
              <a:sysClr val="windowText" lastClr="000000"/>
            </a:solidFill>
            <a:latin typeface="Arial"/>
            <a:ea typeface="+mn-ea"/>
            <a:cs typeface="Arial"/>
          </a:endParaRP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 ReCon Tool contains two output sheets, one for GHG emissions and another for energy consumption. The "GHG Output Sheet" provides an estimate of the total “upstream” GHG emissions (based on manufacturing processes, carbon sequestration, and avoided disposal) related to the manufacture of the materials with recycled content. The "Energy Output Sheet" provides an estimate of the total energy consumed (based on manufacturing processes and avoided disposal) related to the manufacture of materials with recycled content.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ysClr val="windowText" lastClr="000000"/>
              </a:solidFill>
              <a:latin typeface="Arial"/>
              <a:cs typeface="Arial"/>
            </a:rPr>
            <a:t>ReCon assumes that the recycled content in a product will offset an equal percentage of the disposal of a product made entirely with virgin materials. This is because ReCon assumes that having recycled content in a product prevents the same amount of material from being disposed of in the first place. For example, a ton of aluminum cans with 10% recycled content is assumed to avoid 10% of the disposal of a ton of virgin aluminum cans. If a user runs ReCon with a baseline scenario of cans with 10% recycled content and an alternate scenario of cans with 50% recycled content, the total GHG benefit calculated by the tool is the difference between the two cases. In other words, the total GHG benefit in this example includes the avoided disposal of 40% of a ton of virgin aluminum cans.  </a:t>
          </a:r>
        </a:p>
        <a:p>
          <a:pPr algn="l" rtl="0">
            <a:defRPr sz="1000"/>
          </a:pPr>
          <a:endParaRPr lang="en-US" sz="1100" b="0" i="0" strike="noStrike">
            <a:solidFill>
              <a:sysClr val="windowText" lastClr="000000"/>
            </a:solidFill>
            <a:latin typeface="Arial"/>
            <a:cs typeface="Arial"/>
          </a:endParaRPr>
        </a:p>
        <a:p>
          <a:pPr algn="l" rtl="0">
            <a:defRPr sz="1000"/>
          </a:pPr>
          <a:r>
            <a:rPr lang="en-US" sz="1100" b="0" i="0" strike="noStrike">
              <a:solidFill>
                <a:sysClr val="windowText" lastClr="000000"/>
              </a:solidFill>
              <a:latin typeface="Arial"/>
              <a:cs typeface="Arial"/>
            </a:rPr>
            <a:t>To summarize, two main aspects of ReCon determine the GHG reductions associated with purchasing materials with post-consumer recycled content:</a:t>
          </a:r>
        </a:p>
        <a:p>
          <a:pPr algn="l" rtl="0">
            <a:defRPr sz="1000"/>
          </a:pPr>
          <a:r>
            <a:rPr lang="en-US" sz="1100" b="0" i="0" strike="noStrike">
              <a:solidFill>
                <a:sysClr val="windowText" lastClr="000000"/>
              </a:solidFill>
              <a:latin typeface="Arial"/>
              <a:cs typeface="Arial"/>
            </a:rPr>
            <a:t> </a:t>
          </a:r>
        </a:p>
        <a:p>
          <a:pPr algn="l" rtl="0">
            <a:defRPr sz="1000"/>
          </a:pPr>
          <a:r>
            <a:rPr lang="en-US" sz="1100" b="0" i="0" strike="noStrike">
              <a:solidFill>
                <a:sysClr val="windowText" lastClr="000000"/>
              </a:solidFill>
              <a:latin typeface="Arial"/>
              <a:cs typeface="Arial"/>
            </a:rPr>
            <a:t>1. Avoided "upstream" emissions: the upstream emissions associated with recycled and virgin material production, weighted according to the percent recycled content specified in the tool. The total GHG benefit is the difference in GHG savings between the baseline and the alternate scenarios.</a:t>
          </a:r>
        </a:p>
        <a:p>
          <a:pPr algn="l" rtl="0">
            <a:defRPr sz="1000"/>
          </a:pPr>
          <a:r>
            <a:rPr lang="en-US" sz="1100" b="0" i="0" strike="noStrike">
              <a:solidFill>
                <a:sysClr val="windowText" lastClr="000000"/>
              </a:solidFill>
              <a:latin typeface="Arial"/>
              <a:cs typeface="Arial"/>
            </a:rPr>
            <a:t> </a:t>
          </a:r>
        </a:p>
        <a:p>
          <a:pPr algn="l" rtl="0">
            <a:defRPr sz="1000"/>
          </a:pPr>
          <a:r>
            <a:rPr lang="en-US" sz="1100" b="0" i="0" strike="noStrike">
              <a:solidFill>
                <a:sysClr val="windowText" lastClr="000000"/>
              </a:solidFill>
              <a:latin typeface="Arial"/>
              <a:cs typeface="Arial"/>
            </a:rPr>
            <a:t>2. Avoided disposal associated with the recycled content of the material, as described above. The rationale is that the recycled content portion of a material will displace that amount of virgin material which would otherwise have been landfilled disposed. The</a:t>
          </a:r>
          <a:r>
            <a:rPr lang="en-US" sz="1100" b="0" i="0" strike="noStrike" baseline="0">
              <a:solidFill>
                <a:sysClr val="windowText" lastClr="000000"/>
              </a:solidFill>
              <a:latin typeface="Arial"/>
              <a:cs typeface="Arial"/>
            </a:rPr>
            <a:t> </a:t>
          </a:r>
          <a:r>
            <a:rPr lang="en-US" sz="1100" b="0" i="0" strike="noStrike">
              <a:solidFill>
                <a:sysClr val="windowText" lastClr="000000"/>
              </a:solidFill>
              <a:latin typeface="Arial"/>
              <a:cs typeface="Arial"/>
            </a:rPr>
            <a:t>total GHG benefit includes only the incremental avoided displacement between the baseline and alternate scenarios.</a:t>
          </a:r>
        </a:p>
        <a:p>
          <a:pPr algn="l" rtl="0">
            <a:defRPr sz="1000"/>
          </a:pPr>
          <a:endParaRPr lang="en-US" sz="1100" b="0" i="0" strike="noStrike">
            <a:solidFill>
              <a:srgbClr val="000000"/>
            </a:solidFill>
            <a:latin typeface="Arial"/>
            <a:cs typeface="Arial"/>
          </a:endParaRPr>
        </a:p>
        <a:p>
          <a:pPr algn="l" rtl="0">
            <a:defRPr sz="1000"/>
          </a:pPr>
          <a:r>
            <a:rPr lang="en-US" sz="1100" b="1" i="0" strike="noStrike">
              <a:solidFill>
                <a:srgbClr val="000000"/>
              </a:solidFill>
              <a:latin typeface="Arial"/>
              <a:cs typeface="Arial"/>
            </a:rPr>
            <a:t>WHO SHOULD USE THE ReCon TOOL?</a:t>
          </a: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 ReCon Tool was developed for company representatives and individuals who want to calculate GHG emissions and energy consumption associated with purchasing and manufacturing activities using baseline and alternate recycled-content scenarios. Emission estimates provided by the ReCon Tool are intended to support voluntary GHG measurement and reporting initiatives.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 ReCon Tool may be useful for procurement specialists participating in the EPA's Comprehensive Procurement Guidelines (CPG) Program.  This program encourages the purchase of materials with the highest recycled content practicable by maintaining a catalog of CPG materials and background information to be referenced by procuring agencies. CPG materials include HDPE drums and fencing, newsprint, and steel sign posts.  The GHG and energy consumption impact of purchasing these materials with varying degrees of recycled content can be determined using this Tool. Please visit http://www.epa.gov/cpg/ for detailed information on the CPG Program.</a:t>
          </a:r>
        </a:p>
        <a:p>
          <a:pPr algn="l" rtl="0">
            <a:defRPr sz="1000"/>
          </a:pPr>
          <a:endParaRPr lang="en-US" sz="1100" b="0" i="0" strike="noStrike">
            <a:solidFill>
              <a:srgbClr val="000000"/>
            </a:solidFill>
            <a:latin typeface="Arial"/>
            <a:cs typeface="Arial"/>
          </a:endParaRPr>
        </a:p>
        <a:p>
          <a:pPr algn="l" rtl="0">
            <a:defRPr sz="1000"/>
          </a:pPr>
          <a:r>
            <a:rPr lang="en-US" sz="1100" b="1" i="0" strike="noStrike">
              <a:solidFill>
                <a:srgbClr val="000000"/>
              </a:solidFill>
              <a:latin typeface="Arial"/>
              <a:cs typeface="Arial"/>
            </a:rPr>
            <a:t>USING THE ReCon TOOL</a:t>
          </a: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To use the ReCon Tool, the user will need to enter data on purchasing and/ or manufacturing practices and recycled-content percentages for baseline and alternate scenarios (i.e., percent recycled content of existing stock and potential percent recycled content of available stock). The user should know how much material is purchased and/ or manufactured for a given time period, and will need to specify the recycled content for each material. Default recycled-content values are provided for the baseline scenario if that information is not readily available.  </a:t>
          </a:r>
        </a:p>
        <a:p>
          <a:pPr algn="l" rtl="0">
            <a:defRPr sz="1000"/>
          </a:pPr>
          <a:endParaRPr lang="en-US" sz="1100" b="0" i="0" strike="noStrike">
            <a:solidFill>
              <a:srgbClr val="000000"/>
            </a:solidFill>
            <a:latin typeface="Arial"/>
            <a:cs typeface="Arial"/>
          </a:endParaRPr>
        </a:p>
        <a:p>
          <a:pPr algn="l" rtl="0">
            <a:defRPr sz="1000"/>
          </a:pPr>
          <a:endParaRPr lang="en-US" sz="1100" b="0" i="0" strike="noStrike">
            <a:solidFill>
              <a:srgbClr val="FF0000"/>
            </a:solidFill>
            <a:latin typeface="Arial"/>
            <a:cs typeface="Arial"/>
          </a:endParaRPr>
        </a:p>
        <a:p>
          <a:pPr algn="l" rtl="0">
            <a:defRPr sz="1000"/>
          </a:pPr>
          <a:r>
            <a:rPr lang="en-US" sz="1100" b="1" i="0" strike="noStrike">
              <a:solidFill>
                <a:srgbClr val="000000"/>
              </a:solidFill>
              <a:latin typeface="Arial"/>
              <a:cs typeface="Arial"/>
            </a:rPr>
            <a:t>ASSISTANCE</a:t>
          </a: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If you need additional assistance with the ReCon Tool, please email orcrWARMquestions@epa.gov.</a:t>
          </a:r>
        </a:p>
        <a:p>
          <a:pPr algn="l" rtl="0">
            <a:defRPr sz="1000"/>
          </a:pPr>
          <a:endParaRPr lang="en-US" sz="1100" b="0" i="0" strike="noStrike">
            <a:solidFill>
              <a:srgbClr val="000000"/>
            </a:solidFill>
            <a:latin typeface="Arial"/>
            <a:cs typeface="Arial"/>
          </a:endParaRPr>
        </a:p>
        <a:p>
          <a:pPr algn="l" rtl="0">
            <a:defRPr sz="1000"/>
          </a:pPr>
          <a:r>
            <a:rPr lang="en-US" sz="1100" b="1" i="1" strike="noStrike">
              <a:solidFill>
                <a:srgbClr val="000000"/>
              </a:solidFill>
              <a:latin typeface="Arial"/>
              <a:cs typeface="Arial"/>
            </a:rPr>
            <a:t>Instructions:</a:t>
          </a:r>
        </a:p>
        <a:p>
          <a:pPr algn="l" rtl="0">
            <a:defRPr sz="1000"/>
          </a:pPr>
          <a:r>
            <a:rPr lang="en-US" sz="1100" b="0" i="0" strike="noStrike">
              <a:solidFill>
                <a:srgbClr val="000000"/>
              </a:solidFill>
              <a:latin typeface="Arial"/>
              <a:cs typeface="Arial"/>
            </a:rPr>
            <a:t>-- Click on the “Input Sheet” tab at the bottom left of the screen to open the input sheet for the Tool. Follow the instructions for Steps 1 and 2 to fill in the tables describing your purchasing or manufacturing amounts, and the baseline and proposed alternative recycled-content scenarios. The miscellaneous material types are defined as the following:</a:t>
          </a:r>
        </a:p>
        <a:p>
          <a:pPr algn="l" rtl="0">
            <a:defRPr sz="1000"/>
          </a:pPr>
          <a:endParaRPr lang="en-US" sz="1100" b="0" i="0" strike="noStrike">
            <a:solidFill>
              <a:srgbClr val="000000"/>
            </a:solidFill>
            <a:latin typeface="Arial"/>
            <a:cs typeface="Arial"/>
          </a:endParaRPr>
        </a:p>
        <a:p>
          <a:pPr algn="l" rtl="0">
            <a:defRPr sz="1000"/>
          </a:pPr>
          <a:r>
            <a:rPr lang="en-US" sz="1100" b="0" i="0" strike="noStrike" baseline="0">
              <a:solidFill>
                <a:srgbClr val="000000"/>
              </a:solidFill>
              <a:latin typeface="Arial"/>
              <a:cs typeface="Arial"/>
            </a:rPr>
            <a:t>Mixed Paper (general): Corrugated Containers 48%, Magazines/Third-class Mail 8%, Newspaper 24%, Office Paper 20%</a:t>
          </a:r>
        </a:p>
        <a:p>
          <a:pPr algn="l" rtl="0">
            <a:defRPr sz="1000"/>
          </a:pPr>
          <a:r>
            <a:rPr lang="en-US" sz="1100" b="0" i="0" strike="noStrike" baseline="0">
              <a:solidFill>
                <a:srgbClr val="000000"/>
              </a:solidFill>
              <a:latin typeface="Arial"/>
              <a:cs typeface="Arial"/>
            </a:rPr>
            <a:t>Mixed Paper (primarily residential): Corrugated Containers 53%, Magazines/Third-class Mail 10%, Newspaper 23%, Office Paper 14%</a:t>
          </a:r>
        </a:p>
        <a:p>
          <a:pPr algn="l" rtl="0">
            <a:defRPr sz="1000"/>
          </a:pPr>
          <a:r>
            <a:rPr lang="en-US" sz="1100" b="0" i="0" strike="noStrike" baseline="0">
              <a:solidFill>
                <a:srgbClr val="000000"/>
              </a:solidFill>
              <a:latin typeface="Arial"/>
              <a:cs typeface="Arial"/>
            </a:rPr>
            <a:t>Mixed Paper (primarily from offices): Corrugated Containers 5%, Magazines/Third-class Mail 36%, Newspaper 21%, Office Paper 38%</a:t>
          </a:r>
        </a:p>
        <a:p>
          <a:pPr algn="l" rtl="0">
            <a:defRPr sz="1000"/>
          </a:pPr>
          <a:r>
            <a:rPr lang="en-US" sz="1100" b="0" i="0" strike="noStrike">
              <a:solidFill>
                <a:srgbClr val="000000"/>
              </a:solidFill>
              <a:latin typeface="Arial"/>
              <a:cs typeface="Arial"/>
            </a:rPr>
            <a:t>Mixed Metals: Aluminum Cans 35%, Steel Cans 65%</a:t>
          </a:r>
        </a:p>
        <a:p>
          <a:pPr algn="l" rtl="0">
            <a:defRPr sz="1000"/>
          </a:pPr>
          <a:r>
            <a:rPr lang="en-US" sz="1100" b="0" i="0" strike="noStrike">
              <a:solidFill>
                <a:srgbClr val="000000"/>
              </a:solidFill>
              <a:latin typeface="Arial"/>
              <a:cs typeface="Arial"/>
            </a:rPr>
            <a:t>Mixed Plastics: HDPE 40%, PET 60%</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 For step one, enter the material type and the total pounds purchased or manufactured. Please combine items that are of the same basic material.  For example, 2,000 lbs of steel drums and 2,000 lbs of steel rods should be combined to 4,000 lbs of steel products. The list of example surrogate materials provides guidance to the user in selecting the best “approximate” category for the material purchased or manufactured (e.g., the surrogate material category for wood desks, wood shelving, and raw wood materials would be the dimensional lumber material category). Please note that the surrogate materials provided offer only an approximate estimate for a given material. If the user does not have material weight information, the "Unit Converter" provides a calculator for determining the weight of typical items for each material type, as well as a calculator for determining the weight of a given ream of paper.</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 For step two, the user can enter recycled content data for the baseline and alternative scenarios. If this data is unavailable, click on the “default recycled content” button and the tool will enter typical recycled-content values for each of the material types; clicking on the button again will reset the table. The default values are considered to be typical post-consumer recycled-content estimates for items produced using recovered materials. In cases where the user has recycled content data for selected materials, but not for others, the user may access default data by checking the box in the appropriate row.</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are two options for handling multiple materials of the same type, but with different levels of recycled content:</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1.</a:t>
          </a:r>
          <a:r>
            <a:rPr lang="en-US" sz="1100" b="0" i="0" strike="noStrike" baseline="0">
              <a:solidFill>
                <a:srgbClr val="000000"/>
              </a:solidFill>
              <a:latin typeface="Arial"/>
              <a:cs typeface="Arial"/>
            </a:rPr>
            <a:t> </a:t>
          </a:r>
          <a:r>
            <a:rPr lang="en-US" sz="1100" b="0" i="0" strike="noStrike">
              <a:solidFill>
                <a:srgbClr val="000000"/>
              </a:solidFill>
              <a:latin typeface="Arial"/>
              <a:cs typeface="Arial"/>
            </a:rPr>
            <a:t>The user can run the module multiple times using each of the individual recycled-content values.  After each run the values would then be recorded by the user for later reference; or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2.</a:t>
          </a:r>
          <a:r>
            <a:rPr lang="en-US" sz="1100" b="0" i="0" strike="noStrike" baseline="0">
              <a:solidFill>
                <a:srgbClr val="000000"/>
              </a:solidFill>
              <a:latin typeface="Arial"/>
              <a:cs typeface="Arial"/>
            </a:rPr>
            <a:t> </a:t>
          </a:r>
          <a:r>
            <a:rPr lang="en-US" sz="1100" b="0" i="0" strike="noStrike">
              <a:solidFill>
                <a:srgbClr val="000000"/>
              </a:solidFill>
              <a:latin typeface="Arial"/>
              <a:cs typeface="Arial"/>
            </a:rPr>
            <a:t>The user can create a weighted average of the recycled content of each of the materials and run the module only once. The user would then enter the total amount of the materials, and use the weighted average recycled content for the baseline and alternate scenarios. For example, 90 lbs of 50% recycled content office paper and 10 lbs of 10% recycled-content office paper would be combined to 100 lbs of 46% recycled content office paper.  {The recycled-content weighted average was calculated using the following equation: [(90 lbs * 50%) + (10 lbs * 10%)]/ (90 lbs + 10 lbs) = 46%}</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 Click on the "GHG Output Sheet" or "Energy Output Sheet" to view the results of the baseline and alternative scenario estimates of GHG emissions and energy consumption. The difference between the baseline and alternative scenarios represents the benefit of increasing the recycled content of materials purchased or manufactured. For ease of comprehension, the emissions and energy benefits estimated in the tool are converted to more familiar units such as gallons of gas, number of cars, etc.</a:t>
          </a:r>
        </a:p>
        <a:p>
          <a:pPr algn="l" rtl="0">
            <a:defRPr sz="1000"/>
          </a:pPr>
          <a:endParaRPr lang="en-US" sz="1100" b="0" i="0" strike="noStrike">
            <a:solidFill>
              <a:srgbClr val="000000"/>
            </a:solidFill>
            <a:latin typeface="Arial"/>
            <a:cs typeface="Arial"/>
          </a:endParaRPr>
        </a:p>
        <a:p>
          <a:pPr algn="l" rtl="0">
            <a:defRPr sz="1000"/>
          </a:pPr>
          <a:endParaRPr lang="en-US" sz="11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1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34</xdr:row>
          <xdr:rowOff>0</xdr:rowOff>
        </xdr:from>
        <xdr:to>
          <xdr:col>3</xdr:col>
          <xdr:colOff>257175</xdr:colOff>
          <xdr:row>35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3</xdr:col>
          <xdr:colOff>257175</xdr:colOff>
          <xdr:row>36</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3</xdr:col>
          <xdr:colOff>257175</xdr:colOff>
          <xdr:row>38</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0</xdr:rowOff>
        </xdr:from>
        <xdr:to>
          <xdr:col>3</xdr:col>
          <xdr:colOff>257175</xdr:colOff>
          <xdr:row>37</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0</xdr:rowOff>
        </xdr:from>
        <xdr:to>
          <xdr:col>3</xdr:col>
          <xdr:colOff>257175</xdr:colOff>
          <xdr:row>39</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0</xdr:rowOff>
        </xdr:from>
        <xdr:to>
          <xdr:col>3</xdr:col>
          <xdr:colOff>257175</xdr:colOff>
          <xdr:row>40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0</xdr:rowOff>
        </xdr:from>
        <xdr:to>
          <xdr:col>3</xdr:col>
          <xdr:colOff>257175</xdr:colOff>
          <xdr:row>41</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0</xdr:rowOff>
        </xdr:from>
        <xdr:to>
          <xdr:col>3</xdr:col>
          <xdr:colOff>257175</xdr:colOff>
          <xdr:row>42</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0</xdr:rowOff>
        </xdr:from>
        <xdr:to>
          <xdr:col>3</xdr:col>
          <xdr:colOff>257175</xdr:colOff>
          <xdr:row>43</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0</xdr:rowOff>
        </xdr:from>
        <xdr:to>
          <xdr:col>3</xdr:col>
          <xdr:colOff>257175</xdr:colOff>
          <xdr:row>44</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0</xdr:rowOff>
        </xdr:from>
        <xdr:to>
          <xdr:col>3</xdr:col>
          <xdr:colOff>257175</xdr:colOff>
          <xdr:row>45</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0</xdr:rowOff>
        </xdr:from>
        <xdr:to>
          <xdr:col>3</xdr:col>
          <xdr:colOff>257175</xdr:colOff>
          <xdr:row>46</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0</xdr:rowOff>
        </xdr:from>
        <xdr:to>
          <xdr:col>3</xdr:col>
          <xdr:colOff>257175</xdr:colOff>
          <xdr:row>47</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0</xdr:rowOff>
        </xdr:from>
        <xdr:to>
          <xdr:col>3</xdr:col>
          <xdr:colOff>257175</xdr:colOff>
          <xdr:row>48</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0</xdr:rowOff>
        </xdr:from>
        <xdr:to>
          <xdr:col>3</xdr:col>
          <xdr:colOff>257175</xdr:colOff>
          <xdr:row>49</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0</xdr:rowOff>
        </xdr:from>
        <xdr:to>
          <xdr:col>3</xdr:col>
          <xdr:colOff>257175</xdr:colOff>
          <xdr:row>50</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3</xdr:col>
          <xdr:colOff>257175</xdr:colOff>
          <xdr:row>51</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0</xdr:rowOff>
        </xdr:from>
        <xdr:to>
          <xdr:col>3</xdr:col>
          <xdr:colOff>257175</xdr:colOff>
          <xdr:row>52</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3</xdr:col>
          <xdr:colOff>257175</xdr:colOff>
          <xdr:row>53</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3</xdr:col>
          <xdr:colOff>257175</xdr:colOff>
          <xdr:row>54</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3</xdr:col>
          <xdr:colOff>257175</xdr:colOff>
          <xdr:row>36</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0</xdr:rowOff>
        </xdr:from>
        <xdr:to>
          <xdr:col>3</xdr:col>
          <xdr:colOff>257175</xdr:colOff>
          <xdr:row>37</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3</xdr:col>
          <xdr:colOff>257175</xdr:colOff>
          <xdr:row>38</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0</xdr:rowOff>
        </xdr:from>
        <xdr:to>
          <xdr:col>3</xdr:col>
          <xdr:colOff>257175</xdr:colOff>
          <xdr:row>39</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0</xdr:rowOff>
        </xdr:from>
        <xdr:to>
          <xdr:col>3</xdr:col>
          <xdr:colOff>257175</xdr:colOff>
          <xdr:row>40</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0</xdr:rowOff>
        </xdr:from>
        <xdr:to>
          <xdr:col>3</xdr:col>
          <xdr:colOff>257175</xdr:colOff>
          <xdr:row>41</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0</xdr:rowOff>
        </xdr:from>
        <xdr:to>
          <xdr:col>3</xdr:col>
          <xdr:colOff>257175</xdr:colOff>
          <xdr:row>42</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0</xdr:rowOff>
        </xdr:from>
        <xdr:to>
          <xdr:col>3</xdr:col>
          <xdr:colOff>257175</xdr:colOff>
          <xdr:row>43</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0</xdr:rowOff>
        </xdr:from>
        <xdr:to>
          <xdr:col>3</xdr:col>
          <xdr:colOff>257175</xdr:colOff>
          <xdr:row>44</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0</xdr:rowOff>
        </xdr:from>
        <xdr:to>
          <xdr:col>3</xdr:col>
          <xdr:colOff>257175</xdr:colOff>
          <xdr:row>45</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0</xdr:rowOff>
        </xdr:from>
        <xdr:to>
          <xdr:col>3</xdr:col>
          <xdr:colOff>257175</xdr:colOff>
          <xdr:row>46</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0</xdr:rowOff>
        </xdr:from>
        <xdr:to>
          <xdr:col>3</xdr:col>
          <xdr:colOff>257175</xdr:colOff>
          <xdr:row>47</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0</xdr:rowOff>
        </xdr:from>
        <xdr:to>
          <xdr:col>3</xdr:col>
          <xdr:colOff>257175</xdr:colOff>
          <xdr:row>48</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0</xdr:rowOff>
        </xdr:from>
        <xdr:to>
          <xdr:col>3</xdr:col>
          <xdr:colOff>257175</xdr:colOff>
          <xdr:row>49</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0</xdr:rowOff>
        </xdr:from>
        <xdr:to>
          <xdr:col>3</xdr:col>
          <xdr:colOff>257175</xdr:colOff>
          <xdr:row>50</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3</xdr:col>
          <xdr:colOff>257175</xdr:colOff>
          <xdr:row>51</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0</xdr:rowOff>
        </xdr:from>
        <xdr:to>
          <xdr:col>3</xdr:col>
          <xdr:colOff>257175</xdr:colOff>
          <xdr:row>52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3</xdr:col>
          <xdr:colOff>257175</xdr:colOff>
          <xdr:row>53</xdr:row>
          <xdr:rowOff>9525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0</xdr:rowOff>
        </xdr:from>
        <xdr:to>
          <xdr:col>3</xdr:col>
          <xdr:colOff>257175</xdr:colOff>
          <xdr:row>54</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WARMEconomicImpacts/Shared%20Documents/General/LIVE%20WARM%20SPREADSHEETS/Version%2015/Energy%20Savings_v15_L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s/WARMEconomicImpacts/Shared%20Documents/General/LIVE%20WARM%20SPREADSHEETS/Version%2015/GHG_MSTR_v15_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 Savings by Material"/>
      <sheetName val="Conversion Factors"/>
      <sheetName val="Savings Summary"/>
      <sheetName val="2000 Natl Rec"/>
      <sheetName val="Increased Recovery"/>
      <sheetName val="Alt Energy Factors"/>
      <sheetName val="CA Energy Comparison"/>
      <sheetName val="Chart1"/>
      <sheetName val="Chart2"/>
    </sheetNames>
    <sheetDataSet>
      <sheetData sheetId="0">
        <row r="6">
          <cell r="B6" t="str">
            <v>Aluminum Cans</v>
          </cell>
          <cell r="T6">
            <v>0.26827304622443826</v>
          </cell>
          <cell r="AB6">
            <v>200.56711325446287</v>
          </cell>
          <cell r="AF6">
            <v>89.690841492210723</v>
          </cell>
          <cell r="AI6">
            <v>37.032789121347612</v>
          </cell>
        </row>
        <row r="7">
          <cell r="B7" t="str">
            <v>Steel Cans</v>
          </cell>
          <cell r="T7">
            <v>0.26827304622443826</v>
          </cell>
          <cell r="AB7">
            <v>36.542744907957726</v>
          </cell>
          <cell r="AF7">
            <v>29.880553333880805</v>
          </cell>
          <cell r="AI7">
            <v>16.16907036949619</v>
          </cell>
        </row>
        <row r="8">
          <cell r="B8" t="str">
            <v>Copper Wire</v>
          </cell>
          <cell r="T8">
            <v>0.26827304622443826</v>
          </cell>
          <cell r="AB8">
            <v>123.3456153694962</v>
          </cell>
          <cell r="AF8">
            <v>122.3574263694962</v>
          </cell>
          <cell r="AI8">
            <v>103.5818353694962</v>
          </cell>
        </row>
        <row r="9">
          <cell r="B9" t="str">
            <v>Glass</v>
          </cell>
          <cell r="T9">
            <v>0.26827304622443826</v>
          </cell>
          <cell r="AB9">
            <v>7.4630021214459079</v>
          </cell>
          <cell r="AF9">
            <v>6.9045684030684162</v>
          </cell>
          <cell r="AI9">
            <v>5.0423964934550485</v>
          </cell>
        </row>
        <row r="10">
          <cell r="B10" t="str">
            <v>HDPE</v>
          </cell>
          <cell r="T10">
            <v>0.26827304622443826</v>
          </cell>
          <cell r="AB10">
            <v>66.986711738755403</v>
          </cell>
          <cell r="AF10">
            <v>61.11498956369185</v>
          </cell>
          <cell r="AI10">
            <v>8.2694899881199575</v>
          </cell>
        </row>
        <row r="11">
          <cell r="B11" t="str">
            <v>LDPE</v>
          </cell>
          <cell r="T11">
            <v>0.26827304622443826</v>
          </cell>
          <cell r="AB11">
            <v>70.917818885295773</v>
          </cell>
          <cell r="AF11">
            <v>70.917818885295773</v>
          </cell>
          <cell r="AI11">
            <v>0.53937768773294736</v>
          </cell>
        </row>
        <row r="12">
          <cell r="B12" t="str">
            <v>PET</v>
          </cell>
          <cell r="T12">
            <v>0.26827304622443826</v>
          </cell>
          <cell r="AB12">
            <v>51.132633070362225</v>
          </cell>
          <cell r="AF12">
            <v>50.058992148047757</v>
          </cell>
          <cell r="AI12">
            <v>15.344602326546818</v>
          </cell>
        </row>
        <row r="13">
          <cell r="B13" t="str">
            <v>Corrugated Containers</v>
          </cell>
          <cell r="T13">
            <v>-0.1844127620335142</v>
          </cell>
          <cell r="AB13">
            <v>27.175692842518995</v>
          </cell>
          <cell r="AF13">
            <v>22.320513543509552</v>
          </cell>
          <cell r="AI13">
            <v>13.26400430667532</v>
          </cell>
        </row>
        <row r="14">
          <cell r="B14" t="str">
            <v>Magazines/Third-class Mail</v>
          </cell>
          <cell r="T14">
            <v>7.1401944348562535E-2</v>
          </cell>
          <cell r="AB14">
            <v>33.267474482017683</v>
          </cell>
          <cell r="AF14">
            <v>33.225750782920784</v>
          </cell>
          <cell r="AI14">
            <v>32.249823284532383</v>
          </cell>
        </row>
        <row r="15">
          <cell r="B15" t="str">
            <v>Newspaper</v>
          </cell>
          <cell r="T15">
            <v>7.7691833154769602E-2</v>
          </cell>
          <cell r="AB15">
            <v>40.699353438892402</v>
          </cell>
          <cell r="AF15">
            <v>36.464546483715836</v>
          </cell>
          <cell r="AI15">
            <v>22.287149285950804</v>
          </cell>
        </row>
        <row r="16">
          <cell r="B16" t="str">
            <v>Office Paper</v>
          </cell>
          <cell r="T16">
            <v>-0.43141819354482713</v>
          </cell>
          <cell r="AB16">
            <v>37.290868697497764</v>
          </cell>
          <cell r="AF16">
            <v>36.59821281517732</v>
          </cell>
          <cell r="AI16">
            <v>20.396822787243028</v>
          </cell>
        </row>
        <row r="17">
          <cell r="B17" t="str">
            <v>Phonebooks</v>
          </cell>
          <cell r="T17">
            <v>7.7691833154769602E-2</v>
          </cell>
          <cell r="AB17">
            <v>40.198908550451655</v>
          </cell>
          <cell r="AF17">
            <v>40.198908550451655</v>
          </cell>
          <cell r="AI17">
            <v>22.616372128603182</v>
          </cell>
        </row>
        <row r="18">
          <cell r="B18" t="str">
            <v>Textbooks</v>
          </cell>
          <cell r="T18">
            <v>-0.43141819354482713</v>
          </cell>
          <cell r="AB18">
            <v>35.663559250647594</v>
          </cell>
          <cell r="AF18">
            <v>35.599721766002347</v>
          </cell>
          <cell r="AI18">
            <v>34.10654743003181</v>
          </cell>
        </row>
        <row r="19">
          <cell r="B19" t="str">
            <v>Dimensional Lumber</v>
          </cell>
          <cell r="T19">
            <v>0.23878486768854182</v>
          </cell>
          <cell r="AB19">
            <v>3.6749756764231494</v>
          </cell>
          <cell r="AF19">
            <v>3.6749756764231494</v>
          </cell>
          <cell r="AI19">
            <v>4.4099756764231497</v>
          </cell>
        </row>
        <row r="20">
          <cell r="B20" t="str">
            <v>Medium-density Fiberboard</v>
          </cell>
          <cell r="T20">
            <v>0.25810475795754206</v>
          </cell>
          <cell r="AB20">
            <v>11.920555209697666</v>
          </cell>
          <cell r="AF20">
            <v>11.920555209697666</v>
          </cell>
          <cell r="AI20">
            <v>12.993555209697666</v>
          </cell>
        </row>
        <row r="21">
          <cell r="B21" t="str">
            <v>Food Waste</v>
          </cell>
          <cell r="T21">
            <v>1.120340242339174E-2</v>
          </cell>
          <cell r="AB21">
            <v>14.559042837202703</v>
          </cell>
          <cell r="AF21">
            <v>14.559042837202703</v>
          </cell>
          <cell r="AI21" t="str">
            <v>NA</v>
          </cell>
        </row>
        <row r="22">
          <cell r="B22" t="str">
            <v>Food Waste (non-meat)</v>
          </cell>
          <cell r="T22">
            <v>1.120340242339174E-2</v>
          </cell>
          <cell r="AB22">
            <v>7.201574287141435</v>
          </cell>
          <cell r="AF22">
            <v>7.201574287141435</v>
          </cell>
          <cell r="AI22" t="str">
            <v>NA</v>
          </cell>
        </row>
        <row r="23">
          <cell r="B23" t="str">
            <v>Food Waste (meat only)</v>
          </cell>
          <cell r="T23">
            <v>1.120340242339174E-2</v>
          </cell>
          <cell r="AB23">
            <v>43.602496945352172</v>
          </cell>
          <cell r="AF23">
            <v>43.602496945352172</v>
          </cell>
          <cell r="AI23" t="str">
            <v>NA</v>
          </cell>
        </row>
        <row r="24">
          <cell r="B24" t="str">
            <v>Beef</v>
          </cell>
          <cell r="T24">
            <v>1.120340242339174E-2</v>
          </cell>
          <cell r="AB24">
            <v>63.882874067756674</v>
          </cell>
          <cell r="AF24">
            <v>63.882874067756674</v>
          </cell>
          <cell r="AI24" t="str">
            <v>NA</v>
          </cell>
        </row>
        <row r="25">
          <cell r="B25" t="str">
            <v>Poultry</v>
          </cell>
          <cell r="T25">
            <v>1.120340242339174E-2</v>
          </cell>
          <cell r="AB25">
            <v>26.480489517117867</v>
          </cell>
          <cell r="AF25">
            <v>26.480489517117867</v>
          </cell>
          <cell r="AI25" t="str">
            <v>NA</v>
          </cell>
        </row>
        <row r="26">
          <cell r="B26" t="str">
            <v>Grains</v>
          </cell>
          <cell r="T26">
            <v>1.120340242339174E-2</v>
          </cell>
          <cell r="AB26">
            <v>5.642138563263372</v>
          </cell>
          <cell r="AF26">
            <v>5.642138563263372</v>
          </cell>
          <cell r="AI26" t="str">
            <v>NA</v>
          </cell>
        </row>
        <row r="27">
          <cell r="B27" t="str">
            <v>Bread</v>
          </cell>
          <cell r="T27">
            <v>1.120340242339174E-2</v>
          </cell>
          <cell r="AB27">
            <v>6.5221665213326432</v>
          </cell>
          <cell r="AF27">
            <v>6.5221665213326432</v>
          </cell>
          <cell r="AI27" t="str">
            <v>NA</v>
          </cell>
        </row>
        <row r="28">
          <cell r="B28" t="str">
            <v>Fruits and Vegetables</v>
          </cell>
          <cell r="T28">
            <v>1.120340242339174E-2</v>
          </cell>
          <cell r="AB28">
            <v>5.0692234436343391</v>
          </cell>
          <cell r="AF28">
            <v>5.0692234436343391</v>
          </cell>
          <cell r="AI28" t="str">
            <v>NA</v>
          </cell>
        </row>
        <row r="29">
          <cell r="B29" t="str">
            <v>Dairy Products</v>
          </cell>
          <cell r="T29">
            <v>1.120340242339174E-2</v>
          </cell>
          <cell r="AB29">
            <v>14.267376488498567</v>
          </cell>
          <cell r="AF29">
            <v>14.267376488498567</v>
          </cell>
          <cell r="AI29" t="str">
            <v>NA</v>
          </cell>
        </row>
        <row r="30">
          <cell r="B30" t="str">
            <v>Yard Trimmings</v>
          </cell>
          <cell r="T30">
            <v>0.15247798670110652</v>
          </cell>
          <cell r="AB30" t="str">
            <v>NA</v>
          </cell>
          <cell r="AF30" t="str">
            <v>NA</v>
          </cell>
          <cell r="AI30" t="str">
            <v>NA</v>
          </cell>
        </row>
        <row r="31">
          <cell r="B31" t="str">
            <v>Grass</v>
          </cell>
          <cell r="T31">
            <v>0.19596824764512816</v>
          </cell>
          <cell r="AB31" t="str">
            <v>NA</v>
          </cell>
          <cell r="AF31" t="str">
            <v>NA</v>
          </cell>
          <cell r="AI31" t="str">
            <v>NA</v>
          </cell>
        </row>
        <row r="32">
          <cell r="B32" t="str">
            <v>Leaves</v>
          </cell>
          <cell r="T32">
            <v>0.16929182175605456</v>
          </cell>
          <cell r="AB32" t="str">
            <v>NA</v>
          </cell>
          <cell r="AF32" t="str">
            <v>NA</v>
          </cell>
          <cell r="AI32" t="str">
            <v>NA</v>
          </cell>
        </row>
        <row r="33">
          <cell r="B33" t="str">
            <v>Branches</v>
          </cell>
          <cell r="T33">
            <v>2.7585113002509848E-2</v>
          </cell>
          <cell r="AB33" t="str">
            <v>NA</v>
          </cell>
          <cell r="AF33" t="str">
            <v>NA</v>
          </cell>
          <cell r="AI33" t="str">
            <v>NA</v>
          </cell>
        </row>
        <row r="34">
          <cell r="B34" t="str">
            <v xml:space="preserve">Mixed Paper </v>
          </cell>
        </row>
        <row r="35">
          <cell r="B35" t="str">
            <v>Mixed Paper (general)</v>
          </cell>
          <cell r="T35">
            <v>-0.15047752631658473</v>
          </cell>
          <cell r="AB35">
            <v>32.931749087804263</v>
          </cell>
          <cell r="AF35">
            <v>29.443040282645512</v>
          </cell>
          <cell r="AI35">
            <v>18.374988316043545</v>
          </cell>
        </row>
        <row r="36">
          <cell r="B36" t="str">
            <v>Mixed Paper (primarily residential)</v>
          </cell>
          <cell r="T36">
            <v>-0.13331055684033183</v>
          </cell>
          <cell r="AB36">
            <v>32.311437563331779</v>
          </cell>
          <cell r="AF36">
            <v>28.663042741731605</v>
          </cell>
          <cell r="AI36">
            <v>18.236504136973871</v>
          </cell>
        </row>
        <row r="37">
          <cell r="B37" t="str">
            <v>Mixed Paper (primarily from offices)</v>
          </cell>
          <cell r="T37">
            <v>-0.12592883395443411</v>
          </cell>
          <cell r="AB37">
            <v>36.052469782868869</v>
          </cell>
          <cell r="AF37">
            <v>34.642171590374666</v>
          </cell>
          <cell r="AI37">
            <v>24.704230606967442</v>
          </cell>
        </row>
        <row r="38">
          <cell r="B38" t="str">
            <v>Mixed Metals</v>
          </cell>
          <cell r="T38">
            <v>0.26827304622443826</v>
          </cell>
          <cell r="AB38">
            <v>94.080088778197748</v>
          </cell>
          <cell r="AF38">
            <v>50.86112561978711</v>
          </cell>
          <cell r="AI38">
            <v>23.487757052082813</v>
          </cell>
        </row>
        <row r="39">
          <cell r="B39" t="str">
            <v>Mixed Plastics</v>
          </cell>
          <cell r="T39">
            <v>0.26827304622443826</v>
          </cell>
          <cell r="AB39">
            <v>57.433613053954382</v>
          </cell>
          <cell r="AF39">
            <v>54.453042402983236</v>
          </cell>
          <cell r="AI39">
            <v>12.532698704864346</v>
          </cell>
        </row>
        <row r="40">
          <cell r="B40" t="str">
            <v>Mixed Recyclables</v>
          </cell>
          <cell r="T40">
            <v>-3.7314056572734844E-2</v>
          </cell>
          <cell r="AB40">
            <v>29.705806055797122</v>
          </cell>
          <cell r="AF40">
            <v>24.597958062714348</v>
          </cell>
          <cell r="AI40">
            <v>15.603180145027586</v>
          </cell>
        </row>
        <row r="41">
          <cell r="B41" t="str">
            <v>Mixed Organics</v>
          </cell>
          <cell r="T41">
            <v>8.0225035224774754E-2</v>
          </cell>
          <cell r="AB41">
            <v>0</v>
          </cell>
          <cell r="AF41" t="str">
            <v>NA</v>
          </cell>
          <cell r="AI41" t="str">
            <v>NA</v>
          </cell>
        </row>
        <row r="42">
          <cell r="B42" t="str">
            <v>Mixed MSW</v>
          </cell>
          <cell r="T42">
            <v>-2.9608169417621621E-2</v>
          </cell>
          <cell r="AB42">
            <v>0</v>
          </cell>
          <cell r="AF42" t="str">
            <v>NA</v>
          </cell>
          <cell r="AI42" t="str">
            <v>NA</v>
          </cell>
        </row>
        <row r="43">
          <cell r="B43" t="str">
            <v>Carpet</v>
          </cell>
          <cell r="T43">
            <v>0.26827304622443826</v>
          </cell>
          <cell r="AB43">
            <v>91.064720000000023</v>
          </cell>
          <cell r="AF43">
            <v>91.064720000000023</v>
          </cell>
          <cell r="AI43" t="str">
            <v>NA</v>
          </cell>
        </row>
        <row r="44">
          <cell r="B44" t="str">
            <v>Desktop CPUs</v>
          </cell>
          <cell r="T44">
            <v>0.26827304622443826</v>
          </cell>
          <cell r="AB44">
            <v>130.63461337211521</v>
          </cell>
          <cell r="AF44">
            <v>130.63461337211521</v>
          </cell>
          <cell r="AI44" t="str">
            <v>NA</v>
          </cell>
        </row>
        <row r="45">
          <cell r="B45" t="str">
            <v>Portable Electronic Devices</v>
          </cell>
          <cell r="T45">
            <v>0.26827304622443826</v>
          </cell>
          <cell r="AB45">
            <v>163.35527004727928</v>
          </cell>
          <cell r="AF45">
            <v>163.35527004727928</v>
          </cell>
          <cell r="AI45" t="str">
            <v>NA</v>
          </cell>
        </row>
        <row r="46">
          <cell r="B46" t="str">
            <v>Flat-Panel Displays</v>
          </cell>
          <cell r="T46">
            <v>0.26827304622443826</v>
          </cell>
          <cell r="AB46">
            <v>125.66387732692671</v>
          </cell>
          <cell r="AF46">
            <v>125.66387732692671</v>
          </cell>
          <cell r="AI46" t="str">
            <v>NA</v>
          </cell>
        </row>
        <row r="47">
          <cell r="B47" t="str">
            <v>CRT Displays</v>
          </cell>
          <cell r="T47">
            <v>0.26827304622443826</v>
          </cell>
          <cell r="AB47">
            <v>0</v>
          </cell>
          <cell r="AF47" t="str">
            <v>NA</v>
          </cell>
          <cell r="AI47" t="str">
            <v>NA</v>
          </cell>
        </row>
        <row r="48">
          <cell r="B48" t="str">
            <v>Electronic Peripherals</v>
          </cell>
          <cell r="T48">
            <v>0.26827304622443826</v>
          </cell>
          <cell r="AB48">
            <v>86.175384397557636</v>
          </cell>
          <cell r="AF48">
            <v>86.175384397557636</v>
          </cell>
          <cell r="AI48" t="str">
            <v>NA</v>
          </cell>
        </row>
        <row r="49">
          <cell r="B49" t="str">
            <v>Hard-Copy Devices</v>
          </cell>
          <cell r="T49">
            <v>0.26827304622443826</v>
          </cell>
          <cell r="AB49">
            <v>105.82451506788705</v>
          </cell>
          <cell r="AF49">
            <v>105.82451506788705</v>
          </cell>
          <cell r="AI49" t="str">
            <v>NA</v>
          </cell>
        </row>
        <row r="50">
          <cell r="B50" t="str">
            <v>Mixed Electronics</v>
          </cell>
          <cell r="T50">
            <v>0.26827304622443826</v>
          </cell>
          <cell r="AB50">
            <v>0</v>
          </cell>
          <cell r="AF50" t="str">
            <v>NA</v>
          </cell>
          <cell r="AI50" t="str">
            <v>NA</v>
          </cell>
        </row>
        <row r="51">
          <cell r="B51" t="str">
            <v>Clay Bricks</v>
          </cell>
          <cell r="T51">
            <v>0.26827304622443826</v>
          </cell>
          <cell r="AB51">
            <v>5.1314789596929602</v>
          </cell>
          <cell r="AF51">
            <v>5.1314789596929602</v>
          </cell>
          <cell r="AI51" t="str">
            <v>NA</v>
          </cell>
        </row>
        <row r="52">
          <cell r="B52" t="str">
            <v>Concrete</v>
          </cell>
          <cell r="T52">
            <v>0.26827304622443826</v>
          </cell>
          <cell r="AB52">
            <v>0.23540251321042441</v>
          </cell>
          <cell r="AF52" t="str">
            <v>NA</v>
          </cell>
          <cell r="AI52">
            <v>0.12858039753594186</v>
          </cell>
        </row>
        <row r="53">
          <cell r="B53" t="str">
            <v>Fly Ash</v>
          </cell>
          <cell r="T53">
            <v>0.26827304622443826</v>
          </cell>
          <cell r="AB53">
            <v>4.8708378130925007</v>
          </cell>
          <cell r="AF53" t="str">
            <v>NA</v>
          </cell>
          <cell r="AI53">
            <v>0.10416149999999999</v>
          </cell>
        </row>
        <row r="54">
          <cell r="B54" t="str">
            <v>Tires</v>
          </cell>
          <cell r="T54">
            <v>0.26827304622443826</v>
          </cell>
          <cell r="AB54">
            <v>74.326977160364933</v>
          </cell>
          <cell r="AF54">
            <v>71.708659098916172</v>
          </cell>
          <cell r="AI54">
            <v>3.2842802865669221</v>
          </cell>
        </row>
        <row r="55">
          <cell r="B55" t="str">
            <v>Asphalt Concrete</v>
          </cell>
          <cell r="T55">
            <v>0.26827304622443826</v>
          </cell>
          <cell r="AB55">
            <v>1.6756024041425266</v>
          </cell>
          <cell r="AF55">
            <v>1.6756024041425266</v>
          </cell>
          <cell r="AI55">
            <v>0.45818916634006779</v>
          </cell>
        </row>
        <row r="56">
          <cell r="B56" t="str">
            <v>Asphalt Shingles</v>
          </cell>
          <cell r="T56">
            <v>0.26827304622443826</v>
          </cell>
          <cell r="AB56">
            <v>3.108136638825111</v>
          </cell>
          <cell r="AF56">
            <v>3.108136638825111</v>
          </cell>
          <cell r="AI56">
            <v>0.50677957903107407</v>
          </cell>
        </row>
        <row r="57">
          <cell r="B57" t="str">
            <v>Drywall</v>
          </cell>
          <cell r="T57">
            <v>0.26827304622443826</v>
          </cell>
          <cell r="AB57">
            <v>3.558772676935932</v>
          </cell>
          <cell r="AF57">
            <v>3.558772676935932</v>
          </cell>
          <cell r="AI57">
            <v>3.5911565524828499</v>
          </cell>
        </row>
        <row r="58">
          <cell r="B58" t="str">
            <v>Fiberglass Insulation</v>
          </cell>
          <cell r="T58">
            <v>0.26827304622443826</v>
          </cell>
          <cell r="AB58">
            <v>5.557723872361839</v>
          </cell>
          <cell r="AF58">
            <v>4.7284372038703948</v>
          </cell>
          <cell r="AI58">
            <v>3.1186454356222986</v>
          </cell>
        </row>
        <row r="59">
          <cell r="B59" t="str">
            <v>Vinyl Flooring</v>
          </cell>
          <cell r="T59">
            <v>0.26827304622443826</v>
          </cell>
          <cell r="AB59">
            <v>10.602703035768974</v>
          </cell>
          <cell r="AF59" t="e">
            <v>#VALUE!</v>
          </cell>
          <cell r="AI59">
            <v>0.53937768773294736</v>
          </cell>
        </row>
        <row r="60">
          <cell r="B60" t="str">
            <v>Wood Flooring</v>
          </cell>
          <cell r="T60">
            <v>0.26827304622443826</v>
          </cell>
          <cell r="AB60">
            <v>14.366681182226445</v>
          </cell>
          <cell r="AF60">
            <v>14.366681182226445</v>
          </cell>
          <cell r="AI60">
            <v>0.31798322435765308</v>
          </cell>
        </row>
        <row r="61">
          <cell r="B61" t="str">
            <v>Aluminum Ingot</v>
          </cell>
          <cell r="T61">
            <v>0.26827304622443826</v>
          </cell>
          <cell r="AB61">
            <v>126.94877293249891</v>
          </cell>
          <cell r="AF61">
            <v>126.94877293249891</v>
          </cell>
          <cell r="AI61">
            <v>5.0758627349204959</v>
          </cell>
        </row>
        <row r="62">
          <cell r="B62" t="str">
            <v>PLA</v>
          </cell>
          <cell r="T62">
            <v>0.26827304622443826</v>
          </cell>
          <cell r="AB62">
            <v>30.086023377920679</v>
          </cell>
          <cell r="AF62">
            <v>30.086023377920679</v>
          </cell>
          <cell r="AI62" t="str">
            <v>NA</v>
          </cell>
        </row>
        <row r="63">
          <cell r="B63" t="str">
            <v>LLDPE</v>
          </cell>
          <cell r="T63">
            <v>0.26827304622443826</v>
          </cell>
          <cell r="AB63">
            <v>66.285120807818672</v>
          </cell>
          <cell r="AF63">
            <v>66.285120807818672</v>
          </cell>
          <cell r="AI63">
            <v>0.53937768773294736</v>
          </cell>
        </row>
        <row r="64">
          <cell r="B64" t="str">
            <v>PP</v>
          </cell>
          <cell r="T64">
            <v>0.26827304622443826</v>
          </cell>
          <cell r="AB64">
            <v>66.486138045727998</v>
          </cell>
          <cell r="AF64">
            <v>66.486138045727998</v>
          </cell>
          <cell r="AI64">
            <v>0.53937768773294736</v>
          </cell>
        </row>
        <row r="65">
          <cell r="B65" t="str">
            <v>PS</v>
          </cell>
          <cell r="T65">
            <v>0.26827304622443826</v>
          </cell>
          <cell r="AB65">
            <v>74.854728480247758</v>
          </cell>
          <cell r="AF65">
            <v>74.854728480247758</v>
          </cell>
          <cell r="AI65">
            <v>0.53937768773294736</v>
          </cell>
        </row>
        <row r="66">
          <cell r="B66" t="str">
            <v>PVC</v>
          </cell>
          <cell r="T66">
            <v>0.26827304622443826</v>
          </cell>
          <cell r="AB66">
            <v>48.140922631023201</v>
          </cell>
          <cell r="AF66">
            <v>48.140922631023201</v>
          </cell>
          <cell r="AI66">
            <v>0.53937768773294736</v>
          </cell>
        </row>
      </sheetData>
      <sheetData sheetId="1">
        <row r="5">
          <cell r="G5">
            <v>112.52391133115786</v>
          </cell>
        </row>
        <row r="6">
          <cell r="B6">
            <v>4.71</v>
          </cell>
        </row>
        <row r="14">
          <cell r="B14">
            <v>0.12045238095238095</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con Factors"/>
      <sheetName val="Energy Emissions _ OpenLCAInput"/>
      <sheetName val="Energy Emissions"/>
      <sheetName val="EFs by Native Gas"/>
      <sheetName val="Landfilling"/>
      <sheetName val="Assumptions"/>
      <sheetName val="Emission Factors"/>
      <sheetName val="Combustion"/>
      <sheetName val="AD Model Wet"/>
      <sheetName val="AD Model Dry "/>
      <sheetName val="Plastics"/>
      <sheetName val="Loss Rates"/>
      <sheetName val="Food Loss Rates"/>
      <sheetName val="Poultry"/>
      <sheetName val="Beef"/>
      <sheetName val="Produce"/>
      <sheetName val="Grains"/>
      <sheetName val="Current Mix "/>
      <sheetName val="Dairy"/>
      <sheetName val="Electronics"/>
      <sheetName val="Aluminum"/>
      <sheetName val="PLA"/>
      <sheetName val="Industrial Process Emissions"/>
      <sheetName val="Carbon Coefficients"/>
      <sheetName val="RTI Energy Data"/>
      <sheetName val="PC Energy Data"/>
      <sheetName val="Carpet Energy Data"/>
      <sheetName val="eGRID data"/>
      <sheetName val="Barlaz Data"/>
      <sheetName val="Asphalt Concrete"/>
      <sheetName val="Asphalt Shingles"/>
      <sheetName val="Drywall"/>
      <sheetName val="Fiberglass Insulation"/>
      <sheetName val="Wood Flooring"/>
      <sheetName val="Hardwood forest carbon storage"/>
      <sheetName val="Vinyl Flooring"/>
      <sheetName val="Tires"/>
      <sheetName val="Carpet"/>
      <sheetName val="Ceiling Tiles"/>
      <sheetName val="RCB"/>
      <sheetName val="Composting - Net Flux"/>
      <sheetName val="Composting - CENTURY Results"/>
      <sheetName val="Composting - Incremental Humus"/>
      <sheetName val="Chapter 5- Humus"/>
      <sheetName val="Woodcarb"/>
      <sheetName val="Utility Emissions"/>
      <sheetName val="Utility Offsets"/>
      <sheetName val="Forest C"/>
      <sheetName val="Forest C Revised calx"/>
      <sheetName val="Forcarb_Sheet1"/>
      <sheetName val="Forcarb_Sheet2"/>
      <sheetName val="Forcarb_Sheet3"/>
      <sheetName val="Forcarb_Sheet4"/>
      <sheetName val="Forcarb_Sheet5"/>
      <sheetName val="Forest C Anlys for Wood"/>
      <sheetName val="Alt Emis Factors"/>
      <sheetName val="Post-Consumer Transport"/>
      <sheetName val="Retail Transport"/>
      <sheetName val="Revisions Log"/>
      <sheetName val="Temporal Landfill EFs"/>
      <sheetName val="Temporal Forest Carbon EFs"/>
      <sheetName val="GHG Chart Breakout"/>
    </sheetNames>
    <sheetDataSet>
      <sheetData sheetId="0" refreshError="1"/>
      <sheetData sheetId="1" refreshError="1"/>
      <sheetData sheetId="2" refreshError="1"/>
      <sheetData sheetId="3" refreshError="1"/>
      <sheetData sheetId="4" refreshError="1"/>
      <sheetData sheetId="5" refreshError="1"/>
      <sheetData sheetId="6" refreshError="1">
        <row r="24">
          <cell r="E24">
            <v>0.24</v>
          </cell>
          <cell r="F24">
            <v>0.23</v>
          </cell>
          <cell r="G24">
            <v>0.21</v>
          </cell>
        </row>
        <row r="25">
          <cell r="E25">
            <v>0.48</v>
          </cell>
          <cell r="F25">
            <v>0.53</v>
          </cell>
          <cell r="G25">
            <v>0.05</v>
          </cell>
        </row>
        <row r="26">
          <cell r="E26">
            <v>0.2</v>
          </cell>
          <cell r="F26">
            <v>0.14000000000000001</v>
          </cell>
          <cell r="G26">
            <v>0.38</v>
          </cell>
        </row>
        <row r="27">
          <cell r="E27">
            <v>0.08</v>
          </cell>
          <cell r="F27">
            <v>0.1</v>
          </cell>
          <cell r="G27">
            <v>0.36</v>
          </cell>
        </row>
        <row r="92">
          <cell r="I92">
            <v>0.19600630583289544</v>
          </cell>
        </row>
        <row r="97">
          <cell r="D97">
            <v>0.39743589743589741</v>
          </cell>
          <cell r="F97">
            <v>0.35078534031413611</v>
          </cell>
        </row>
        <row r="98">
          <cell r="D98">
            <v>0.60256410256410253</v>
          </cell>
          <cell r="F98">
            <v>0.64921465968586389</v>
          </cell>
        </row>
      </sheetData>
      <sheetData sheetId="7" refreshError="1">
        <row r="6">
          <cell r="B6" t="str">
            <v>Aluminum Cans</v>
          </cell>
          <cell r="X6">
            <v>0</v>
          </cell>
          <cell r="AL6">
            <v>3.4432220545025718E-2</v>
          </cell>
          <cell r="AR6">
            <v>2.0254519141196047E-2</v>
          </cell>
          <cell r="BA6">
            <v>10.987815120812538</v>
          </cell>
          <cell r="BB6">
            <v>0.32199999999999995</v>
          </cell>
          <cell r="BF6">
            <v>4.799452726904927</v>
          </cell>
          <cell r="BJ6">
            <v>1.8604369587069169</v>
          </cell>
        </row>
        <row r="7">
          <cell r="B7" t="str">
            <v>Steel Cans</v>
          </cell>
          <cell r="X7">
            <v>0</v>
          </cell>
          <cell r="AL7">
            <v>-1.5909481529405463</v>
          </cell>
          <cell r="AR7">
            <v>2.0254519141196047E-2</v>
          </cell>
          <cell r="BA7">
            <v>3.6387866232686901</v>
          </cell>
          <cell r="BB7">
            <v>0.67300000000000004</v>
          </cell>
          <cell r="BF7">
            <v>3.0274716623608411</v>
          </cell>
          <cell r="BJ7">
            <v>1.7693219110122715</v>
          </cell>
        </row>
        <row r="8">
          <cell r="B8" t="str">
            <v>Copper Wire</v>
          </cell>
          <cell r="X8">
            <v>0</v>
          </cell>
          <cell r="AL8">
            <v>2.9687293145218514E-2</v>
          </cell>
          <cell r="AR8">
            <v>2.0254519141196047E-2</v>
          </cell>
          <cell r="BA8">
            <v>6.7848841310295533</v>
          </cell>
          <cell r="BB8">
            <v>0.95</v>
          </cell>
          <cell r="BF8">
            <v>6.7219289919592509</v>
          </cell>
          <cell r="BJ8">
            <v>5.5257813496235073</v>
          </cell>
        </row>
        <row r="9">
          <cell r="B9" t="str">
            <v>Glass</v>
          </cell>
          <cell r="X9">
            <v>0</v>
          </cell>
          <cell r="AL9">
            <v>2.684033670533419E-2</v>
          </cell>
          <cell r="AR9">
            <v>2.0254519141196047E-2</v>
          </cell>
          <cell r="BA9">
            <v>0.603361267430084</v>
          </cell>
          <cell r="BB9">
            <v>0.76929999999999998</v>
          </cell>
          <cell r="BF9">
            <v>0.53082087431688396</v>
          </cell>
          <cell r="BJ9">
            <v>0.28892523312926061</v>
          </cell>
        </row>
        <row r="10">
          <cell r="B10" t="str">
            <v>HDPE</v>
          </cell>
          <cell r="X10">
            <v>0</v>
          </cell>
          <cell r="AL10">
            <v>1.2859190946453891</v>
          </cell>
          <cell r="AR10">
            <v>2.0254519141196047E-2</v>
          </cell>
          <cell r="BA10">
            <v>1.5187460809806346</v>
          </cell>
          <cell r="BB10">
            <v>0.9</v>
          </cell>
          <cell r="BF10">
            <v>1.4190392669374181</v>
          </cell>
          <cell r="BJ10">
            <v>0.52167794054846794</v>
          </cell>
        </row>
        <row r="11">
          <cell r="B11" t="str">
            <v>LDPE</v>
          </cell>
          <cell r="X11" t="str">
            <v>NA</v>
          </cell>
          <cell r="AL11">
            <v>1.294118329192256</v>
          </cell>
          <cell r="AR11">
            <v>2.0254519141196047E-2</v>
          </cell>
          <cell r="BA11">
            <v>1.7955085787455409</v>
          </cell>
          <cell r="BB11">
            <v>1</v>
          </cell>
          <cell r="BF11">
            <v>1.7955085787455409</v>
          </cell>
          <cell r="BJ11" t="str">
            <v>NA</v>
          </cell>
        </row>
        <row r="12">
          <cell r="B12" t="str">
            <v>PET</v>
          </cell>
          <cell r="X12">
            <v>0</v>
          </cell>
          <cell r="AL12">
            <v>1.2416663572872335</v>
          </cell>
          <cell r="AR12">
            <v>2.0254519141196047E-2</v>
          </cell>
          <cell r="BA12">
            <v>2.2131778939431932</v>
          </cell>
          <cell r="BB12">
            <v>0.97</v>
          </cell>
          <cell r="BF12">
            <v>2.1745567602908666</v>
          </cell>
          <cell r="BJ12">
            <v>0.92580677219897756</v>
          </cell>
        </row>
        <row r="13">
          <cell r="B13" t="str">
            <v>Corrugated Containers</v>
          </cell>
          <cell r="X13">
            <v>-3.0561257823325922</v>
          </cell>
          <cell r="AL13">
            <v>-0.48903030248074869</v>
          </cell>
          <cell r="AR13">
            <v>0.25564557266301746</v>
          </cell>
          <cell r="BA13">
            <v>0.82678453493189941</v>
          </cell>
          <cell r="BB13">
            <v>0.65100000000000002</v>
          </cell>
          <cell r="BF13">
            <v>0.8494942283527338</v>
          </cell>
          <cell r="BJ13">
            <v>0.89185528971939076</v>
          </cell>
        </row>
        <row r="14">
          <cell r="B14" t="str">
            <v>Magazines/Third-class Mail</v>
          </cell>
          <cell r="X14">
            <v>-3.0561257823325922</v>
          </cell>
          <cell r="AL14">
            <v>-0.3535151759422549</v>
          </cell>
          <cell r="AR14">
            <v>-0.39317065803070644</v>
          </cell>
          <cell r="BA14">
            <v>1.605519112340678</v>
          </cell>
          <cell r="BB14">
            <v>0.95899999999999996</v>
          </cell>
          <cell r="BF14">
            <v>1.6046930891496984</v>
          </cell>
          <cell r="BJ14">
            <v>1.5853722052436168</v>
          </cell>
        </row>
        <row r="15">
          <cell r="B15" t="str">
            <v>Newspaper</v>
          </cell>
          <cell r="X15">
            <v>-2.0161940925110855</v>
          </cell>
          <cell r="AL15">
            <v>-0.55788868890675092</v>
          </cell>
          <cell r="AR15">
            <v>-0.81540920048382137</v>
          </cell>
          <cell r="BA15">
            <v>1.9049704608898894</v>
          </cell>
          <cell r="BB15">
            <v>0.77</v>
          </cell>
          <cell r="BF15">
            <v>1.727193980222697</v>
          </cell>
          <cell r="BJ15">
            <v>1.1320292405977475</v>
          </cell>
        </row>
        <row r="16">
          <cell r="B16" t="str">
            <v>Office Paper</v>
          </cell>
          <cell r="X16">
            <v>-3.0561257823325922</v>
          </cell>
          <cell r="AL16">
            <v>-0.47058202475029826</v>
          </cell>
          <cell r="AR16">
            <v>1.2469312790822151</v>
          </cell>
          <cell r="BA16">
            <v>0.97420499565486507</v>
          </cell>
          <cell r="BB16">
            <v>0.95899999999999996</v>
          </cell>
          <cell r="BF16">
            <v>0.98742318551063091</v>
          </cell>
          <cell r="BJ16">
            <v>1.2965998701857417</v>
          </cell>
        </row>
        <row r="17">
          <cell r="B17" t="str">
            <v>Phonebooks</v>
          </cell>
          <cell r="X17">
            <v>-2.0161940925110855</v>
          </cell>
          <cell r="AL17">
            <v>-0.55788868890675092</v>
          </cell>
          <cell r="AR17">
            <v>-0.81540920048382137</v>
          </cell>
          <cell r="BA17">
            <v>2.3338585504283667</v>
          </cell>
          <cell r="BB17">
            <v>1</v>
          </cell>
          <cell r="BF17">
            <v>2.3338585504283667</v>
          </cell>
          <cell r="BJ17">
            <v>1.4406790024586595</v>
          </cell>
        </row>
        <row r="18">
          <cell r="B18" t="str">
            <v>Textbooks</v>
          </cell>
          <cell r="X18">
            <v>-3.0561257823325922</v>
          </cell>
          <cell r="AL18">
            <v>-0.47058202475029826</v>
          </cell>
          <cell r="AR18">
            <v>1.2469312790822151</v>
          </cell>
          <cell r="BA18">
            <v>2.0652331224675518</v>
          </cell>
          <cell r="BB18">
            <v>0.95899999999999996</v>
          </cell>
          <cell r="BF18">
            <v>2.0622281200594275</v>
          </cell>
          <cell r="BJ18">
            <v>1.9919403808059815</v>
          </cell>
        </row>
        <row r="19">
          <cell r="B19" t="str">
            <v>Dimensional Lumber</v>
          </cell>
          <cell r="X19">
            <v>-2.5339463107566775</v>
          </cell>
          <cell r="AL19">
            <v>-0.58446028234567138</v>
          </cell>
          <cell r="AR19">
            <v>-1.0123098723586159</v>
          </cell>
          <cell r="BA19">
            <v>0.17733937644575259</v>
          </cell>
          <cell r="BB19">
            <v>1</v>
          </cell>
          <cell r="BF19">
            <v>0.17733937644575259</v>
          </cell>
          <cell r="BJ19">
            <v>0.25981729776070001</v>
          </cell>
        </row>
        <row r="20">
          <cell r="B20" t="str">
            <v>Medium-density Fiberboard</v>
          </cell>
          <cell r="X20">
            <v>-2.5339463107566775</v>
          </cell>
          <cell r="AL20">
            <v>-0.58446028234567138</v>
          </cell>
          <cell r="AR20">
            <v>-0.88410783494206047</v>
          </cell>
          <cell r="BA20">
            <v>0.37802115645110884</v>
          </cell>
          <cell r="BB20">
            <v>1</v>
          </cell>
          <cell r="BF20">
            <v>0.37802115645110884</v>
          </cell>
          <cell r="BJ20">
            <v>0.4571695811177755</v>
          </cell>
        </row>
        <row r="21">
          <cell r="B21" t="str">
            <v>Food Waste (inactive)</v>
          </cell>
        </row>
        <row r="22">
          <cell r="B22" t="str">
            <v>Yard Trimmings</v>
          </cell>
          <cell r="X22" t="str">
            <v>NA</v>
          </cell>
          <cell r="AL22">
            <v>-0.16690667116263708</v>
          </cell>
          <cell r="AR22">
            <v>-0.17984923925291457</v>
          </cell>
          <cell r="BA22" t="str">
            <v>NA</v>
          </cell>
          <cell r="BB22" t="str">
            <v>NA</v>
          </cell>
          <cell r="BF22" t="str">
            <v>NA</v>
          </cell>
          <cell r="BJ22" t="str">
            <v>NA</v>
          </cell>
        </row>
        <row r="23">
          <cell r="B23" t="str">
            <v>Grass</v>
          </cell>
          <cell r="X23" t="str">
            <v>NA</v>
          </cell>
          <cell r="AL23">
            <v>-0.16690667116263708</v>
          </cell>
          <cell r="AR23">
            <v>0.12933391952824372</v>
          </cell>
          <cell r="BA23" t="str">
            <v>NA</v>
          </cell>
          <cell r="BB23" t="str">
            <v>NA</v>
          </cell>
          <cell r="BF23" t="str">
            <v>NA</v>
          </cell>
          <cell r="BJ23" t="str">
            <v>NA</v>
          </cell>
        </row>
        <row r="24">
          <cell r="B24" t="str">
            <v>Leaves</v>
          </cell>
          <cell r="X24" t="str">
            <v>NA</v>
          </cell>
          <cell r="AL24">
            <v>-0.16690667116263708</v>
          </cell>
          <cell r="AR24">
            <v>-0.51635174747905843</v>
          </cell>
          <cell r="BA24" t="str">
            <v>NA</v>
          </cell>
          <cell r="BB24" t="str">
            <v>NA</v>
          </cell>
          <cell r="BF24" t="str">
            <v>NA</v>
          </cell>
          <cell r="BJ24" t="str">
            <v>NA</v>
          </cell>
        </row>
        <row r="25">
          <cell r="B25" t="str">
            <v>Branches</v>
          </cell>
          <cell r="X25" t="str">
            <v>NA</v>
          </cell>
          <cell r="AL25">
            <v>-0.16690667116263708</v>
          </cell>
          <cell r="AR25">
            <v>-0.49620384046202448</v>
          </cell>
          <cell r="BA25" t="str">
            <v>NA</v>
          </cell>
          <cell r="BB25" t="str">
            <v>NA</v>
          </cell>
          <cell r="BF25" t="str">
            <v>NA</v>
          </cell>
          <cell r="BJ25" t="str">
            <v>NA</v>
          </cell>
        </row>
        <row r="26">
          <cell r="B26" t="str">
            <v xml:space="preserve">Mixed Paper </v>
          </cell>
        </row>
        <row r="27">
          <cell r="B27" t="str">
            <v>Mixed Paper (general)</v>
          </cell>
          <cell r="X27">
            <v>-3.0561257823325922</v>
          </cell>
          <cell r="AL27">
            <v>-0.49102544955381972</v>
          </cell>
          <cell r="AR27">
            <v>0.14300657537439743</v>
          </cell>
          <cell r="BA27">
            <v>1.1773320154991123</v>
          </cell>
          <cell r="BB27">
            <v>0.76579999999999993</v>
          </cell>
          <cell r="BF27">
            <v>1.1481438690968615</v>
          </cell>
          <cell r="BJ27">
            <v>1.0859273072654045</v>
          </cell>
        </row>
        <row r="28">
          <cell r="B28" t="str">
            <v>Mixed Paper (primarily residential)</v>
          </cell>
          <cell r="X28">
            <v>-3.0561257823325922</v>
          </cell>
          <cell r="AL28">
            <v>-0.48873345982261679</v>
          </cell>
          <cell r="AR28">
            <v>8.0678548127969818E-2</v>
          </cell>
          <cell r="BA28">
            <v>1.1732796201443303</v>
          </cell>
          <cell r="BB28">
            <v>0.75229000000000001</v>
          </cell>
          <cell r="BF28">
            <v>1.1461951113646274</v>
          </cell>
          <cell r="BJ28">
            <v>1.0731112312391247</v>
          </cell>
        </row>
        <row r="29">
          <cell r="B29" t="str">
            <v>Mixed Paper (primarily from offices)</v>
          </cell>
          <cell r="X29">
            <v>-3.0561257823325922</v>
          </cell>
          <cell r="AL29">
            <v>-0.44769477253878021</v>
          </cell>
          <cell r="AR29">
            <v>0.17855834867650122</v>
          </cell>
          <cell r="BA29">
            <v>1.3895678023249647</v>
          </cell>
          <cell r="BB29">
            <v>0.90390999999999999</v>
          </cell>
          <cell r="BF29">
            <v>1.3580957698523342</v>
          </cell>
          <cell r="BJ29">
            <v>1.3457608495697804</v>
          </cell>
        </row>
        <row r="30">
          <cell r="B30" t="str">
            <v>Mixed Metals</v>
          </cell>
          <cell r="X30">
            <v>0</v>
          </cell>
          <cell r="AL30">
            <v>-1.0207885454874923</v>
          </cell>
          <cell r="AR30">
            <v>2.0254519141196047E-2</v>
          </cell>
          <cell r="BA30">
            <v>6.2167180857578943</v>
          </cell>
          <cell r="BB30">
            <v>0.54987434554973824</v>
          </cell>
          <cell r="BF30">
            <v>3.6490566431171434</v>
          </cell>
          <cell r="BJ30">
            <v>1.8012837340255765</v>
          </cell>
        </row>
        <row r="31">
          <cell r="B31" t="str">
            <v>Mixed Plastics</v>
          </cell>
          <cell r="X31">
            <v>0</v>
          </cell>
          <cell r="AL31">
            <v>1.2592539836731671</v>
          </cell>
          <cell r="AR31">
            <v>2.0254519141196047E-2</v>
          </cell>
          <cell r="BA31">
            <v>1.9371857631503815</v>
          </cell>
          <cell r="BB31">
            <v>0.94217948717948707</v>
          </cell>
          <cell r="BF31">
            <v>1.874286987291419</v>
          </cell>
          <cell r="BJ31">
            <v>0.76519146731223653</v>
          </cell>
        </row>
        <row r="32">
          <cell r="B32" t="str">
            <v>Mixed Recyclables</v>
          </cell>
          <cell r="X32">
            <v>-2.5409041057065358</v>
          </cell>
          <cell r="AL32">
            <v>-0.42469288377343056</v>
          </cell>
          <cell r="AR32">
            <v>9.1728955933287337E-2</v>
          </cell>
          <cell r="BA32">
            <v>1.1940706475574814</v>
          </cell>
          <cell r="BB32">
            <v>0.74149792948979287</v>
          </cell>
          <cell r="BF32">
            <v>1.0888618154130114</v>
          </cell>
          <cell r="BJ32">
            <v>0.96558343964230486</v>
          </cell>
        </row>
        <row r="33">
          <cell r="B33" t="str">
            <v>Mixed Organics</v>
          </cell>
          <cell r="X33" t="str">
            <v>NA</v>
          </cell>
          <cell r="AL33">
            <v>-0.14948571960737772</v>
          </cell>
          <cell r="AR33">
            <v>0.21328458051497662</v>
          </cell>
          <cell r="BA33" t="str">
            <v>NA</v>
          </cell>
          <cell r="BB33" t="str">
            <v>NA</v>
          </cell>
          <cell r="BF33" t="str">
            <v>NA</v>
          </cell>
          <cell r="BJ33" t="str">
            <v>NA</v>
          </cell>
        </row>
        <row r="34">
          <cell r="B34" t="str">
            <v>Mixed MSW</v>
          </cell>
          <cell r="X34" t="str">
            <v>NA</v>
          </cell>
          <cell r="AL34">
            <v>9.1542228046413918E-3</v>
          </cell>
          <cell r="AR34">
            <v>0.3572242091230603</v>
          </cell>
          <cell r="BA34" t="str">
            <v>NA</v>
          </cell>
          <cell r="BB34" t="str">
            <v>NA</v>
          </cell>
          <cell r="BF34" t="str">
            <v>NA</v>
          </cell>
          <cell r="BJ34" t="str">
            <v>NA</v>
          </cell>
        </row>
        <row r="35">
          <cell r="B35" t="str">
            <v>Carpet</v>
          </cell>
          <cell r="X35">
            <v>0</v>
          </cell>
          <cell r="AL35">
            <v>1.0980672100751245</v>
          </cell>
          <cell r="AR35">
            <v>2.0254519141196047E-2</v>
          </cell>
          <cell r="BA35">
            <v>3.6831269309259898</v>
          </cell>
          <cell r="BB35">
            <v>1</v>
          </cell>
          <cell r="BF35">
            <v>3.6831269309259898</v>
          </cell>
          <cell r="BJ35" t="str">
            <v>NA</v>
          </cell>
        </row>
        <row r="36">
          <cell r="B36" t="str">
            <v>Personal Computers</v>
          </cell>
          <cell r="X36">
            <v>0</v>
          </cell>
          <cell r="AL36">
            <v>-0.18834997944953541</v>
          </cell>
          <cell r="AR36">
            <v>2.0254519141196047E-2</v>
          </cell>
          <cell r="BA36">
            <v>45.544249903613412</v>
          </cell>
          <cell r="BB36">
            <v>1</v>
          </cell>
          <cell r="BF36">
            <v>45.544249903613412</v>
          </cell>
          <cell r="BJ36" t="str">
            <v>NA</v>
          </cell>
        </row>
        <row r="37">
          <cell r="B37" t="str">
            <v>Clay Bricks</v>
          </cell>
          <cell r="X37" t="str">
            <v>NA</v>
          </cell>
          <cell r="AL37" t="str">
            <v>NA</v>
          </cell>
          <cell r="AR37">
            <v>2.0254519141196047E-2</v>
          </cell>
          <cell r="BA37">
            <v>0.26681148164878588</v>
          </cell>
          <cell r="BB37">
            <v>1</v>
          </cell>
          <cell r="BF37">
            <v>0.26681148164878588</v>
          </cell>
          <cell r="BJ37">
            <v>0</v>
          </cell>
        </row>
        <row r="38">
          <cell r="B38" t="str">
            <v>Clay Bricks</v>
          </cell>
          <cell r="X38">
            <v>0</v>
          </cell>
          <cell r="AL38" t="str">
            <v>NA</v>
          </cell>
          <cell r="AR38">
            <v>2.0254519141196047E-2</v>
          </cell>
          <cell r="BA38">
            <v>1.7059549608282806E-2</v>
          </cell>
          <cell r="BB38" t="str">
            <v>NA</v>
          </cell>
          <cell r="BF38" t="str">
            <v>NA</v>
          </cell>
          <cell r="BJ38">
            <v>9.0679889391837819E-3</v>
          </cell>
        </row>
        <row r="39">
          <cell r="B39" t="str">
            <v>Fly Ash</v>
          </cell>
          <cell r="X39">
            <v>0</v>
          </cell>
          <cell r="AL39" t="str">
            <v>NA</v>
          </cell>
          <cell r="AR39">
            <v>2.0254519141196047E-2</v>
          </cell>
          <cell r="BA39">
            <v>0.87298962099560273</v>
          </cell>
          <cell r="BB39" t="str">
            <v>NA</v>
          </cell>
          <cell r="BF39" t="str">
            <v>NA</v>
          </cell>
          <cell r="BJ39">
            <v>7.7034373349999987E-3</v>
          </cell>
        </row>
        <row r="40">
          <cell r="B40" t="str">
            <v>Tires</v>
          </cell>
          <cell r="X40">
            <v>0</v>
          </cell>
          <cell r="AL40">
            <v>0.49981021699866868</v>
          </cell>
          <cell r="AR40">
            <v>2.0254519141196047E-2</v>
          </cell>
          <cell r="BA40">
            <v>4.4559988339399652</v>
          </cell>
          <cell r="BB40">
            <v>0.96314444444444447</v>
          </cell>
          <cell r="BF40">
            <v>4.2988112330745327</v>
          </cell>
          <cell r="BJ40">
            <v>0.19103528920407811</v>
          </cell>
        </row>
        <row r="41">
          <cell r="B41" t="str">
            <v>Asphalt Concrete</v>
          </cell>
          <cell r="X41" t="str">
            <v>NA</v>
          </cell>
          <cell r="AL41" t="str">
            <v>NA</v>
          </cell>
          <cell r="AR41">
            <v>2.0254519141196047E-2</v>
          </cell>
          <cell r="BA41">
            <v>0.11093650882302269</v>
          </cell>
          <cell r="BB41">
            <v>1</v>
          </cell>
          <cell r="BF41">
            <v>0.11093650882302269</v>
          </cell>
          <cell r="BJ41">
            <v>3.0006677892247084E-2</v>
          </cell>
        </row>
        <row r="42">
          <cell r="B42" t="str">
            <v>Asphalt Shingles</v>
          </cell>
          <cell r="X42" t="str">
            <v>NA</v>
          </cell>
          <cell r="AL42">
            <v>-0.35461659031794068</v>
          </cell>
          <cell r="AR42">
            <v>2.0254519141196047E-2</v>
          </cell>
          <cell r="BA42">
            <v>0.18994168948972495</v>
          </cell>
          <cell r="BB42">
            <v>1</v>
          </cell>
          <cell r="BF42">
            <v>0.18994168948972495</v>
          </cell>
          <cell r="BJ42">
            <v>3.7481897996282279E-2</v>
          </cell>
        </row>
        <row r="43">
          <cell r="B43" t="str">
            <v>Drywall</v>
          </cell>
          <cell r="X43">
            <v>0</v>
          </cell>
          <cell r="AL43" t="str">
            <v>NA</v>
          </cell>
          <cell r="AR43">
            <v>-6.1041329359337294E-2</v>
          </cell>
          <cell r="BA43">
            <v>0.21543021258138986</v>
          </cell>
          <cell r="BB43">
            <v>1</v>
          </cell>
          <cell r="BF43">
            <v>0.21543021258138986</v>
          </cell>
        </row>
        <row r="44">
          <cell r="B44" t="str">
            <v>Fiberglass Insulation</v>
          </cell>
          <cell r="X44" t="str">
            <v>NA</v>
          </cell>
          <cell r="AL44" t="str">
            <v>NA</v>
          </cell>
          <cell r="AR44">
            <v>2.0254519141196047E-2</v>
          </cell>
          <cell r="BA44">
            <v>0.48158787846424844</v>
          </cell>
          <cell r="BB44">
            <v>0.65999999999999992</v>
          </cell>
          <cell r="BF44">
            <v>0.37729663011161302</v>
          </cell>
          <cell r="BJ44">
            <v>0.17484891272120306</v>
          </cell>
        </row>
        <row r="45">
          <cell r="B45" t="str">
            <v>Fiberglass Insulation</v>
          </cell>
          <cell r="X45" t="str">
            <v>NA</v>
          </cell>
          <cell r="AL45">
            <v>-0.30797451115899921</v>
          </cell>
          <cell r="AR45">
            <v>2.0254519141196047E-2</v>
          </cell>
          <cell r="BA45">
            <v>0.58343753572038659</v>
          </cell>
          <cell r="BB45">
            <v>1</v>
          </cell>
          <cell r="BF45">
            <v>0.58343753572038659</v>
          </cell>
        </row>
        <row r="46">
          <cell r="B46" t="str">
            <v>Wood Flooring</v>
          </cell>
          <cell r="X46" t="str">
            <v>NA</v>
          </cell>
          <cell r="AL46">
            <v>-0.74082170725489027</v>
          </cell>
          <cell r="AR46">
            <v>-0.8592610862888036</v>
          </cell>
          <cell r="BA46">
            <v>0.36957354375339491</v>
          </cell>
          <cell r="BB46">
            <v>1</v>
          </cell>
          <cell r="BF46">
            <v>0.36957354375339491</v>
          </cell>
        </row>
        <row r="47">
          <cell r="B47" t="str">
            <v>Aluminum Ingot</v>
          </cell>
          <cell r="X47">
            <v>0</v>
          </cell>
          <cell r="AL47">
            <v>3.4432220545025718E-2</v>
          </cell>
          <cell r="AR47">
            <v>2.0254519141196047E-2</v>
          </cell>
          <cell r="BA47">
            <v>7.4772845674468833</v>
          </cell>
          <cell r="BB47">
            <v>1</v>
          </cell>
          <cell r="BF47">
            <v>7.4772845674468833</v>
          </cell>
          <cell r="BJ47">
            <v>0.27361964962454349</v>
          </cell>
        </row>
        <row r="48">
          <cell r="B48" t="str">
            <v>PLA</v>
          </cell>
          <cell r="X48" t="str">
            <v>NA</v>
          </cell>
          <cell r="AL48">
            <v>-0.62628943002332815</v>
          </cell>
          <cell r="AR48">
            <v>-1.6426151092788039</v>
          </cell>
          <cell r="BA48">
            <v>2.4528916331677815</v>
          </cell>
          <cell r="BB48">
            <v>1</v>
          </cell>
          <cell r="BF48">
            <v>2.4528916331677815</v>
          </cell>
          <cell r="BJ48" t="str">
            <v>NA</v>
          </cell>
        </row>
        <row r="49">
          <cell r="B49" t="str">
            <v>LLDPE</v>
          </cell>
          <cell r="X49" t="str">
            <v>NA</v>
          </cell>
          <cell r="AL49">
            <v>1.2888799293428685</v>
          </cell>
          <cell r="AR49">
            <v>2.0254519141196047E-2</v>
          </cell>
          <cell r="BA49">
            <v>1.575798913594386</v>
          </cell>
          <cell r="BB49">
            <v>1</v>
          </cell>
          <cell r="BF49">
            <v>1.575798913594386</v>
          </cell>
          <cell r="BJ49" t="str">
            <v>NA</v>
          </cell>
        </row>
        <row r="50">
          <cell r="B50" t="str">
            <v>PP</v>
          </cell>
          <cell r="X50" t="str">
            <v>NA</v>
          </cell>
          <cell r="AL50">
            <v>1.2887280916660748</v>
          </cell>
          <cell r="AR50">
            <v>2.0254519141196047E-2</v>
          </cell>
          <cell r="BA50">
            <v>1.5350334342833121</v>
          </cell>
          <cell r="BB50">
            <v>1</v>
          </cell>
          <cell r="BF50">
            <v>1.5350334342833121</v>
          </cell>
          <cell r="BJ50" t="str">
            <v>NA</v>
          </cell>
        </row>
        <row r="51">
          <cell r="B51" t="str">
            <v>PS</v>
          </cell>
          <cell r="X51" t="str">
            <v>NA</v>
          </cell>
          <cell r="AL51">
            <v>1.651553194272934</v>
          </cell>
          <cell r="AR51">
            <v>2.0254519141196047E-2</v>
          </cell>
          <cell r="BA51">
            <v>2.4996318935816175</v>
          </cell>
          <cell r="BB51">
            <v>1</v>
          </cell>
          <cell r="BF51">
            <v>2.4996318935816175</v>
          </cell>
          <cell r="BJ51" t="str">
            <v>NA</v>
          </cell>
        </row>
        <row r="52">
          <cell r="B52" t="str">
            <v>PVC</v>
          </cell>
          <cell r="X52" t="str">
            <v>NA</v>
          </cell>
          <cell r="AL52">
            <v>0.66386324257557927</v>
          </cell>
          <cell r="AR52">
            <v>2.0254519141196047E-2</v>
          </cell>
          <cell r="BA52">
            <v>1.9251482239214053</v>
          </cell>
          <cell r="BB52">
            <v>1</v>
          </cell>
          <cell r="BF52">
            <v>1.9251482239214053</v>
          </cell>
          <cell r="BJ52" t="str">
            <v>NA</v>
          </cell>
        </row>
        <row r="53">
          <cell r="B53" t="str">
            <v>Food Waste</v>
          </cell>
          <cell r="X53" t="str">
            <v>NA</v>
          </cell>
          <cell r="AL53">
            <v>-0.13426157065196354</v>
          </cell>
          <cell r="AR53">
            <v>0.54217984298998112</v>
          </cell>
          <cell r="BA53">
            <v>3.6597480795437827</v>
          </cell>
          <cell r="BB53">
            <v>1</v>
          </cell>
          <cell r="BF53">
            <v>3.6597480795437827</v>
          </cell>
          <cell r="BJ53" t="str">
            <v>NA</v>
          </cell>
        </row>
        <row r="54">
          <cell r="B54" t="str">
            <v>Dairy Products</v>
          </cell>
          <cell r="X54" t="str">
            <v>NA</v>
          </cell>
          <cell r="AL54">
            <v>-0.13426157065196354</v>
          </cell>
          <cell r="AR54">
            <v>0.54217984298998112</v>
          </cell>
          <cell r="BA54">
            <v>1.7517932330248356</v>
          </cell>
          <cell r="BB54">
            <v>1</v>
          </cell>
          <cell r="BF54">
            <v>1.7517932330248354</v>
          </cell>
          <cell r="BJ54" t="str">
            <v>NA</v>
          </cell>
        </row>
        <row r="55">
          <cell r="B55" t="str">
            <v>Grains</v>
          </cell>
          <cell r="X55" t="str">
            <v>NA</v>
          </cell>
          <cell r="AL55">
            <v>-0.13426157065196354</v>
          </cell>
          <cell r="AR55">
            <v>0.54217984298998112</v>
          </cell>
          <cell r="BA55">
            <v>0.62121804200504194</v>
          </cell>
          <cell r="BB55">
            <v>1</v>
          </cell>
          <cell r="BF55">
            <v>0.62121804200504194</v>
          </cell>
          <cell r="BJ55" t="str">
            <v>NA</v>
          </cell>
        </row>
        <row r="56">
          <cell r="B56" t="str">
            <v>Bread</v>
          </cell>
          <cell r="X56" t="str">
            <v>NA</v>
          </cell>
          <cell r="AL56">
            <v>-0.13426157065196354</v>
          </cell>
          <cell r="AR56">
            <v>0.54217984298998112</v>
          </cell>
          <cell r="BA56">
            <v>0.6575061385044213</v>
          </cell>
          <cell r="BB56">
            <v>1</v>
          </cell>
          <cell r="BF56">
            <v>0.6575061385044213</v>
          </cell>
          <cell r="BJ56" t="str">
            <v>NA</v>
          </cell>
        </row>
        <row r="57">
          <cell r="B57" t="str">
            <v>Fruits and Vegetables</v>
          </cell>
          <cell r="X57" t="str">
            <v>NA</v>
          </cell>
          <cell r="AL57">
            <v>-0.13426157065196354</v>
          </cell>
          <cell r="AR57">
            <v>0.54217984298998112</v>
          </cell>
          <cell r="BA57">
            <v>0.44108924773101821</v>
          </cell>
          <cell r="BB57">
            <v>1</v>
          </cell>
          <cell r="BF57">
            <v>0.44108924773101815</v>
          </cell>
          <cell r="BJ57" t="str">
            <v>NA</v>
          </cell>
        </row>
        <row r="58">
          <cell r="B58" t="str">
            <v>Beef</v>
          </cell>
          <cell r="X58" t="str">
            <v>NA</v>
          </cell>
          <cell r="AL58">
            <v>-0.13426157065196354</v>
          </cell>
          <cell r="AR58">
            <v>0.54217984298998112</v>
          </cell>
          <cell r="BA58">
            <v>30.086331335537999</v>
          </cell>
          <cell r="BB58">
            <v>1</v>
          </cell>
          <cell r="BF58">
            <v>30.086331335537999</v>
          </cell>
          <cell r="BJ58" t="str">
            <v>NA</v>
          </cell>
        </row>
        <row r="59">
          <cell r="B59" t="str">
            <v>Poultry</v>
          </cell>
          <cell r="X59" t="str">
            <v>NA</v>
          </cell>
          <cell r="AL59">
            <v>-0.13426157065196354</v>
          </cell>
          <cell r="AR59">
            <v>0.54217984298998112</v>
          </cell>
          <cell r="BA59">
            <v>2.4517925725092473</v>
          </cell>
          <cell r="BB59">
            <v>1</v>
          </cell>
          <cell r="BF59">
            <v>2.4517925725092473</v>
          </cell>
          <cell r="BJ59" t="str">
            <v>NA</v>
          </cell>
        </row>
        <row r="60">
          <cell r="B60" t="str">
            <v>Food Waste (meat only)</v>
          </cell>
          <cell r="X60" t="str">
            <v>NA</v>
          </cell>
          <cell r="AL60">
            <v>-0.13426157065196354</v>
          </cell>
          <cell r="AR60">
            <v>0.54217984298998112</v>
          </cell>
          <cell r="BA60">
            <v>15.102290225561314</v>
          </cell>
          <cell r="BB60">
            <v>1</v>
          </cell>
          <cell r="BF60">
            <v>15.102290225561314</v>
          </cell>
          <cell r="BJ60" t="str">
            <v>NA</v>
          </cell>
        </row>
        <row r="61">
          <cell r="B61" t="str">
            <v>Food Waste (non-meat)</v>
          </cell>
          <cell r="X61" t="str">
            <v>NA</v>
          </cell>
          <cell r="AL61">
            <v>-0.13426157065196354</v>
          </cell>
          <cell r="AR61">
            <v>0.54217984298998112</v>
          </cell>
          <cell r="BA61">
            <v>0.76105208909505317</v>
          </cell>
          <cell r="BB61">
            <v>1</v>
          </cell>
          <cell r="BF61">
            <v>0.76105208909505295</v>
          </cell>
          <cell r="BJ61" t="str">
            <v>NA</v>
          </cell>
        </row>
        <row r="62">
          <cell r="B62" t="str">
            <v>Desktop CPUs</v>
          </cell>
          <cell r="X62">
            <v>0</v>
          </cell>
          <cell r="AL62">
            <v>-0.65895940211468551</v>
          </cell>
          <cell r="AR62">
            <v>2.0254519141196047E-2</v>
          </cell>
          <cell r="BA62">
            <v>20.864196009734808</v>
          </cell>
          <cell r="BB62">
            <v>1</v>
          </cell>
          <cell r="BF62">
            <v>20.864196009734808</v>
          </cell>
          <cell r="BJ62" t="str">
            <v>NA</v>
          </cell>
        </row>
        <row r="63">
          <cell r="B63" t="str">
            <v>Portable Electronic Devices</v>
          </cell>
          <cell r="X63">
            <v>0</v>
          </cell>
          <cell r="AL63">
            <v>0.65415399357374215</v>
          </cell>
          <cell r="AR63">
            <v>2.0254519141196047E-2</v>
          </cell>
          <cell r="BA63">
            <v>29.834297794910995</v>
          </cell>
          <cell r="BB63">
            <v>1</v>
          </cell>
          <cell r="BF63">
            <v>29.834297794910995</v>
          </cell>
          <cell r="BJ63" t="str">
            <v>NA</v>
          </cell>
        </row>
        <row r="64">
          <cell r="B64" t="str">
            <v>Flat-Panel Displays</v>
          </cell>
          <cell r="X64">
            <v>0</v>
          </cell>
          <cell r="AL64">
            <v>2.5310415295543232E-2</v>
          </cell>
          <cell r="AR64">
            <v>2.0254519141196047E-2</v>
          </cell>
          <cell r="BA64">
            <v>24.194600105982435</v>
          </cell>
          <cell r="BB64">
            <v>1</v>
          </cell>
          <cell r="BF64">
            <v>24.194600105982435</v>
          </cell>
          <cell r="BJ64" t="str">
            <v>NA</v>
          </cell>
        </row>
        <row r="65">
          <cell r="B65" t="str">
            <v>CRT Displays</v>
          </cell>
          <cell r="X65">
            <v>0</v>
          </cell>
          <cell r="AL65">
            <v>0.44868287053641115</v>
          </cell>
          <cell r="AR65">
            <v>2.0254519141196047E-2</v>
          </cell>
          <cell r="BA65" t="str">
            <v>NA</v>
          </cell>
          <cell r="BB65" t="str">
            <v>NA</v>
          </cell>
          <cell r="BF65" t="str">
            <v>NA</v>
          </cell>
          <cell r="BJ65" t="str">
            <v>NA</v>
          </cell>
        </row>
        <row r="66">
          <cell r="B66" t="str">
            <v>Electronic Peripherals</v>
          </cell>
          <cell r="X66">
            <v>0</v>
          </cell>
          <cell r="AL66">
            <v>2.0819232398532308</v>
          </cell>
          <cell r="AR66">
            <v>2.0254519141196047E-2</v>
          </cell>
          <cell r="BA66">
            <v>10.316002191792363</v>
          </cell>
          <cell r="BB66">
            <v>1</v>
          </cell>
          <cell r="BF66">
            <v>10.316002191792363</v>
          </cell>
          <cell r="BJ66" t="str">
            <v>NA</v>
          </cell>
        </row>
        <row r="67">
          <cell r="B67" t="str">
            <v>Hard-Copy Devices</v>
          </cell>
          <cell r="X67">
            <v>0</v>
          </cell>
          <cell r="AL67">
            <v>1.198483317076056</v>
          </cell>
          <cell r="AR67">
            <v>2.0254519141196047E-2</v>
          </cell>
          <cell r="BA67">
            <v>7.6461346412299527</v>
          </cell>
          <cell r="BB67">
            <v>1</v>
          </cell>
          <cell r="BF67">
            <v>7.6461346412299527</v>
          </cell>
          <cell r="BJ67" t="str">
            <v>NA</v>
          </cell>
        </row>
        <row r="68">
          <cell r="B68" t="str">
            <v>Mixed Electronics</v>
          </cell>
          <cell r="X68">
            <v>0</v>
          </cell>
          <cell r="AL68">
            <v>0.38688541849235808</v>
          </cell>
          <cell r="AR68">
            <v>2.0254519141196047E-2</v>
          </cell>
          <cell r="BA68" t="str">
            <v>NA</v>
          </cell>
          <cell r="BB68" t="str">
            <v>NA</v>
          </cell>
          <cell r="BF68" t="str">
            <v>NA</v>
          </cell>
          <cell r="BJ68" t="str">
            <v>NA</v>
          </cell>
        </row>
      </sheetData>
      <sheetData sheetId="8" refreshError="1"/>
      <sheetData sheetId="9" refreshError="1"/>
      <sheetData sheetId="10" refreshError="1"/>
      <sheetData sheetId="11" refreshError="1"/>
      <sheetData sheetId="12" refreshError="1">
        <row r="7">
          <cell r="F7">
            <v>0.98</v>
          </cell>
        </row>
        <row r="8">
          <cell r="H8">
            <v>0.87804878048780499</v>
          </cell>
        </row>
        <row r="9">
          <cell r="H9">
            <v>0.85555168183618135</v>
          </cell>
        </row>
        <row r="11">
          <cell r="H11">
            <v>0.89194517303714338</v>
          </cell>
        </row>
        <row r="12">
          <cell r="G12">
            <v>93.45794392523365</v>
          </cell>
          <cell r="H12">
            <v>0.93457943925233655</v>
          </cell>
        </row>
        <row r="13">
          <cell r="G13">
            <v>70.921985815602838</v>
          </cell>
          <cell r="H13">
            <v>0.67375886524822692</v>
          </cell>
        </row>
        <row r="14">
          <cell r="G14">
            <v>94.250706880301607</v>
          </cell>
          <cell r="H14">
            <v>0.89538171536286526</v>
          </cell>
        </row>
        <row r="15">
          <cell r="G15">
            <v>65.573770491803288</v>
          </cell>
          <cell r="H15">
            <v>0.59672131147540997</v>
          </cell>
        </row>
        <row r="16">
          <cell r="G16">
            <v>71.428571428571431</v>
          </cell>
          <cell r="H16">
            <v>0.6785714285714286</v>
          </cell>
        </row>
        <row r="17">
          <cell r="G17">
            <v>69.444444444444443</v>
          </cell>
          <cell r="H17">
            <v>0.6597222222222221</v>
          </cell>
        </row>
        <row r="18">
          <cell r="D18">
            <v>0.90900000000000003</v>
          </cell>
          <cell r="F18">
            <v>0.79992000000000008</v>
          </cell>
        </row>
        <row r="19">
          <cell r="D19">
            <v>0.90900000000000003</v>
          </cell>
          <cell r="F19">
            <v>0.79992000000000008</v>
          </cell>
        </row>
        <row r="69">
          <cell r="F69">
            <v>0.81369863013698618</v>
          </cell>
        </row>
        <row r="80">
          <cell r="F80">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R1:S8"/>
  <sheetViews>
    <sheetView tabSelected="1" zoomScaleNormal="100" zoomScaleSheetLayoutView="75" workbookViewId="0">
      <selection activeCell="R3" sqref="R3"/>
    </sheetView>
  </sheetViews>
  <sheetFormatPr defaultColWidth="9.140625" defaultRowHeight="12.75" x14ac:dyDescent="0.2"/>
  <cols>
    <col min="1" max="17" width="9.140625" style="201"/>
    <col min="18" max="18" width="11.42578125" style="201" customWidth="1"/>
    <col min="19" max="19" width="27.5703125" style="201" customWidth="1"/>
    <col min="20" max="16384" width="9.140625" style="201"/>
  </cols>
  <sheetData>
    <row r="1" spans="18:19" ht="13.5" thickBot="1" x14ac:dyDescent="0.25"/>
    <row r="2" spans="18:19" ht="13.5" thickBot="1" x14ac:dyDescent="0.25">
      <c r="R2" s="246" t="s">
        <v>192</v>
      </c>
      <c r="S2" s="246"/>
    </row>
    <row r="3" spans="18:19" x14ac:dyDescent="0.2">
      <c r="R3" s="199"/>
      <c r="S3" s="193" t="s">
        <v>193</v>
      </c>
    </row>
    <row r="4" spans="18:19" x14ac:dyDescent="0.2">
      <c r="R4" s="194"/>
      <c r="S4" s="195" t="s">
        <v>194</v>
      </c>
    </row>
    <row r="5" spans="18:19" ht="13.5" thickBot="1" x14ac:dyDescent="0.25">
      <c r="R5" s="196" t="s">
        <v>145</v>
      </c>
      <c r="S5" s="195" t="s">
        <v>195</v>
      </c>
    </row>
    <row r="6" spans="18:19" ht="13.5" thickBot="1" x14ac:dyDescent="0.25">
      <c r="R6" s="247" t="s">
        <v>196</v>
      </c>
      <c r="S6" s="248"/>
    </row>
    <row r="7" spans="18:19" x14ac:dyDescent="0.2">
      <c r="R7" s="197"/>
      <c r="S7" s="193" t="s">
        <v>193</v>
      </c>
    </row>
    <row r="8" spans="18:19" ht="13.5" thickBot="1" x14ac:dyDescent="0.25">
      <c r="R8" s="200"/>
      <c r="S8" s="198" t="s">
        <v>197</v>
      </c>
    </row>
  </sheetData>
  <sheetProtection algorithmName="SHA-512" hashValue="xOP0E32gmf3GOxmsUI414ryDEbMrZwsaNisl2xIoPwTKEtdkG334FpVer2k70v6FaYsf0eeYs9VPHvuqVsiQLg==" saltValue="c2LqRm26Z8Xybpwjj9x1+A==" spinCount="100000" sheet="1" objects="1" scenarios="1"/>
  <mergeCells count="2">
    <mergeCell ref="R2:S2"/>
    <mergeCell ref="R6:S6"/>
  </mergeCells>
  <phoneticPr fontId="0" type="noConversion"/>
  <pageMargins left="0.75" right="0.75" top="1" bottom="1" header="0.5" footer="0.5"/>
  <pageSetup scale="6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N86"/>
  <sheetViews>
    <sheetView showGridLines="0" topLeftCell="A2" zoomScale="80" zoomScaleNormal="80" workbookViewId="0">
      <selection activeCell="B10" sqref="B10"/>
    </sheetView>
  </sheetViews>
  <sheetFormatPr defaultRowHeight="12.75" x14ac:dyDescent="0.2"/>
  <cols>
    <col min="1" max="1" width="4.85546875" customWidth="1"/>
    <col min="2" max="2" width="23.5703125" customWidth="1"/>
    <col min="3" max="3" width="33.140625" customWidth="1"/>
    <col min="4" max="4" width="17.7109375" customWidth="1"/>
    <col min="5" max="5" width="17" customWidth="1"/>
    <col min="6" max="6" width="13.85546875" customWidth="1"/>
    <col min="7" max="7" width="13.28515625" customWidth="1"/>
    <col min="8" max="8" width="12.42578125" customWidth="1"/>
    <col min="9" max="9" width="13" customWidth="1"/>
    <col min="10" max="10" width="1.7109375" customWidth="1"/>
  </cols>
  <sheetData>
    <row r="1" spans="1:11" ht="13.5" hidden="1" thickBot="1" x14ac:dyDescent="0.25">
      <c r="B1" s="43"/>
      <c r="C1" s="43"/>
      <c r="D1" s="43"/>
      <c r="E1" s="43"/>
      <c r="F1" s="43"/>
      <c r="G1" s="43"/>
      <c r="H1" s="43"/>
      <c r="I1" s="43"/>
      <c r="J1" s="43"/>
    </row>
    <row r="2" spans="1:11" s="9" customFormat="1" ht="18.75" customHeight="1" x14ac:dyDescent="0.25">
      <c r="A2" s="190"/>
      <c r="B2" s="266" t="s">
        <v>157</v>
      </c>
      <c r="C2" s="267"/>
      <c r="D2" s="267"/>
      <c r="E2" s="267"/>
      <c r="F2" s="267"/>
      <c r="G2" s="267"/>
      <c r="H2" s="267"/>
      <c r="I2" s="268"/>
      <c r="J2" s="269"/>
    </row>
    <row r="3" spans="1:11" ht="35.25" customHeight="1" x14ac:dyDescent="0.2">
      <c r="B3" s="202" t="s">
        <v>294</v>
      </c>
    </row>
    <row r="4" spans="1:11" ht="34.5" customHeight="1" x14ac:dyDescent="0.2">
      <c r="A4" s="3"/>
      <c r="B4" s="251" t="s">
        <v>209</v>
      </c>
      <c r="C4" s="251"/>
      <c r="D4" s="251"/>
      <c r="E4" s="251"/>
      <c r="F4" s="251"/>
      <c r="G4" s="251"/>
      <c r="H4" s="250"/>
      <c r="I4" s="250"/>
    </row>
    <row r="5" spans="1:11" ht="6.75" customHeight="1" x14ac:dyDescent="0.2"/>
    <row r="6" spans="1:11" ht="79.5" customHeight="1" x14ac:dyDescent="0.2">
      <c r="A6" s="10" t="s">
        <v>25</v>
      </c>
      <c r="B6" s="249" t="s">
        <v>210</v>
      </c>
      <c r="C6" s="249"/>
      <c r="D6" s="249"/>
      <c r="E6" s="249"/>
      <c r="F6" s="249"/>
      <c r="G6" s="249"/>
      <c r="H6" s="250"/>
      <c r="I6" s="250"/>
    </row>
    <row r="7" spans="1:11" ht="35.25" customHeight="1" x14ac:dyDescent="0.2">
      <c r="A7" s="10"/>
      <c r="B7" s="224" t="s">
        <v>230</v>
      </c>
      <c r="C7" s="152"/>
      <c r="D7" s="152"/>
      <c r="E7" s="152"/>
      <c r="F7" s="152"/>
      <c r="G7" s="152"/>
      <c r="H7" s="153"/>
      <c r="I7" s="153"/>
    </row>
    <row r="8" spans="1:11" ht="21.75" customHeight="1" thickBot="1" x14ac:dyDescent="0.25"/>
    <row r="9" spans="1:11" ht="41.25" customHeight="1" thickTop="1" thickBot="1" x14ac:dyDescent="0.25">
      <c r="B9" s="18" t="s">
        <v>0</v>
      </c>
      <c r="C9" s="19" t="s">
        <v>152</v>
      </c>
      <c r="D9" s="19" t="s">
        <v>2</v>
      </c>
      <c r="E9" s="19" t="s">
        <v>3</v>
      </c>
      <c r="F9" s="270" t="s">
        <v>154</v>
      </c>
      <c r="G9" s="271"/>
      <c r="H9" s="271"/>
      <c r="I9" s="272"/>
      <c r="J9" s="273"/>
      <c r="K9" s="1"/>
    </row>
    <row r="10" spans="1:11" ht="13.5" thickTop="1" x14ac:dyDescent="0.2">
      <c r="B10" s="155"/>
      <c r="C10" s="16" t="s">
        <v>5</v>
      </c>
      <c r="D10" s="155"/>
      <c r="E10" s="17" t="str">
        <f>IF(D10=0, "-", (D10/2000))</f>
        <v>-</v>
      </c>
      <c r="F10" s="256" t="s">
        <v>26</v>
      </c>
      <c r="G10" s="257"/>
      <c r="H10" s="257"/>
      <c r="I10" s="258"/>
      <c r="J10" s="259"/>
    </row>
    <row r="11" spans="1:11" x14ac:dyDescent="0.2">
      <c r="B11" s="155"/>
      <c r="C11" s="16" t="s">
        <v>186</v>
      </c>
      <c r="D11" s="155"/>
      <c r="E11" s="17" t="str">
        <f>IF(D11=0, "-", (D11/2000))</f>
        <v>-</v>
      </c>
      <c r="F11" s="256" t="s">
        <v>191</v>
      </c>
      <c r="G11" s="257"/>
      <c r="H11" s="257"/>
      <c r="I11" s="258"/>
      <c r="J11" s="259"/>
    </row>
    <row r="12" spans="1:11" x14ac:dyDescent="0.2">
      <c r="B12" s="156"/>
      <c r="C12" s="14" t="s">
        <v>6</v>
      </c>
      <c r="D12" s="155"/>
      <c r="E12" s="15" t="str">
        <f t="shared" ref="E12:E29" si="0">IF(D12=0, "-", (D12/2000))</f>
        <v>-</v>
      </c>
      <c r="F12" s="274" t="s">
        <v>181</v>
      </c>
      <c r="G12" s="275"/>
      <c r="H12" s="275"/>
      <c r="I12" s="254"/>
      <c r="J12" s="255"/>
    </row>
    <row r="13" spans="1:11" x14ac:dyDescent="0.2">
      <c r="B13" s="156"/>
      <c r="C13" s="14" t="s">
        <v>174</v>
      </c>
      <c r="D13" s="155"/>
      <c r="E13" s="15" t="str">
        <f t="shared" si="0"/>
        <v>-</v>
      </c>
      <c r="F13" s="262" t="s">
        <v>178</v>
      </c>
      <c r="G13" s="263"/>
      <c r="H13" s="263"/>
      <c r="I13" s="264"/>
      <c r="J13" s="265"/>
    </row>
    <row r="14" spans="1:11" x14ac:dyDescent="0.2">
      <c r="B14" s="156"/>
      <c r="C14" s="14" t="s">
        <v>7</v>
      </c>
      <c r="D14" s="155"/>
      <c r="E14" s="15" t="str">
        <f t="shared" si="0"/>
        <v>-</v>
      </c>
      <c r="F14" s="252" t="s">
        <v>155</v>
      </c>
      <c r="G14" s="253"/>
      <c r="H14" s="253"/>
      <c r="I14" s="254"/>
      <c r="J14" s="255"/>
    </row>
    <row r="15" spans="1:11" x14ac:dyDescent="0.2">
      <c r="B15" s="156"/>
      <c r="C15" s="14" t="s">
        <v>8</v>
      </c>
      <c r="D15" s="155"/>
      <c r="E15" s="15" t="str">
        <f t="shared" si="0"/>
        <v>-</v>
      </c>
      <c r="F15" s="252" t="s">
        <v>8</v>
      </c>
      <c r="G15" s="253"/>
      <c r="H15" s="253"/>
      <c r="I15" s="254"/>
      <c r="J15" s="255"/>
    </row>
    <row r="16" spans="1:11" x14ac:dyDescent="0.2">
      <c r="B16" s="156"/>
      <c r="C16" s="14" t="s">
        <v>9</v>
      </c>
      <c r="D16" s="155"/>
      <c r="E16" s="15" t="str">
        <f t="shared" si="0"/>
        <v>-</v>
      </c>
      <c r="F16" s="252" t="s">
        <v>9</v>
      </c>
      <c r="G16" s="253"/>
      <c r="H16" s="253"/>
      <c r="I16" s="254"/>
      <c r="J16" s="255"/>
    </row>
    <row r="17" spans="1:10" x14ac:dyDescent="0.2">
      <c r="B17" s="156"/>
      <c r="C17" s="14" t="s">
        <v>10</v>
      </c>
      <c r="D17" s="155"/>
      <c r="E17" s="15" t="str">
        <f t="shared" si="0"/>
        <v>-</v>
      </c>
      <c r="F17" s="252" t="s">
        <v>153</v>
      </c>
      <c r="G17" s="253"/>
      <c r="H17" s="253"/>
      <c r="I17" s="254"/>
      <c r="J17" s="255"/>
    </row>
    <row r="18" spans="1:10" x14ac:dyDescent="0.2">
      <c r="B18" s="156"/>
      <c r="C18" s="14" t="s">
        <v>11</v>
      </c>
      <c r="D18" s="155"/>
      <c r="E18" s="15" t="str">
        <f t="shared" si="0"/>
        <v>-</v>
      </c>
      <c r="F18" s="252" t="s">
        <v>27</v>
      </c>
      <c r="G18" s="253"/>
      <c r="H18" s="253"/>
      <c r="I18" s="254"/>
      <c r="J18" s="255"/>
    </row>
    <row r="19" spans="1:10" x14ac:dyDescent="0.2">
      <c r="B19" s="156"/>
      <c r="C19" s="14" t="s">
        <v>12</v>
      </c>
      <c r="D19" s="155"/>
      <c r="E19" s="15" t="str">
        <f t="shared" si="0"/>
        <v>-</v>
      </c>
      <c r="F19" s="252" t="s">
        <v>12</v>
      </c>
      <c r="G19" s="253"/>
      <c r="H19" s="253"/>
      <c r="I19" s="254"/>
      <c r="J19" s="255"/>
    </row>
    <row r="20" spans="1:10" x14ac:dyDescent="0.2">
      <c r="B20" s="156"/>
      <c r="C20" s="14" t="s">
        <v>13</v>
      </c>
      <c r="D20" s="155"/>
      <c r="E20" s="15" t="str">
        <f t="shared" si="0"/>
        <v>-</v>
      </c>
      <c r="F20" s="252" t="s">
        <v>28</v>
      </c>
      <c r="G20" s="253"/>
      <c r="H20" s="253"/>
      <c r="I20" s="254"/>
      <c r="J20" s="255"/>
    </row>
    <row r="21" spans="1:10" x14ac:dyDescent="0.2">
      <c r="B21" s="156"/>
      <c r="C21" s="14" t="s">
        <v>14</v>
      </c>
      <c r="D21" s="155"/>
      <c r="E21" s="15" t="str">
        <f t="shared" si="0"/>
        <v>-</v>
      </c>
      <c r="F21" s="252" t="s">
        <v>14</v>
      </c>
      <c r="G21" s="253"/>
      <c r="H21" s="253"/>
      <c r="I21" s="254"/>
      <c r="J21" s="255"/>
    </row>
    <row r="22" spans="1:10" x14ac:dyDescent="0.2">
      <c r="B22" s="156"/>
      <c r="C22" s="14" t="s">
        <v>15</v>
      </c>
      <c r="D22" s="155"/>
      <c r="E22" s="15" t="str">
        <f t="shared" si="0"/>
        <v>-</v>
      </c>
      <c r="F22" s="252" t="s">
        <v>15</v>
      </c>
      <c r="G22" s="253"/>
      <c r="H22" s="253"/>
      <c r="I22" s="254"/>
      <c r="J22" s="255"/>
    </row>
    <row r="23" spans="1:10" x14ac:dyDescent="0.2">
      <c r="B23" s="156"/>
      <c r="C23" s="14" t="s">
        <v>16</v>
      </c>
      <c r="D23" s="155"/>
      <c r="E23" s="15" t="str">
        <f t="shared" si="0"/>
        <v>-</v>
      </c>
      <c r="F23" s="252" t="s">
        <v>156</v>
      </c>
      <c r="G23" s="253"/>
      <c r="H23" s="253"/>
      <c r="I23" s="254"/>
      <c r="J23" s="255"/>
    </row>
    <row r="24" spans="1:10" x14ac:dyDescent="0.2">
      <c r="B24" s="156"/>
      <c r="C24" s="14" t="s">
        <v>17</v>
      </c>
      <c r="D24" s="155"/>
      <c r="E24" s="15" t="str">
        <f t="shared" si="0"/>
        <v>-</v>
      </c>
      <c r="F24" s="252" t="s">
        <v>31</v>
      </c>
      <c r="G24" s="253"/>
      <c r="H24" s="253"/>
      <c r="I24" s="254"/>
      <c r="J24" s="255"/>
    </row>
    <row r="25" spans="1:10" x14ac:dyDescent="0.2">
      <c r="B25" s="156"/>
      <c r="C25" s="14" t="s">
        <v>187</v>
      </c>
      <c r="D25" s="155"/>
      <c r="E25" s="15" t="str">
        <f t="shared" si="0"/>
        <v>-</v>
      </c>
      <c r="F25" s="260" t="s">
        <v>216</v>
      </c>
      <c r="G25" s="253"/>
      <c r="H25" s="253"/>
      <c r="I25" s="253"/>
      <c r="J25" s="261"/>
    </row>
    <row r="26" spans="1:10" x14ac:dyDescent="0.2">
      <c r="B26" s="156"/>
      <c r="C26" s="14" t="s">
        <v>189</v>
      </c>
      <c r="D26" s="155"/>
      <c r="E26" s="15" t="str">
        <f t="shared" si="0"/>
        <v>-</v>
      </c>
      <c r="F26" s="260" t="s">
        <v>217</v>
      </c>
      <c r="G26" s="253"/>
      <c r="H26" s="253"/>
      <c r="I26" s="253"/>
      <c r="J26" s="261"/>
    </row>
    <row r="27" spans="1:10" x14ac:dyDescent="0.2">
      <c r="B27" s="156"/>
      <c r="C27" s="14" t="s">
        <v>188</v>
      </c>
      <c r="D27" s="155"/>
      <c r="E27" s="15" t="str">
        <f t="shared" si="0"/>
        <v>-</v>
      </c>
      <c r="F27" s="260" t="s">
        <v>218</v>
      </c>
      <c r="G27" s="253"/>
      <c r="H27" s="253"/>
      <c r="I27" s="253"/>
      <c r="J27" s="261"/>
    </row>
    <row r="28" spans="1:10" x14ac:dyDescent="0.2">
      <c r="B28" s="156"/>
      <c r="C28" s="216" t="s">
        <v>211</v>
      </c>
      <c r="D28" s="155"/>
      <c r="E28" s="15" t="str">
        <f t="shared" si="0"/>
        <v>-</v>
      </c>
      <c r="F28" s="252" t="s">
        <v>30</v>
      </c>
      <c r="G28" s="253"/>
      <c r="H28" s="253"/>
      <c r="I28" s="254"/>
      <c r="J28" s="255"/>
    </row>
    <row r="29" spans="1:10" ht="12.95" customHeight="1" thickBot="1" x14ac:dyDescent="0.25">
      <c r="B29" s="156"/>
      <c r="C29" s="216" t="s">
        <v>212</v>
      </c>
      <c r="D29" s="155"/>
      <c r="E29" s="15" t="str">
        <f t="shared" si="0"/>
        <v>-</v>
      </c>
      <c r="F29" s="252" t="s">
        <v>29</v>
      </c>
      <c r="G29" s="253"/>
      <c r="H29" s="253"/>
      <c r="I29" s="254"/>
      <c r="J29" s="255"/>
    </row>
    <row r="30" spans="1:10" ht="29.25" customHeight="1" thickTop="1" x14ac:dyDescent="0.2">
      <c r="B30" s="276" t="s">
        <v>219</v>
      </c>
      <c r="C30" s="277"/>
      <c r="D30" s="277"/>
      <c r="E30" s="277"/>
      <c r="F30" s="277"/>
      <c r="G30" s="277"/>
      <c r="H30" s="277"/>
      <c r="I30" s="277"/>
    </row>
    <row r="32" spans="1:10" ht="86.25" customHeight="1" x14ac:dyDescent="0.2">
      <c r="A32" s="10" t="s">
        <v>24</v>
      </c>
      <c r="B32" s="249" t="s">
        <v>232</v>
      </c>
      <c r="C32" s="249"/>
      <c r="D32" s="249"/>
      <c r="E32" s="249"/>
      <c r="F32" s="249"/>
      <c r="G32" s="249"/>
      <c r="H32" s="250"/>
      <c r="I32" s="250"/>
    </row>
    <row r="33" spans="2:14" ht="29.25" customHeight="1" thickBot="1" x14ac:dyDescent="0.25"/>
    <row r="34" spans="2:14" ht="52.5" thickTop="1" thickBot="1" x14ac:dyDescent="0.25">
      <c r="B34" s="18" t="s">
        <v>0</v>
      </c>
      <c r="C34" s="19" t="s">
        <v>1</v>
      </c>
      <c r="D34" s="19" t="s">
        <v>227</v>
      </c>
      <c r="E34" s="19" t="s">
        <v>226</v>
      </c>
      <c r="F34" s="21" t="s">
        <v>22</v>
      </c>
      <c r="G34" s="22"/>
      <c r="H34" s="13"/>
      <c r="I34" s="170" t="s">
        <v>225</v>
      </c>
    </row>
    <row r="35" spans="2:14" ht="13.5" thickTop="1" x14ac:dyDescent="0.2">
      <c r="B35" s="20" t="str">
        <f t="shared" ref="B35:B40" si="1">IF(B10=0, "-", (B10))</f>
        <v>-</v>
      </c>
      <c r="C35" s="16" t="s">
        <v>5</v>
      </c>
      <c r="D35" s="221">
        <f>'Data &amp; Calcs Sheet'!H5</f>
        <v>67.800000000000011</v>
      </c>
      <c r="E35" s="157"/>
      <c r="F35" s="158"/>
      <c r="I35" s="219" t="s">
        <v>221</v>
      </c>
      <c r="N35" s="171"/>
    </row>
    <row r="36" spans="2:14" x14ac:dyDescent="0.2">
      <c r="B36" s="20" t="str">
        <f t="shared" si="1"/>
        <v>-</v>
      </c>
      <c r="C36" s="16" t="s">
        <v>186</v>
      </c>
      <c r="D36" s="221">
        <f>'Data &amp; Calcs Sheet'!H6</f>
        <v>0</v>
      </c>
      <c r="E36" s="157"/>
      <c r="F36" s="158"/>
      <c r="I36" s="219" t="s">
        <v>222</v>
      </c>
      <c r="N36" s="171"/>
    </row>
    <row r="37" spans="2:14" x14ac:dyDescent="0.2">
      <c r="B37" s="20" t="str">
        <f t="shared" si="1"/>
        <v>-</v>
      </c>
      <c r="C37" s="14" t="s">
        <v>6</v>
      </c>
      <c r="D37" s="222">
        <f>'Data &amp; Calcs Sheet'!H7</f>
        <v>32.699999999999996</v>
      </c>
      <c r="E37" s="157"/>
      <c r="F37" s="158"/>
      <c r="I37" s="169" t="s">
        <v>166</v>
      </c>
      <c r="N37" s="171"/>
    </row>
    <row r="38" spans="2:14" x14ac:dyDescent="0.2">
      <c r="B38" s="20" t="str">
        <f t="shared" si="1"/>
        <v>-</v>
      </c>
      <c r="C38" s="14" t="s">
        <v>174</v>
      </c>
      <c r="D38" s="222">
        <f>'Data &amp; Calcs Sheet'!H8</f>
        <v>5.0000000000000044</v>
      </c>
      <c r="E38" s="157"/>
      <c r="F38" s="158"/>
      <c r="G38" s="176"/>
      <c r="I38" s="186" t="s">
        <v>169</v>
      </c>
      <c r="N38" s="171"/>
    </row>
    <row r="39" spans="2:14" x14ac:dyDescent="0.2">
      <c r="B39" s="20" t="str">
        <f t="shared" si="1"/>
        <v>-</v>
      </c>
      <c r="C39" s="14" t="s">
        <v>7</v>
      </c>
      <c r="D39" s="222">
        <f>'Data &amp; Calcs Sheet'!H9</f>
        <v>23.07</v>
      </c>
      <c r="E39" s="157"/>
      <c r="F39" s="158"/>
      <c r="I39" s="169" t="s">
        <v>167</v>
      </c>
      <c r="N39" s="171"/>
    </row>
    <row r="40" spans="2:14" x14ac:dyDescent="0.2">
      <c r="B40" s="20" t="str">
        <f t="shared" si="1"/>
        <v>-</v>
      </c>
      <c r="C40" s="14" t="s">
        <v>8</v>
      </c>
      <c r="D40" s="222">
        <f>'Data &amp; Calcs Sheet'!H10</f>
        <v>9.9999999999999982</v>
      </c>
      <c r="E40" s="157"/>
      <c r="F40" s="158"/>
      <c r="I40" s="169" t="s">
        <v>168</v>
      </c>
      <c r="N40" s="171"/>
    </row>
    <row r="41" spans="2:14" x14ac:dyDescent="0.2">
      <c r="B41" s="20" t="str">
        <f t="shared" ref="B41:B46" si="2">IF(B16=0, "-", (B16))</f>
        <v>-</v>
      </c>
      <c r="C41" s="14" t="s">
        <v>9</v>
      </c>
      <c r="D41" s="222">
        <f>'Data &amp; Calcs Sheet'!H11</f>
        <v>3.0000000000000027</v>
      </c>
      <c r="E41" s="157"/>
      <c r="F41" s="158"/>
      <c r="I41" s="169" t="s">
        <v>169</v>
      </c>
      <c r="N41" s="171"/>
    </row>
    <row r="42" spans="2:14" x14ac:dyDescent="0.2">
      <c r="B42" s="20" t="str">
        <f t="shared" si="2"/>
        <v>-</v>
      </c>
      <c r="C42" s="14" t="s">
        <v>10</v>
      </c>
      <c r="D42" s="222">
        <f>'Data &amp; Calcs Sheet'!H12</f>
        <v>34.9</v>
      </c>
      <c r="E42" s="157"/>
      <c r="F42" s="158"/>
      <c r="I42" s="169" t="s">
        <v>170</v>
      </c>
      <c r="N42" s="171"/>
    </row>
    <row r="43" spans="2:14" x14ac:dyDescent="0.2">
      <c r="B43" s="20" t="str">
        <f t="shared" si="2"/>
        <v>-</v>
      </c>
      <c r="C43" s="14" t="s">
        <v>11</v>
      </c>
      <c r="D43" s="222">
        <f>'Data &amp; Calcs Sheet'!H13</f>
        <v>4.1000000000000032</v>
      </c>
      <c r="E43" s="157"/>
      <c r="F43" s="158"/>
      <c r="I43" s="169" t="s">
        <v>171</v>
      </c>
      <c r="N43" s="171"/>
    </row>
    <row r="44" spans="2:14" x14ac:dyDescent="0.2">
      <c r="B44" s="20" t="str">
        <f t="shared" si="2"/>
        <v>-</v>
      </c>
      <c r="C44" s="14" t="s">
        <v>12</v>
      </c>
      <c r="D44" s="222">
        <f>'Data &amp; Calcs Sheet'!H14</f>
        <v>23</v>
      </c>
      <c r="E44" s="157"/>
      <c r="F44" s="158"/>
      <c r="I44" s="169" t="s">
        <v>172</v>
      </c>
      <c r="N44" s="171"/>
    </row>
    <row r="45" spans="2:14" x14ac:dyDescent="0.2">
      <c r="B45" s="20" t="str">
        <f t="shared" si="2"/>
        <v>-</v>
      </c>
      <c r="C45" s="14" t="s">
        <v>13</v>
      </c>
      <c r="D45" s="222">
        <f>'Data &amp; Calcs Sheet'!H15</f>
        <v>4.1000000000000032</v>
      </c>
      <c r="E45" s="157"/>
      <c r="F45" s="158"/>
      <c r="I45" s="169" t="s">
        <v>173</v>
      </c>
      <c r="N45" s="171"/>
    </row>
    <row r="46" spans="2:14" x14ac:dyDescent="0.2">
      <c r="B46" s="20" t="str">
        <f t="shared" si="2"/>
        <v>-</v>
      </c>
      <c r="C46" s="14" t="s">
        <v>14</v>
      </c>
      <c r="D46" s="222">
        <f>'Data &amp; Calcs Sheet'!H16</f>
        <v>0</v>
      </c>
      <c r="E46" s="157"/>
      <c r="F46" s="158"/>
      <c r="I46" s="169" t="s">
        <v>169</v>
      </c>
      <c r="N46" s="171"/>
    </row>
    <row r="47" spans="2:14" x14ac:dyDescent="0.2">
      <c r="B47" s="20" t="str">
        <f t="shared" ref="B47:B54" si="3">IF(B22=0, "-", (B22))</f>
        <v>-</v>
      </c>
      <c r="C47" s="14" t="s">
        <v>15</v>
      </c>
      <c r="D47" s="222">
        <f>'Data &amp; Calcs Sheet'!H17</f>
        <v>4.1000000000000032</v>
      </c>
      <c r="E47" s="157"/>
      <c r="F47" s="158"/>
      <c r="I47" s="169" t="s">
        <v>168</v>
      </c>
      <c r="N47" s="171"/>
    </row>
    <row r="48" spans="2:14" x14ac:dyDescent="0.2">
      <c r="B48" s="20" t="str">
        <f t="shared" si="3"/>
        <v>-</v>
      </c>
      <c r="C48" s="14" t="s">
        <v>16</v>
      </c>
      <c r="D48" s="222">
        <f>'Data &amp; Calcs Sheet'!H18</f>
        <v>0</v>
      </c>
      <c r="E48" s="157"/>
      <c r="F48" s="158"/>
      <c r="I48" s="169" t="s">
        <v>145</v>
      </c>
      <c r="N48" s="171"/>
    </row>
    <row r="49" spans="1:14" x14ac:dyDescent="0.2">
      <c r="B49" s="20" t="str">
        <f t="shared" si="3"/>
        <v>-</v>
      </c>
      <c r="C49" s="14" t="s">
        <v>17</v>
      </c>
      <c r="D49" s="222">
        <f>'Data &amp; Calcs Sheet'!H19</f>
        <v>0</v>
      </c>
      <c r="E49" s="157"/>
      <c r="F49" s="158"/>
      <c r="I49" s="169" t="s">
        <v>145</v>
      </c>
      <c r="N49" s="171"/>
    </row>
    <row r="50" spans="1:14" x14ac:dyDescent="0.2">
      <c r="B50" s="20" t="str">
        <f t="shared" si="3"/>
        <v>-</v>
      </c>
      <c r="C50" s="14" t="s">
        <v>187</v>
      </c>
      <c r="D50" s="222">
        <f>'Data &amp; Calcs Sheet'!H20</f>
        <v>23.420000000000009</v>
      </c>
      <c r="E50" s="245"/>
      <c r="F50" s="158"/>
      <c r="I50" s="219" t="s">
        <v>223</v>
      </c>
      <c r="N50" s="171"/>
    </row>
    <row r="51" spans="1:14" x14ac:dyDescent="0.2">
      <c r="B51" s="20" t="str">
        <f t="shared" si="3"/>
        <v>-</v>
      </c>
      <c r="C51" s="14" t="s">
        <v>189</v>
      </c>
      <c r="D51" s="222">
        <f>'Data &amp; Calcs Sheet'!H21</f>
        <v>24.770999999999997</v>
      </c>
      <c r="E51" s="157"/>
      <c r="F51" s="158"/>
      <c r="I51" s="219" t="s">
        <v>223</v>
      </c>
      <c r="N51" s="171"/>
    </row>
    <row r="52" spans="1:14" x14ac:dyDescent="0.2">
      <c r="B52" s="20" t="str">
        <f t="shared" si="3"/>
        <v>-</v>
      </c>
      <c r="C52" s="14" t="s">
        <v>188</v>
      </c>
      <c r="D52" s="222">
        <f>'Data &amp; Calcs Sheet'!H22</f>
        <v>9.6090000000000018</v>
      </c>
      <c r="E52" s="157"/>
      <c r="F52" s="158"/>
      <c r="I52" s="219" t="s">
        <v>223</v>
      </c>
      <c r="N52" s="171"/>
    </row>
    <row r="53" spans="1:14" x14ac:dyDescent="0.2">
      <c r="B53" s="20" t="str">
        <f t="shared" si="3"/>
        <v>-</v>
      </c>
      <c r="C53" s="14" t="s">
        <v>211</v>
      </c>
      <c r="D53" s="222">
        <f>'Data &amp; Calcs Sheet'!H23</f>
        <v>45.012565445026176</v>
      </c>
      <c r="E53" s="157"/>
      <c r="F53" s="158"/>
      <c r="I53" s="219" t="s">
        <v>222</v>
      </c>
      <c r="N53" s="171"/>
    </row>
    <row r="54" spans="1:14" ht="13.5" thickBot="1" x14ac:dyDescent="0.25">
      <c r="B54" s="213" t="str">
        <f t="shared" si="3"/>
        <v>-</v>
      </c>
      <c r="C54" s="217" t="s">
        <v>212</v>
      </c>
      <c r="D54" s="223">
        <f>'Data &amp; Calcs Sheet'!H24</f>
        <v>5.7820512820512926</v>
      </c>
      <c r="E54" s="243"/>
      <c r="F54" s="244"/>
      <c r="I54" s="220" t="s">
        <v>168</v>
      </c>
      <c r="N54" s="171"/>
    </row>
    <row r="55" spans="1:14" ht="13.5" thickTop="1" x14ac:dyDescent="0.2">
      <c r="B55" s="12" t="s">
        <v>34</v>
      </c>
      <c r="C55" s="33"/>
      <c r="D55" s="34"/>
      <c r="E55" s="34"/>
    </row>
    <row r="56" spans="1:14" x14ac:dyDescent="0.2">
      <c r="B56" s="12" t="s">
        <v>104</v>
      </c>
      <c r="C56" s="33"/>
      <c r="D56" s="34"/>
      <c r="E56" s="34"/>
    </row>
    <row r="57" spans="1:14" x14ac:dyDescent="0.2">
      <c r="B57" s="12" t="s">
        <v>231</v>
      </c>
    </row>
    <row r="58" spans="1:14" x14ac:dyDescent="0.2">
      <c r="B58" s="35" t="s">
        <v>141</v>
      </c>
    </row>
    <row r="60" spans="1:14" ht="54" customHeight="1" x14ac:dyDescent="0.2">
      <c r="A60" s="10"/>
      <c r="B60" s="224" t="s">
        <v>228</v>
      </c>
      <c r="C60" s="224" t="s">
        <v>229</v>
      </c>
    </row>
    <row r="62" spans="1:14" ht="16.5" customHeight="1" x14ac:dyDescent="0.2"/>
    <row r="66" spans="3:6" ht="51" hidden="1" x14ac:dyDescent="0.2">
      <c r="C66" s="188" t="s">
        <v>164</v>
      </c>
      <c r="D66" s="189" t="s">
        <v>220</v>
      </c>
      <c r="E66" s="143" t="s">
        <v>224</v>
      </c>
      <c r="F66" s="143"/>
    </row>
    <row r="67" spans="3:6" hidden="1" x14ac:dyDescent="0.2">
      <c r="C67" s="14" t="s">
        <v>5</v>
      </c>
      <c r="D67" s="14" t="b">
        <v>0</v>
      </c>
      <c r="E67" s="218">
        <f>IF(D67,D35,E35)</f>
        <v>0</v>
      </c>
      <c r="F67" s="14"/>
    </row>
    <row r="68" spans="3:6" hidden="1" x14ac:dyDescent="0.2">
      <c r="C68" s="216" t="s">
        <v>186</v>
      </c>
      <c r="D68" s="14" t="b">
        <v>0</v>
      </c>
      <c r="E68" s="218">
        <f t="shared" ref="E68:E86" si="4">IF(D68,D36,E36)</f>
        <v>0</v>
      </c>
      <c r="F68" s="14"/>
    </row>
    <row r="69" spans="3:6" hidden="1" x14ac:dyDescent="0.2">
      <c r="C69" s="14" t="s">
        <v>6</v>
      </c>
      <c r="D69" s="14" t="b">
        <v>0</v>
      </c>
      <c r="E69" s="218">
        <f t="shared" si="4"/>
        <v>0</v>
      </c>
      <c r="F69" s="14"/>
    </row>
    <row r="70" spans="3:6" hidden="1" x14ac:dyDescent="0.2">
      <c r="C70" s="14" t="s">
        <v>174</v>
      </c>
      <c r="D70" s="14" t="b">
        <v>0</v>
      </c>
      <c r="E70" s="218">
        <f t="shared" si="4"/>
        <v>0</v>
      </c>
      <c r="F70" s="14"/>
    </row>
    <row r="71" spans="3:6" hidden="1" x14ac:dyDescent="0.2">
      <c r="C71" s="14" t="s">
        <v>7</v>
      </c>
      <c r="D71" s="14" t="b">
        <v>0</v>
      </c>
      <c r="E71" s="218">
        <f t="shared" si="4"/>
        <v>0</v>
      </c>
      <c r="F71" s="14"/>
    </row>
    <row r="72" spans="3:6" hidden="1" x14ac:dyDescent="0.2">
      <c r="C72" s="14" t="s">
        <v>8</v>
      </c>
      <c r="D72" s="14" t="b">
        <v>0</v>
      </c>
      <c r="E72" s="218">
        <f t="shared" si="4"/>
        <v>0</v>
      </c>
      <c r="F72" s="14"/>
    </row>
    <row r="73" spans="3:6" hidden="1" x14ac:dyDescent="0.2">
      <c r="C73" s="14" t="s">
        <v>9</v>
      </c>
      <c r="D73" s="14" t="b">
        <v>0</v>
      </c>
      <c r="E73" s="218">
        <f t="shared" si="4"/>
        <v>0</v>
      </c>
      <c r="F73" s="14"/>
    </row>
    <row r="74" spans="3:6" hidden="1" x14ac:dyDescent="0.2">
      <c r="C74" s="14" t="s">
        <v>10</v>
      </c>
      <c r="D74" s="14" t="b">
        <v>0</v>
      </c>
      <c r="E74" s="218">
        <f t="shared" si="4"/>
        <v>0</v>
      </c>
      <c r="F74" s="14"/>
    </row>
    <row r="75" spans="3:6" hidden="1" x14ac:dyDescent="0.2">
      <c r="C75" s="14" t="s">
        <v>11</v>
      </c>
      <c r="D75" s="14" t="b">
        <v>0</v>
      </c>
      <c r="E75" s="218">
        <f t="shared" si="4"/>
        <v>0</v>
      </c>
      <c r="F75" s="14"/>
    </row>
    <row r="76" spans="3:6" hidden="1" x14ac:dyDescent="0.2">
      <c r="C76" s="14" t="s">
        <v>12</v>
      </c>
      <c r="D76" s="14" t="b">
        <v>0</v>
      </c>
      <c r="E76" s="218">
        <f t="shared" si="4"/>
        <v>0</v>
      </c>
      <c r="F76" s="14"/>
    </row>
    <row r="77" spans="3:6" hidden="1" x14ac:dyDescent="0.2">
      <c r="C77" s="14" t="s">
        <v>13</v>
      </c>
      <c r="D77" s="14" t="b">
        <v>0</v>
      </c>
      <c r="E77" s="218">
        <f t="shared" si="4"/>
        <v>0</v>
      </c>
      <c r="F77" s="14"/>
    </row>
    <row r="78" spans="3:6" hidden="1" x14ac:dyDescent="0.2">
      <c r="C78" s="14" t="s">
        <v>14</v>
      </c>
      <c r="D78" s="14" t="b">
        <v>0</v>
      </c>
      <c r="E78" s="218">
        <f t="shared" si="4"/>
        <v>0</v>
      </c>
      <c r="F78" s="14"/>
    </row>
    <row r="79" spans="3:6" hidden="1" x14ac:dyDescent="0.2">
      <c r="C79" s="14" t="s">
        <v>15</v>
      </c>
      <c r="D79" s="14" t="b">
        <v>0</v>
      </c>
      <c r="E79" s="218">
        <f t="shared" si="4"/>
        <v>0</v>
      </c>
      <c r="F79" s="14"/>
    </row>
    <row r="80" spans="3:6" hidden="1" x14ac:dyDescent="0.2">
      <c r="C80" s="14" t="s">
        <v>16</v>
      </c>
      <c r="D80" s="14" t="b">
        <v>0</v>
      </c>
      <c r="E80" s="218">
        <f t="shared" si="4"/>
        <v>0</v>
      </c>
      <c r="F80" s="14"/>
    </row>
    <row r="81" spans="1:6" hidden="1" x14ac:dyDescent="0.2">
      <c r="C81" s="14" t="s">
        <v>17</v>
      </c>
      <c r="D81" s="14" t="b">
        <v>0</v>
      </c>
      <c r="E81" s="218">
        <f t="shared" si="4"/>
        <v>0</v>
      </c>
      <c r="F81" s="14"/>
    </row>
    <row r="82" spans="1:6" hidden="1" x14ac:dyDescent="0.2">
      <c r="C82" s="14" t="s">
        <v>187</v>
      </c>
      <c r="D82" s="14" t="b">
        <v>0</v>
      </c>
      <c r="E82" s="218">
        <f t="shared" si="4"/>
        <v>0</v>
      </c>
      <c r="F82" s="14"/>
    </row>
    <row r="83" spans="1:6" hidden="1" x14ac:dyDescent="0.2">
      <c r="C83" s="14" t="s">
        <v>189</v>
      </c>
      <c r="D83" s="14" t="b">
        <v>0</v>
      </c>
      <c r="E83" s="218">
        <f t="shared" si="4"/>
        <v>0</v>
      </c>
      <c r="F83" s="14"/>
    </row>
    <row r="84" spans="1:6" hidden="1" x14ac:dyDescent="0.2">
      <c r="C84" s="14" t="s">
        <v>188</v>
      </c>
      <c r="D84" s="14" t="b">
        <v>0</v>
      </c>
      <c r="E84" s="218">
        <f t="shared" si="4"/>
        <v>0</v>
      </c>
      <c r="F84" s="14"/>
    </row>
    <row r="85" spans="1:6" hidden="1" x14ac:dyDescent="0.2">
      <c r="A85" s="6"/>
      <c r="C85" s="216" t="s">
        <v>211</v>
      </c>
      <c r="D85" s="14" t="b">
        <v>0</v>
      </c>
      <c r="E85" s="218">
        <f t="shared" si="4"/>
        <v>0</v>
      </c>
      <c r="F85" s="14"/>
    </row>
    <row r="86" spans="1:6" hidden="1" x14ac:dyDescent="0.2">
      <c r="A86" s="6"/>
      <c r="C86" s="216" t="s">
        <v>212</v>
      </c>
      <c r="D86" s="14" t="b">
        <v>0</v>
      </c>
      <c r="E86" s="218">
        <f t="shared" si="4"/>
        <v>0</v>
      </c>
      <c r="F86" s="14"/>
    </row>
  </sheetData>
  <sheetProtection algorithmName="SHA-512" hashValue="+hEaKaox8ZcYjqPSRaBdyo0Q+Llcib28AxGcCFqEA3WnZTew/LiUozbkRP96d1DxeFbPFeMKyg5yMO2vNtA1lw==" saltValue="Ir4W1OVxXX1MdEc9ozNUdQ==" spinCount="100000" sheet="1" objects="1" scenarios="1"/>
  <mergeCells count="26">
    <mergeCell ref="B30:I30"/>
    <mergeCell ref="F21:J21"/>
    <mergeCell ref="F17:J17"/>
    <mergeCell ref="F18:J18"/>
    <mergeCell ref="F22:J22"/>
    <mergeCell ref="B2:J2"/>
    <mergeCell ref="F9:J9"/>
    <mergeCell ref="F10:J10"/>
    <mergeCell ref="F12:J12"/>
    <mergeCell ref="B6:I6"/>
    <mergeCell ref="B32:I32"/>
    <mergeCell ref="B4:I4"/>
    <mergeCell ref="F23:J23"/>
    <mergeCell ref="F24:J24"/>
    <mergeCell ref="F28:J28"/>
    <mergeCell ref="F29:J29"/>
    <mergeCell ref="F19:J19"/>
    <mergeCell ref="F20:J20"/>
    <mergeCell ref="F14:J14"/>
    <mergeCell ref="F15:J15"/>
    <mergeCell ref="F11:J11"/>
    <mergeCell ref="F25:J25"/>
    <mergeCell ref="F26:J26"/>
    <mergeCell ref="F27:J27"/>
    <mergeCell ref="F16:J16"/>
    <mergeCell ref="F13:J13"/>
  </mergeCells>
  <phoneticPr fontId="0" type="noConversion"/>
  <hyperlinks>
    <hyperlink ref="B7" location="'Unit Converter'!A1" display="Click here to proceed to the Unit Converter Sheet" xr:uid="{00000000-0004-0000-0100-000000000000}"/>
    <hyperlink ref="B60" location="'GHG Output Sheet'!A1" display="Click here to proceed to the GHG Output Sheet" xr:uid="{00000000-0004-0000-0100-000001000000}"/>
    <hyperlink ref="C60" location="'Energy Output Sheet'!A1" display="Click here to proceed to the Energy Output Sheet" xr:uid="{00000000-0004-0000-0100-000002000000}"/>
  </hyperlinks>
  <pageMargins left="0.75" right="0.75" top="1" bottom="1" header="0.5" footer="0.5"/>
  <pageSetup scale="95" fitToHeight="0" orientation="landscape" r:id="rId1"/>
  <headerFooter alignWithMargins="0"/>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9525</xdr:colOff>
                    <xdr:row>34</xdr:row>
                    <xdr:rowOff>0</xdr:rowOff>
                  </from>
                  <to>
                    <xdr:col>3</xdr:col>
                    <xdr:colOff>266700</xdr:colOff>
                    <xdr:row>35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9525</xdr:colOff>
                    <xdr:row>35</xdr:row>
                    <xdr:rowOff>0</xdr:rowOff>
                  </from>
                  <to>
                    <xdr:col>3</xdr:col>
                    <xdr:colOff>266700</xdr:colOff>
                    <xdr:row>36</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9525</xdr:colOff>
                    <xdr:row>37</xdr:row>
                    <xdr:rowOff>0</xdr:rowOff>
                  </from>
                  <to>
                    <xdr:col>3</xdr:col>
                    <xdr:colOff>266700</xdr:colOff>
                    <xdr:row>38</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9525</xdr:colOff>
                    <xdr:row>36</xdr:row>
                    <xdr:rowOff>0</xdr:rowOff>
                  </from>
                  <to>
                    <xdr:col>3</xdr:col>
                    <xdr:colOff>266700</xdr:colOff>
                    <xdr:row>37</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9525</xdr:colOff>
                    <xdr:row>38</xdr:row>
                    <xdr:rowOff>0</xdr:rowOff>
                  </from>
                  <to>
                    <xdr:col>3</xdr:col>
                    <xdr:colOff>266700</xdr:colOff>
                    <xdr:row>39</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9525</xdr:colOff>
                    <xdr:row>39</xdr:row>
                    <xdr:rowOff>0</xdr:rowOff>
                  </from>
                  <to>
                    <xdr:col>3</xdr:col>
                    <xdr:colOff>266700</xdr:colOff>
                    <xdr:row>40</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9525</xdr:colOff>
                    <xdr:row>40</xdr:row>
                    <xdr:rowOff>0</xdr:rowOff>
                  </from>
                  <to>
                    <xdr:col>3</xdr:col>
                    <xdr:colOff>266700</xdr:colOff>
                    <xdr:row>41</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9525</xdr:colOff>
                    <xdr:row>41</xdr:row>
                    <xdr:rowOff>0</xdr:rowOff>
                  </from>
                  <to>
                    <xdr:col>3</xdr:col>
                    <xdr:colOff>266700</xdr:colOff>
                    <xdr:row>42</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9525</xdr:colOff>
                    <xdr:row>42</xdr:row>
                    <xdr:rowOff>0</xdr:rowOff>
                  </from>
                  <to>
                    <xdr:col>3</xdr:col>
                    <xdr:colOff>266700</xdr:colOff>
                    <xdr:row>43</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9525</xdr:colOff>
                    <xdr:row>43</xdr:row>
                    <xdr:rowOff>0</xdr:rowOff>
                  </from>
                  <to>
                    <xdr:col>3</xdr:col>
                    <xdr:colOff>266700</xdr:colOff>
                    <xdr:row>44</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9525</xdr:colOff>
                    <xdr:row>44</xdr:row>
                    <xdr:rowOff>0</xdr:rowOff>
                  </from>
                  <to>
                    <xdr:col>3</xdr:col>
                    <xdr:colOff>266700</xdr:colOff>
                    <xdr:row>45</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9525</xdr:colOff>
                    <xdr:row>45</xdr:row>
                    <xdr:rowOff>0</xdr:rowOff>
                  </from>
                  <to>
                    <xdr:col>3</xdr:col>
                    <xdr:colOff>266700</xdr:colOff>
                    <xdr:row>46</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9525</xdr:colOff>
                    <xdr:row>46</xdr:row>
                    <xdr:rowOff>0</xdr:rowOff>
                  </from>
                  <to>
                    <xdr:col>3</xdr:col>
                    <xdr:colOff>266700</xdr:colOff>
                    <xdr:row>47</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xdr:col>
                    <xdr:colOff>9525</xdr:colOff>
                    <xdr:row>47</xdr:row>
                    <xdr:rowOff>0</xdr:rowOff>
                  </from>
                  <to>
                    <xdr:col>3</xdr:col>
                    <xdr:colOff>266700</xdr:colOff>
                    <xdr:row>48</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9525</xdr:colOff>
                    <xdr:row>48</xdr:row>
                    <xdr:rowOff>0</xdr:rowOff>
                  </from>
                  <to>
                    <xdr:col>3</xdr:col>
                    <xdr:colOff>266700</xdr:colOff>
                    <xdr:row>49</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9525</xdr:colOff>
                    <xdr:row>49</xdr:row>
                    <xdr:rowOff>0</xdr:rowOff>
                  </from>
                  <to>
                    <xdr:col>3</xdr:col>
                    <xdr:colOff>266700</xdr:colOff>
                    <xdr:row>50</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9525</xdr:colOff>
                    <xdr:row>50</xdr:row>
                    <xdr:rowOff>0</xdr:rowOff>
                  </from>
                  <to>
                    <xdr:col>3</xdr:col>
                    <xdr:colOff>266700</xdr:colOff>
                    <xdr:row>51</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9525</xdr:colOff>
                    <xdr:row>51</xdr:row>
                    <xdr:rowOff>0</xdr:rowOff>
                  </from>
                  <to>
                    <xdr:col>3</xdr:col>
                    <xdr:colOff>266700</xdr:colOff>
                    <xdr:row>52</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9525</xdr:colOff>
                    <xdr:row>52</xdr:row>
                    <xdr:rowOff>0</xdr:rowOff>
                  </from>
                  <to>
                    <xdr:col>3</xdr:col>
                    <xdr:colOff>266700</xdr:colOff>
                    <xdr:row>53</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9525</xdr:colOff>
                    <xdr:row>53</xdr:row>
                    <xdr:rowOff>0</xdr:rowOff>
                  </from>
                  <to>
                    <xdr:col>3</xdr:col>
                    <xdr:colOff>266700</xdr:colOff>
                    <xdr:row>54</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9525</xdr:colOff>
                    <xdr:row>35</xdr:row>
                    <xdr:rowOff>0</xdr:rowOff>
                  </from>
                  <to>
                    <xdr:col>3</xdr:col>
                    <xdr:colOff>266700</xdr:colOff>
                    <xdr:row>36</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xdr:col>
                    <xdr:colOff>9525</xdr:colOff>
                    <xdr:row>36</xdr:row>
                    <xdr:rowOff>0</xdr:rowOff>
                  </from>
                  <to>
                    <xdr:col>3</xdr:col>
                    <xdr:colOff>266700</xdr:colOff>
                    <xdr:row>37</xdr:row>
                    <xdr:rowOff>9525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9525</xdr:colOff>
                    <xdr:row>37</xdr:row>
                    <xdr:rowOff>0</xdr:rowOff>
                  </from>
                  <to>
                    <xdr:col>3</xdr:col>
                    <xdr:colOff>266700</xdr:colOff>
                    <xdr:row>38</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9525</xdr:colOff>
                    <xdr:row>38</xdr:row>
                    <xdr:rowOff>0</xdr:rowOff>
                  </from>
                  <to>
                    <xdr:col>3</xdr:col>
                    <xdr:colOff>266700</xdr:colOff>
                    <xdr:row>39</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9525</xdr:colOff>
                    <xdr:row>39</xdr:row>
                    <xdr:rowOff>0</xdr:rowOff>
                  </from>
                  <to>
                    <xdr:col>3</xdr:col>
                    <xdr:colOff>266700</xdr:colOff>
                    <xdr:row>40</xdr:row>
                    <xdr:rowOff>9525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3</xdr:col>
                    <xdr:colOff>9525</xdr:colOff>
                    <xdr:row>40</xdr:row>
                    <xdr:rowOff>0</xdr:rowOff>
                  </from>
                  <to>
                    <xdr:col>3</xdr:col>
                    <xdr:colOff>266700</xdr:colOff>
                    <xdr:row>41</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xdr:col>
                    <xdr:colOff>9525</xdr:colOff>
                    <xdr:row>41</xdr:row>
                    <xdr:rowOff>0</xdr:rowOff>
                  </from>
                  <to>
                    <xdr:col>3</xdr:col>
                    <xdr:colOff>266700</xdr:colOff>
                    <xdr:row>42</xdr:row>
                    <xdr:rowOff>9525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xdr:col>
                    <xdr:colOff>9525</xdr:colOff>
                    <xdr:row>42</xdr:row>
                    <xdr:rowOff>0</xdr:rowOff>
                  </from>
                  <to>
                    <xdr:col>3</xdr:col>
                    <xdr:colOff>266700</xdr:colOff>
                    <xdr:row>43</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xdr:col>
                    <xdr:colOff>9525</xdr:colOff>
                    <xdr:row>43</xdr:row>
                    <xdr:rowOff>0</xdr:rowOff>
                  </from>
                  <to>
                    <xdr:col>3</xdr:col>
                    <xdr:colOff>266700</xdr:colOff>
                    <xdr:row>44</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3</xdr:col>
                    <xdr:colOff>9525</xdr:colOff>
                    <xdr:row>44</xdr:row>
                    <xdr:rowOff>0</xdr:rowOff>
                  </from>
                  <to>
                    <xdr:col>3</xdr:col>
                    <xdr:colOff>266700</xdr:colOff>
                    <xdr:row>45</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xdr:col>
                    <xdr:colOff>9525</xdr:colOff>
                    <xdr:row>45</xdr:row>
                    <xdr:rowOff>0</xdr:rowOff>
                  </from>
                  <to>
                    <xdr:col>3</xdr:col>
                    <xdr:colOff>266700</xdr:colOff>
                    <xdr:row>46</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xdr:col>
                    <xdr:colOff>9525</xdr:colOff>
                    <xdr:row>46</xdr:row>
                    <xdr:rowOff>0</xdr:rowOff>
                  </from>
                  <to>
                    <xdr:col>3</xdr:col>
                    <xdr:colOff>266700</xdr:colOff>
                    <xdr:row>47</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xdr:col>
                    <xdr:colOff>9525</xdr:colOff>
                    <xdr:row>47</xdr:row>
                    <xdr:rowOff>0</xdr:rowOff>
                  </from>
                  <to>
                    <xdr:col>3</xdr:col>
                    <xdr:colOff>266700</xdr:colOff>
                    <xdr:row>48</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3</xdr:col>
                    <xdr:colOff>9525</xdr:colOff>
                    <xdr:row>48</xdr:row>
                    <xdr:rowOff>0</xdr:rowOff>
                  </from>
                  <to>
                    <xdr:col>3</xdr:col>
                    <xdr:colOff>266700</xdr:colOff>
                    <xdr:row>49</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xdr:col>
                    <xdr:colOff>9525</xdr:colOff>
                    <xdr:row>49</xdr:row>
                    <xdr:rowOff>0</xdr:rowOff>
                  </from>
                  <to>
                    <xdr:col>3</xdr:col>
                    <xdr:colOff>266700</xdr:colOff>
                    <xdr:row>50</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3</xdr:col>
                    <xdr:colOff>9525</xdr:colOff>
                    <xdr:row>50</xdr:row>
                    <xdr:rowOff>0</xdr:rowOff>
                  </from>
                  <to>
                    <xdr:col>3</xdr:col>
                    <xdr:colOff>266700</xdr:colOff>
                    <xdr:row>51</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xdr:col>
                    <xdr:colOff>9525</xdr:colOff>
                    <xdr:row>51</xdr:row>
                    <xdr:rowOff>0</xdr:rowOff>
                  </from>
                  <to>
                    <xdr:col>3</xdr:col>
                    <xdr:colOff>266700</xdr:colOff>
                    <xdr:row>52</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3</xdr:col>
                    <xdr:colOff>9525</xdr:colOff>
                    <xdr:row>52</xdr:row>
                    <xdr:rowOff>0</xdr:rowOff>
                  </from>
                  <to>
                    <xdr:col>3</xdr:col>
                    <xdr:colOff>266700</xdr:colOff>
                    <xdr:row>53</xdr:row>
                    <xdr:rowOff>9525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xdr:col>
                    <xdr:colOff>9525</xdr:colOff>
                    <xdr:row>53</xdr:row>
                    <xdr:rowOff>0</xdr:rowOff>
                  </from>
                  <to>
                    <xdr:col>3</xdr:col>
                    <xdr:colOff>266700</xdr:colOff>
                    <xdr:row>54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H174"/>
  <sheetViews>
    <sheetView zoomScaleNormal="100" workbookViewId="0">
      <selection activeCell="B5" sqref="B5"/>
    </sheetView>
  </sheetViews>
  <sheetFormatPr defaultColWidth="9.140625" defaultRowHeight="12.75" x14ac:dyDescent="0.2"/>
  <cols>
    <col min="1" max="1" width="1.7109375" style="58" customWidth="1"/>
    <col min="2" max="2" width="24" style="58" bestFit="1" customWidth="1"/>
    <col min="3" max="3" width="23.28515625" style="58" bestFit="1" customWidth="1"/>
    <col min="4" max="4" width="13.5703125" style="58" bestFit="1" customWidth="1"/>
    <col min="5" max="5" width="33.28515625" style="58" customWidth="1"/>
    <col min="6" max="6" width="13.28515625" style="58" customWidth="1"/>
    <col min="7" max="7" width="19.140625" style="58" customWidth="1"/>
    <col min="8" max="16384" width="9.140625" style="58"/>
  </cols>
  <sheetData>
    <row r="1" spans="1:7" ht="15.75" x14ac:dyDescent="0.25">
      <c r="A1" s="60"/>
      <c r="B1" s="278" t="s">
        <v>85</v>
      </c>
      <c r="C1" s="279"/>
      <c r="D1" s="279"/>
      <c r="E1" s="280"/>
      <c r="F1" s="61"/>
    </row>
    <row r="2" spans="1:7" x14ac:dyDescent="0.2">
      <c r="B2" s="62"/>
      <c r="C2" s="62"/>
      <c r="D2" s="62"/>
      <c r="E2" s="62"/>
    </row>
    <row r="3" spans="1:7" ht="90.75" customHeight="1" x14ac:dyDescent="0.2">
      <c r="B3" s="281" t="s">
        <v>274</v>
      </c>
      <c r="C3" s="282"/>
      <c r="D3" s="282"/>
      <c r="E3" s="282"/>
    </row>
    <row r="4" spans="1:7" ht="27.75" customHeight="1" x14ac:dyDescent="0.2">
      <c r="B4" s="240" t="s">
        <v>272</v>
      </c>
      <c r="C4" s="215"/>
      <c r="D4" s="240" t="s">
        <v>273</v>
      </c>
      <c r="E4" s="165"/>
      <c r="G4" s="224" t="s">
        <v>282</v>
      </c>
    </row>
    <row r="5" spans="1:7" x14ac:dyDescent="0.2">
      <c r="A5" s="60"/>
      <c r="B5" s="237" t="s">
        <v>5</v>
      </c>
      <c r="C5" s="238"/>
      <c r="D5" s="290"/>
      <c r="E5" s="291"/>
      <c r="F5" s="61"/>
    </row>
    <row r="6" spans="1:7" x14ac:dyDescent="0.2">
      <c r="B6" s="235"/>
      <c r="C6" s="149"/>
      <c r="D6" s="235"/>
      <c r="E6" s="235"/>
    </row>
    <row r="7" spans="1:7" ht="13.5" thickBot="1" x14ac:dyDescent="0.25">
      <c r="B7" s="164" t="s">
        <v>85</v>
      </c>
      <c r="C7" s="165"/>
      <c r="D7" s="165"/>
      <c r="E7" s="165"/>
    </row>
    <row r="8" spans="1:7" ht="26.25" thickTop="1" x14ac:dyDescent="0.2">
      <c r="A8" s="60"/>
      <c r="B8" s="166" t="s">
        <v>146</v>
      </c>
      <c r="C8" s="286" t="s">
        <v>148</v>
      </c>
      <c r="D8" s="287"/>
      <c r="E8" s="167" t="s">
        <v>147</v>
      </c>
      <c r="F8" s="61"/>
    </row>
    <row r="9" spans="1:7" ht="13.5" thickBot="1" x14ac:dyDescent="0.25">
      <c r="A9" s="60"/>
      <c r="B9" s="236"/>
      <c r="C9" s="288">
        <f>Factor</f>
        <v>0</v>
      </c>
      <c r="D9" s="289"/>
      <c r="E9" s="168">
        <f>B9*C9</f>
        <v>0</v>
      </c>
      <c r="F9" s="61"/>
    </row>
    <row r="10" spans="1:7" ht="13.5" thickTop="1" x14ac:dyDescent="0.2">
      <c r="B10" s="62"/>
      <c r="C10" s="62"/>
      <c r="D10" s="62"/>
      <c r="E10" s="62"/>
    </row>
    <row r="11" spans="1:7" ht="13.5" thickBot="1" x14ac:dyDescent="0.25">
      <c r="B11" s="74" t="s">
        <v>114</v>
      </c>
      <c r="C11" s="75"/>
      <c r="D11" s="75"/>
      <c r="E11" s="63"/>
      <c r="G11" s="59"/>
    </row>
    <row r="12" spans="1:7" ht="42" customHeight="1" thickTop="1" x14ac:dyDescent="0.2">
      <c r="A12" s="60"/>
      <c r="B12" s="283" t="s">
        <v>292</v>
      </c>
      <c r="C12" s="284"/>
      <c r="D12" s="284"/>
      <c r="E12" s="285"/>
      <c r="F12" s="61"/>
      <c r="G12" s="59"/>
    </row>
    <row r="13" spans="1:7" x14ac:dyDescent="0.2">
      <c r="A13" s="60"/>
      <c r="B13" s="86"/>
      <c r="C13" s="76"/>
      <c r="D13" s="70"/>
      <c r="E13" s="87"/>
      <c r="F13" s="61"/>
    </row>
    <row r="14" spans="1:7" ht="13.5" customHeight="1" x14ac:dyDescent="0.2">
      <c r="A14" s="60"/>
      <c r="B14" s="88" t="s">
        <v>89</v>
      </c>
      <c r="C14" s="69"/>
      <c r="D14" s="59"/>
      <c r="E14" s="89"/>
      <c r="F14" s="61"/>
    </row>
    <row r="15" spans="1:7" x14ac:dyDescent="0.2">
      <c r="A15" s="60"/>
      <c r="B15" s="90" t="s">
        <v>88</v>
      </c>
      <c r="C15" s="173"/>
      <c r="D15" s="68" t="s">
        <v>90</v>
      </c>
      <c r="E15" s="174"/>
      <c r="F15" s="61"/>
    </row>
    <row r="16" spans="1:7" x14ac:dyDescent="0.2">
      <c r="A16" s="60"/>
      <c r="B16" s="91"/>
      <c r="C16" s="71"/>
      <c r="D16" s="59"/>
      <c r="E16" s="87"/>
      <c r="F16" s="61"/>
    </row>
    <row r="17" spans="1:8" x14ac:dyDescent="0.2">
      <c r="A17" s="60"/>
      <c r="B17" s="92" t="s">
        <v>92</v>
      </c>
      <c r="C17" s="173"/>
      <c r="D17" s="64"/>
      <c r="E17" s="93"/>
      <c r="F17" s="61"/>
    </row>
    <row r="18" spans="1:8" x14ac:dyDescent="0.2">
      <c r="A18" s="60"/>
      <c r="B18" s="94"/>
      <c r="C18" s="62"/>
      <c r="E18" s="93"/>
      <c r="F18" s="61"/>
    </row>
    <row r="19" spans="1:8" x14ac:dyDescent="0.2">
      <c r="A19" s="60"/>
      <c r="B19" s="94"/>
      <c r="C19" s="63"/>
      <c r="E19" s="93"/>
      <c r="F19" s="61"/>
    </row>
    <row r="20" spans="1:8" x14ac:dyDescent="0.2">
      <c r="A20" s="60"/>
      <c r="B20" s="84" t="s">
        <v>91</v>
      </c>
      <c r="C20" s="73">
        <f>'Data &amp; Calcs Sheet'!B58</f>
        <v>0</v>
      </c>
      <c r="D20" s="61"/>
      <c r="E20" s="93"/>
      <c r="F20" s="61"/>
    </row>
    <row r="21" spans="1:8" x14ac:dyDescent="0.2">
      <c r="A21" s="60"/>
      <c r="B21" s="95"/>
      <c r="C21" s="77"/>
      <c r="D21" s="63"/>
      <c r="E21" s="89"/>
      <c r="F21" s="61"/>
    </row>
    <row r="22" spans="1:8" x14ac:dyDescent="0.2">
      <c r="A22" s="60"/>
      <c r="B22" s="84" t="s">
        <v>95</v>
      </c>
      <c r="C22" s="175"/>
      <c r="D22" s="61"/>
      <c r="E22" s="93"/>
      <c r="F22" s="61"/>
    </row>
    <row r="23" spans="1:8" x14ac:dyDescent="0.2">
      <c r="A23" s="60"/>
      <c r="B23" s="94"/>
      <c r="C23" s="77"/>
      <c r="E23" s="93"/>
      <c r="F23" s="61"/>
    </row>
    <row r="24" spans="1:8" x14ac:dyDescent="0.2">
      <c r="A24" s="60"/>
      <c r="B24" s="84" t="s">
        <v>96</v>
      </c>
      <c r="C24" s="102">
        <f>'Data &amp; Calcs Sheet'!B59</f>
        <v>0</v>
      </c>
      <c r="D24" s="61"/>
      <c r="E24" s="93"/>
      <c r="F24" s="61"/>
    </row>
    <row r="25" spans="1:8" ht="13.5" thickBot="1" x14ac:dyDescent="0.25">
      <c r="A25" s="60"/>
      <c r="B25" s="96"/>
      <c r="C25" s="97"/>
      <c r="D25" s="98"/>
      <c r="E25" s="99"/>
      <c r="F25" s="61"/>
    </row>
    <row r="26" spans="1:8" ht="13.5" thickTop="1" x14ac:dyDescent="0.2">
      <c r="B26" s="77"/>
      <c r="C26" s="77"/>
      <c r="D26" s="77"/>
      <c r="E26" s="77"/>
      <c r="F26" s="63"/>
      <c r="G26" s="63"/>
    </row>
    <row r="27" spans="1:8" ht="13.5" thickBot="1" x14ac:dyDescent="0.25">
      <c r="B27" s="67" t="s">
        <v>87</v>
      </c>
      <c r="C27" s="63"/>
      <c r="D27" s="63"/>
      <c r="E27" s="63"/>
      <c r="F27" s="63"/>
      <c r="G27" s="63"/>
    </row>
    <row r="28" spans="1:8" ht="13.5" thickTop="1" x14ac:dyDescent="0.2">
      <c r="A28" s="60"/>
      <c r="B28" s="81" t="s">
        <v>164</v>
      </c>
      <c r="C28" s="82" t="s">
        <v>165</v>
      </c>
      <c r="D28" s="82" t="s">
        <v>71</v>
      </c>
      <c r="E28" s="83" t="s">
        <v>140</v>
      </c>
      <c r="F28" s="80"/>
      <c r="G28" s="78"/>
      <c r="H28" s="61"/>
    </row>
    <row r="29" spans="1:8" x14ac:dyDescent="0.2">
      <c r="A29" s="60"/>
      <c r="B29" s="225" t="s">
        <v>5</v>
      </c>
      <c r="C29" s="226" t="s">
        <v>47</v>
      </c>
      <c r="D29" s="227">
        <v>3.5312499999999997E-2</v>
      </c>
      <c r="E29" s="228" t="s">
        <v>48</v>
      </c>
      <c r="F29" s="64"/>
      <c r="G29" s="79"/>
    </row>
    <row r="30" spans="1:8" x14ac:dyDescent="0.2">
      <c r="A30" s="60"/>
      <c r="B30" s="225" t="s">
        <v>186</v>
      </c>
      <c r="C30" s="229" t="s">
        <v>49</v>
      </c>
      <c r="D30" s="230">
        <v>50</v>
      </c>
      <c r="E30" s="231" t="s">
        <v>82</v>
      </c>
      <c r="F30" s="64"/>
      <c r="G30" s="79"/>
    </row>
    <row r="31" spans="1:8" x14ac:dyDescent="0.2">
      <c r="A31" s="60"/>
      <c r="B31" s="92" t="s">
        <v>6</v>
      </c>
      <c r="C31" s="66" t="s">
        <v>50</v>
      </c>
      <c r="D31" s="205">
        <f>(33+49)/2</f>
        <v>41</v>
      </c>
      <c r="E31" s="85" t="s">
        <v>151</v>
      </c>
      <c r="F31" s="64"/>
      <c r="G31" s="59"/>
    </row>
    <row r="32" spans="1:8" x14ac:dyDescent="0.2">
      <c r="A32" s="60"/>
      <c r="B32" s="92"/>
      <c r="C32" s="66" t="s">
        <v>51</v>
      </c>
      <c r="D32" s="205">
        <v>13.36</v>
      </c>
      <c r="E32" s="85" t="s">
        <v>72</v>
      </c>
      <c r="F32" s="64"/>
      <c r="G32" s="59"/>
    </row>
    <row r="33" spans="1:8" x14ac:dyDescent="0.2">
      <c r="A33" s="60"/>
      <c r="B33" s="92"/>
      <c r="C33" s="66" t="s">
        <v>51</v>
      </c>
      <c r="D33" s="205">
        <v>318.79000000000002</v>
      </c>
      <c r="E33" s="85" t="s">
        <v>73</v>
      </c>
      <c r="F33" s="64"/>
      <c r="G33" s="59"/>
    </row>
    <row r="34" spans="1:8" x14ac:dyDescent="0.2">
      <c r="A34" s="60"/>
      <c r="B34" s="92"/>
      <c r="C34" s="66" t="s">
        <v>52</v>
      </c>
      <c r="D34" s="205">
        <v>126</v>
      </c>
      <c r="E34" s="85" t="s">
        <v>53</v>
      </c>
      <c r="F34" s="64"/>
      <c r="G34" s="59"/>
    </row>
    <row r="35" spans="1:8" x14ac:dyDescent="0.2">
      <c r="A35" s="60"/>
      <c r="B35" s="92"/>
      <c r="C35" s="66" t="s">
        <v>52</v>
      </c>
      <c r="D35" s="205">
        <v>133</v>
      </c>
      <c r="E35" s="85" t="s">
        <v>54</v>
      </c>
      <c r="F35" s="64"/>
      <c r="G35" s="59"/>
    </row>
    <row r="36" spans="1:8" x14ac:dyDescent="0.2">
      <c r="A36" s="60"/>
      <c r="B36" s="92"/>
      <c r="C36" s="66" t="s">
        <v>52</v>
      </c>
      <c r="D36" s="205">
        <v>205</v>
      </c>
      <c r="E36" s="85" t="s">
        <v>55</v>
      </c>
      <c r="F36" s="64"/>
      <c r="G36" s="59"/>
    </row>
    <row r="37" spans="1:8" x14ac:dyDescent="0.2">
      <c r="A37" s="60"/>
      <c r="B37" s="92"/>
      <c r="C37" s="66" t="s">
        <v>52</v>
      </c>
      <c r="D37" s="205">
        <v>219</v>
      </c>
      <c r="E37" s="85" t="s">
        <v>56</v>
      </c>
      <c r="F37" s="64"/>
      <c r="G37" s="59"/>
    </row>
    <row r="38" spans="1:8" x14ac:dyDescent="0.2">
      <c r="A38" s="60"/>
      <c r="B38" s="225" t="s">
        <v>174</v>
      </c>
      <c r="C38" s="229" t="s">
        <v>177</v>
      </c>
      <c r="D38" s="230">
        <v>0.12640000000000001</v>
      </c>
      <c r="E38" s="231" t="s">
        <v>74</v>
      </c>
      <c r="F38" s="64"/>
      <c r="G38" s="59"/>
    </row>
    <row r="39" spans="1:8" x14ac:dyDescent="0.2">
      <c r="A39" s="60"/>
      <c r="B39" s="225"/>
      <c r="C39" s="229" t="s">
        <v>179</v>
      </c>
      <c r="D39" s="230">
        <v>1.9769999999999999E-2</v>
      </c>
      <c r="E39" s="231" t="s">
        <v>74</v>
      </c>
      <c r="F39" s="64"/>
      <c r="G39" s="59"/>
    </row>
    <row r="40" spans="1:8" x14ac:dyDescent="0.2">
      <c r="A40" s="60"/>
      <c r="B40" s="225"/>
      <c r="C40" s="229" t="s">
        <v>176</v>
      </c>
      <c r="D40" s="230">
        <v>7.8180000000000003E-3</v>
      </c>
      <c r="E40" s="231" t="s">
        <v>74</v>
      </c>
      <c r="F40" s="64"/>
      <c r="G40" s="59"/>
    </row>
    <row r="41" spans="1:8" x14ac:dyDescent="0.2">
      <c r="A41" s="60"/>
      <c r="B41" s="225"/>
      <c r="C41" s="229" t="s">
        <v>175</v>
      </c>
      <c r="D41" s="230">
        <v>1.2230000000000001E-3</v>
      </c>
      <c r="E41" s="231" t="s">
        <v>74</v>
      </c>
      <c r="F41" s="64"/>
      <c r="G41" s="59"/>
    </row>
    <row r="42" spans="1:8" x14ac:dyDescent="0.2">
      <c r="A42" s="60"/>
      <c r="B42" s="203" t="s">
        <v>7</v>
      </c>
      <c r="C42" s="66" t="s">
        <v>57</v>
      </c>
      <c r="D42" s="205">
        <v>0.67</v>
      </c>
      <c r="E42" s="204" t="s">
        <v>111</v>
      </c>
      <c r="F42" s="64"/>
      <c r="G42" s="59"/>
    </row>
    <row r="43" spans="1:8" x14ac:dyDescent="0.2">
      <c r="A43" s="60"/>
      <c r="B43" s="203"/>
      <c r="C43" s="66" t="s">
        <v>143</v>
      </c>
      <c r="D43" s="205">
        <v>1.04</v>
      </c>
      <c r="E43" s="204" t="s">
        <v>111</v>
      </c>
      <c r="F43" s="64"/>
      <c r="G43" s="59"/>
    </row>
    <row r="44" spans="1:8" x14ac:dyDescent="0.2">
      <c r="A44" s="60"/>
      <c r="B44" s="225" t="s">
        <v>8</v>
      </c>
      <c r="C44" s="229" t="s">
        <v>142</v>
      </c>
      <c r="D44" s="230">
        <v>6</v>
      </c>
      <c r="E44" s="231" t="s">
        <v>58</v>
      </c>
      <c r="F44" s="64"/>
      <c r="G44" s="59"/>
    </row>
    <row r="45" spans="1:8" x14ac:dyDescent="0.2">
      <c r="A45" s="60"/>
      <c r="B45" s="225"/>
      <c r="C45" s="229" t="s">
        <v>144</v>
      </c>
      <c r="D45" s="230">
        <v>8.2000000000000003E-2</v>
      </c>
      <c r="E45" s="231" t="s">
        <v>74</v>
      </c>
      <c r="F45" s="64"/>
      <c r="G45" s="59"/>
    </row>
    <row r="46" spans="1:8" x14ac:dyDescent="0.2">
      <c r="A46" s="60"/>
      <c r="B46" s="225"/>
      <c r="C46" s="229" t="s">
        <v>59</v>
      </c>
      <c r="D46" s="230">
        <v>2.5</v>
      </c>
      <c r="E46" s="231" t="s">
        <v>74</v>
      </c>
      <c r="F46" s="64"/>
      <c r="G46" s="59"/>
    </row>
    <row r="47" spans="1:8" x14ac:dyDescent="0.2">
      <c r="A47" s="60"/>
      <c r="B47" s="225"/>
      <c r="C47" s="229" t="s">
        <v>101</v>
      </c>
      <c r="D47" s="230">
        <v>21</v>
      </c>
      <c r="E47" s="231" t="s">
        <v>106</v>
      </c>
      <c r="F47" s="64"/>
      <c r="G47" s="59"/>
    </row>
    <row r="48" spans="1:8" x14ac:dyDescent="0.2">
      <c r="A48" s="60"/>
      <c r="B48" s="203" t="s">
        <v>9</v>
      </c>
      <c r="C48" s="66" t="s">
        <v>60</v>
      </c>
      <c r="D48" s="205">
        <v>0.1</v>
      </c>
      <c r="E48" s="204" t="s">
        <v>111</v>
      </c>
      <c r="F48" s="64"/>
      <c r="G48" s="59"/>
      <c r="H48" s="61"/>
    </row>
    <row r="49" spans="1:8" x14ac:dyDescent="0.2">
      <c r="A49" s="60"/>
      <c r="B49" s="92"/>
      <c r="C49" s="66" t="s">
        <v>61</v>
      </c>
      <c r="D49" s="205">
        <v>0.1</v>
      </c>
      <c r="E49" s="85" t="s">
        <v>111</v>
      </c>
      <c r="F49" s="64"/>
      <c r="G49" s="59"/>
      <c r="H49" s="61"/>
    </row>
    <row r="50" spans="1:8" x14ac:dyDescent="0.2">
      <c r="A50" s="60"/>
      <c r="B50" s="203"/>
      <c r="C50" s="66" t="s">
        <v>62</v>
      </c>
      <c r="D50" s="205">
        <v>0.15</v>
      </c>
      <c r="E50" s="204" t="s">
        <v>111</v>
      </c>
      <c r="F50" s="64"/>
      <c r="G50" s="59"/>
      <c r="H50" s="61"/>
    </row>
    <row r="51" spans="1:8" x14ac:dyDescent="0.2">
      <c r="A51" s="60"/>
      <c r="B51" s="232" t="s">
        <v>10</v>
      </c>
      <c r="C51" s="233" t="s">
        <v>63</v>
      </c>
      <c r="D51" s="234">
        <v>300</v>
      </c>
      <c r="E51" s="231" t="s">
        <v>108</v>
      </c>
      <c r="F51" s="64"/>
      <c r="G51" s="59"/>
      <c r="H51" s="61"/>
    </row>
    <row r="52" spans="1:8" x14ac:dyDescent="0.2">
      <c r="A52" s="60"/>
      <c r="B52" s="232"/>
      <c r="C52" s="233" t="s">
        <v>105</v>
      </c>
      <c r="D52" s="234">
        <v>0.13</v>
      </c>
      <c r="E52" s="231" t="s">
        <v>107</v>
      </c>
      <c r="F52" s="64"/>
      <c r="G52" s="59"/>
      <c r="H52" s="61"/>
    </row>
    <row r="53" spans="1:8" x14ac:dyDescent="0.2">
      <c r="A53" s="60"/>
      <c r="B53" s="232"/>
      <c r="C53" s="233" t="s">
        <v>163</v>
      </c>
      <c r="D53" s="234">
        <v>3.11</v>
      </c>
      <c r="E53" s="231" t="s">
        <v>109</v>
      </c>
      <c r="F53" s="64"/>
      <c r="G53" s="59"/>
      <c r="H53" s="61"/>
    </row>
    <row r="54" spans="1:8" x14ac:dyDescent="0.2">
      <c r="A54" s="60"/>
      <c r="B54" s="203" t="s">
        <v>11</v>
      </c>
      <c r="C54" s="66" t="s">
        <v>64</v>
      </c>
      <c r="D54" s="205">
        <f>1.25/2</f>
        <v>0.625</v>
      </c>
      <c r="E54" s="204" t="s">
        <v>65</v>
      </c>
      <c r="F54" s="64"/>
      <c r="H54" s="61"/>
    </row>
    <row r="55" spans="1:8" x14ac:dyDescent="0.2">
      <c r="A55" s="60"/>
      <c r="B55" s="232" t="s">
        <v>12</v>
      </c>
      <c r="C55" s="233" t="s">
        <v>86</v>
      </c>
      <c r="D55" s="234">
        <v>0.8125</v>
      </c>
      <c r="E55" s="231" t="s">
        <v>66</v>
      </c>
      <c r="F55" s="64"/>
      <c r="H55" s="61"/>
    </row>
    <row r="56" spans="1:8" x14ac:dyDescent="0.2">
      <c r="A56" s="60"/>
      <c r="B56" s="203" t="s">
        <v>13</v>
      </c>
      <c r="C56" s="66" t="s">
        <v>162</v>
      </c>
      <c r="D56" s="205">
        <v>0.40625</v>
      </c>
      <c r="E56" s="204" t="s">
        <v>75</v>
      </c>
      <c r="F56" s="64"/>
      <c r="H56" s="61"/>
    </row>
    <row r="57" spans="1:8" x14ac:dyDescent="0.2">
      <c r="A57" s="60"/>
      <c r="B57" s="203"/>
      <c r="C57" s="66" t="s">
        <v>162</v>
      </c>
      <c r="D57" s="205">
        <v>1.18</v>
      </c>
      <c r="E57" s="204" t="s">
        <v>76</v>
      </c>
      <c r="F57" s="64"/>
      <c r="H57" s="61"/>
    </row>
    <row r="58" spans="1:8" x14ac:dyDescent="0.2">
      <c r="A58" s="60"/>
      <c r="B58" s="203"/>
      <c r="C58" s="66" t="s">
        <v>162</v>
      </c>
      <c r="D58" s="205">
        <v>1.9</v>
      </c>
      <c r="E58" s="204" t="s">
        <v>77</v>
      </c>
      <c r="F58" s="64"/>
      <c r="H58" s="61"/>
    </row>
    <row r="59" spans="1:8" x14ac:dyDescent="0.2">
      <c r="A59" s="60"/>
      <c r="B59" s="203"/>
      <c r="C59" s="66" t="s">
        <v>113</v>
      </c>
      <c r="D59" s="205">
        <v>5</v>
      </c>
      <c r="E59" s="204" t="s">
        <v>79</v>
      </c>
      <c r="F59" s="64"/>
      <c r="H59" s="61"/>
    </row>
    <row r="60" spans="1:8" x14ac:dyDescent="0.2">
      <c r="A60" s="60"/>
      <c r="B60" s="203"/>
      <c r="C60" s="66" t="s">
        <v>67</v>
      </c>
      <c r="D60" s="205">
        <v>0.48749999999999999</v>
      </c>
      <c r="E60" s="204" t="s">
        <v>78</v>
      </c>
      <c r="F60" s="64"/>
      <c r="H60" s="61"/>
    </row>
    <row r="61" spans="1:8" x14ac:dyDescent="0.2">
      <c r="A61" s="60"/>
      <c r="B61" s="203"/>
      <c r="C61" s="66" t="s">
        <v>93</v>
      </c>
      <c r="D61" s="205">
        <f>(1/16)*10</f>
        <v>0.625</v>
      </c>
      <c r="E61" s="204" t="s">
        <v>94</v>
      </c>
      <c r="F61" s="64"/>
      <c r="H61" s="61"/>
    </row>
    <row r="62" spans="1:8" x14ac:dyDescent="0.2">
      <c r="A62" s="60"/>
      <c r="B62" s="232" t="s">
        <v>14</v>
      </c>
      <c r="C62" s="233" t="s">
        <v>68</v>
      </c>
      <c r="D62" s="234">
        <v>2.5</v>
      </c>
      <c r="E62" s="231" t="s">
        <v>69</v>
      </c>
      <c r="F62" s="64"/>
      <c r="H62" s="61"/>
    </row>
    <row r="63" spans="1:8" x14ac:dyDescent="0.2">
      <c r="A63" s="60"/>
      <c r="B63" s="203" t="s">
        <v>15</v>
      </c>
      <c r="C63" s="66" t="s">
        <v>70</v>
      </c>
      <c r="D63" s="205">
        <v>3.64</v>
      </c>
      <c r="E63" s="204" t="s">
        <v>100</v>
      </c>
      <c r="F63" s="64"/>
      <c r="H63" s="61"/>
    </row>
    <row r="64" spans="1:8" x14ac:dyDescent="0.2">
      <c r="A64" s="60"/>
      <c r="B64" s="232" t="s">
        <v>16</v>
      </c>
      <c r="C64" s="233" t="s">
        <v>80</v>
      </c>
      <c r="D64" s="234">
        <v>1.65</v>
      </c>
      <c r="E64" s="231" t="s">
        <v>110</v>
      </c>
      <c r="F64" s="64"/>
      <c r="H64" s="61"/>
    </row>
    <row r="65" spans="1:8" x14ac:dyDescent="0.2">
      <c r="A65" s="60"/>
      <c r="B65" s="232"/>
      <c r="C65" s="233" t="s">
        <v>81</v>
      </c>
      <c r="D65" s="234">
        <v>3</v>
      </c>
      <c r="E65" s="231" t="s">
        <v>110</v>
      </c>
      <c r="F65" s="64"/>
      <c r="H65" s="61"/>
    </row>
    <row r="66" spans="1:8" x14ac:dyDescent="0.2">
      <c r="A66" s="60"/>
      <c r="B66" s="92" t="s">
        <v>17</v>
      </c>
      <c r="C66" s="66" t="s">
        <v>84</v>
      </c>
      <c r="D66" s="205">
        <v>2.4</v>
      </c>
      <c r="E66" s="85" t="s">
        <v>107</v>
      </c>
      <c r="F66" s="64"/>
      <c r="H66" s="61"/>
    </row>
    <row r="67" spans="1:8" ht="13.5" thickBot="1" x14ac:dyDescent="0.25">
      <c r="A67" s="60"/>
      <c r="B67" s="206"/>
      <c r="C67" s="207" t="s">
        <v>83</v>
      </c>
      <c r="D67" s="208">
        <v>1.35</v>
      </c>
      <c r="E67" s="183" t="s">
        <v>107</v>
      </c>
      <c r="F67" s="64"/>
      <c r="G67" s="59"/>
      <c r="H67" s="61"/>
    </row>
    <row r="68" spans="1:8" ht="13.5" thickTop="1" x14ac:dyDescent="0.2">
      <c r="B68" s="100" t="s">
        <v>112</v>
      </c>
      <c r="C68" s="62"/>
      <c r="D68" s="62"/>
      <c r="E68" s="62"/>
      <c r="F68" s="62"/>
      <c r="G68" s="70"/>
    </row>
    <row r="69" spans="1:8" x14ac:dyDescent="0.2">
      <c r="B69" s="62"/>
      <c r="C69" s="62"/>
      <c r="D69" s="62"/>
      <c r="E69" s="62"/>
      <c r="F69" s="62"/>
      <c r="G69" s="70"/>
    </row>
    <row r="70" spans="1:8" x14ac:dyDescent="0.2">
      <c r="B70" s="62"/>
      <c r="C70" s="62"/>
      <c r="D70" s="62"/>
      <c r="E70" s="62"/>
      <c r="F70" s="62"/>
      <c r="G70" s="70"/>
    </row>
    <row r="71" spans="1:8" x14ac:dyDescent="0.2">
      <c r="B71" s="59"/>
      <c r="C71" s="59"/>
      <c r="D71" s="59"/>
      <c r="G71" s="59"/>
    </row>
    <row r="87" spans="2:5" x14ac:dyDescent="0.2">
      <c r="B87" s="62"/>
      <c r="C87" s="62"/>
      <c r="D87" s="62"/>
      <c r="E87" s="62"/>
    </row>
    <row r="114" spans="1:5" x14ac:dyDescent="0.2">
      <c r="B114" s="63"/>
      <c r="C114" s="63"/>
      <c r="D114" s="63"/>
    </row>
    <row r="115" spans="1:5" hidden="1" x14ac:dyDescent="0.2">
      <c r="A115" s="60"/>
      <c r="B115" s="150"/>
      <c r="C115" s="60" t="str">
        <f>B5</f>
        <v>Aluminum Cans</v>
      </c>
      <c r="D115" s="150"/>
      <c r="E115" s="61"/>
    </row>
    <row r="116" spans="1:5" hidden="1" x14ac:dyDescent="0.2">
      <c r="A116" s="60">
        <v>1</v>
      </c>
      <c r="B116" s="66" t="s">
        <v>5</v>
      </c>
      <c r="C116" s="60" t="str">
        <f>CONCATENATE($C$115,A116)</f>
        <v>Aluminum Cans1</v>
      </c>
      <c r="D116" s="65" t="str">
        <f>IFERROR(VLOOKUP(C116,$B$132:$C$170,2,FALSE),"")</f>
        <v>1 aluminum can, average of two weights provided</v>
      </c>
      <c r="E116" s="61"/>
    </row>
    <row r="117" spans="1:5" hidden="1" x14ac:dyDescent="0.2">
      <c r="A117" s="60">
        <v>2</v>
      </c>
      <c r="B117" s="66" t="s">
        <v>186</v>
      </c>
      <c r="C117" s="60" t="str">
        <f t="shared" ref="C117:C122" si="0">CONCATENATE($C$115,A117)</f>
        <v>Aluminum Cans2</v>
      </c>
      <c r="D117" s="65" t="str">
        <f t="shared" ref="D117:D124" si="1">IFERROR(VLOOKUP(C117,$B$132:$C$170,2,FALSE),"")</f>
        <v/>
      </c>
      <c r="E117" s="61"/>
    </row>
    <row r="118" spans="1:5" hidden="1" x14ac:dyDescent="0.2">
      <c r="A118" s="60">
        <v>3</v>
      </c>
      <c r="B118" s="66" t="s">
        <v>174</v>
      </c>
      <c r="C118" s="60" t="str">
        <f t="shared" si="0"/>
        <v>Aluminum Cans3</v>
      </c>
      <c r="D118" s="65" t="str">
        <f t="shared" si="1"/>
        <v/>
      </c>
      <c r="E118" s="61"/>
    </row>
    <row r="119" spans="1:5" hidden="1" x14ac:dyDescent="0.2">
      <c r="A119" s="60">
        <v>4</v>
      </c>
      <c r="B119" s="65" t="s">
        <v>10</v>
      </c>
      <c r="C119" s="60" t="str">
        <f t="shared" si="0"/>
        <v>Aluminum Cans4</v>
      </c>
      <c r="D119" s="65" t="str">
        <f t="shared" si="1"/>
        <v/>
      </c>
      <c r="E119" s="61"/>
    </row>
    <row r="120" spans="1:5" hidden="1" x14ac:dyDescent="0.2">
      <c r="A120" s="60">
        <v>5</v>
      </c>
      <c r="B120" s="65" t="s">
        <v>16</v>
      </c>
      <c r="C120" s="60" t="str">
        <f t="shared" si="0"/>
        <v>Aluminum Cans5</v>
      </c>
      <c r="D120" s="65" t="str">
        <f t="shared" si="1"/>
        <v/>
      </c>
      <c r="E120" s="61"/>
    </row>
    <row r="121" spans="1:5" hidden="1" x14ac:dyDescent="0.2">
      <c r="A121" s="60">
        <v>6</v>
      </c>
      <c r="B121" s="66" t="s">
        <v>7</v>
      </c>
      <c r="C121" s="60" t="str">
        <f t="shared" si="0"/>
        <v>Aluminum Cans6</v>
      </c>
      <c r="D121" s="65" t="str">
        <f t="shared" si="1"/>
        <v/>
      </c>
      <c r="E121" s="61"/>
    </row>
    <row r="122" spans="1:5" hidden="1" x14ac:dyDescent="0.2">
      <c r="A122" s="60">
        <v>7</v>
      </c>
      <c r="B122" s="66" t="s">
        <v>8</v>
      </c>
      <c r="C122" s="60" t="str">
        <f t="shared" si="0"/>
        <v>Aluminum Cans7</v>
      </c>
      <c r="D122" s="65" t="str">
        <f t="shared" si="1"/>
        <v/>
      </c>
      <c r="E122" s="61"/>
    </row>
    <row r="123" spans="1:5" hidden="1" x14ac:dyDescent="0.2">
      <c r="A123" s="60"/>
      <c r="B123" s="65" t="s">
        <v>11</v>
      </c>
      <c r="C123" s="60"/>
      <c r="D123" s="65" t="str">
        <f t="shared" si="1"/>
        <v/>
      </c>
      <c r="E123" s="61"/>
    </row>
    <row r="124" spans="1:5" hidden="1" x14ac:dyDescent="0.2">
      <c r="A124" s="60"/>
      <c r="B124" s="65" t="s">
        <v>17</v>
      </c>
      <c r="C124" s="60"/>
      <c r="D124" s="65" t="str">
        <f t="shared" si="1"/>
        <v/>
      </c>
      <c r="E124" s="61"/>
    </row>
    <row r="125" spans="1:5" hidden="1" x14ac:dyDescent="0.2">
      <c r="A125" s="60"/>
      <c r="B125" s="65" t="s">
        <v>12</v>
      </c>
      <c r="C125" s="60"/>
      <c r="D125" s="65"/>
      <c r="E125" s="61"/>
    </row>
    <row r="126" spans="1:5" hidden="1" x14ac:dyDescent="0.2">
      <c r="A126" s="60"/>
      <c r="B126" s="65" t="s">
        <v>13</v>
      </c>
      <c r="C126" s="60"/>
      <c r="D126" s="65"/>
      <c r="E126" s="61"/>
    </row>
    <row r="127" spans="1:5" hidden="1" x14ac:dyDescent="0.2">
      <c r="A127" s="60"/>
      <c r="B127" s="65" t="s">
        <v>9</v>
      </c>
      <c r="C127" s="60"/>
      <c r="D127" s="65"/>
      <c r="E127" s="61"/>
    </row>
    <row r="128" spans="1:5" hidden="1" x14ac:dyDescent="0.2">
      <c r="A128" s="60"/>
      <c r="B128" s="65" t="s">
        <v>14</v>
      </c>
      <c r="C128" s="60"/>
      <c r="D128" s="65"/>
      <c r="E128" s="61"/>
    </row>
    <row r="129" spans="1:5" hidden="1" x14ac:dyDescent="0.2">
      <c r="A129" s="60"/>
      <c r="B129" s="66" t="s">
        <v>6</v>
      </c>
      <c r="C129" s="60"/>
      <c r="D129" s="65"/>
      <c r="E129" s="61"/>
    </row>
    <row r="130" spans="1:5" hidden="1" x14ac:dyDescent="0.2">
      <c r="A130" s="60"/>
      <c r="B130" s="151" t="s">
        <v>15</v>
      </c>
      <c r="C130" s="60"/>
      <c r="D130" s="151"/>
      <c r="E130" s="61"/>
    </row>
    <row r="131" spans="1:5" hidden="1" x14ac:dyDescent="0.2">
      <c r="C131" s="62" t="s">
        <v>149</v>
      </c>
      <c r="D131" s="62"/>
    </row>
    <row r="132" spans="1:5" hidden="1" x14ac:dyDescent="0.2">
      <c r="B132" s="203" t="s">
        <v>233</v>
      </c>
      <c r="C132" s="62" t="str">
        <f t="shared" ref="C132:C170" si="2">CONCATENATE(C29, ", ", E29)</f>
        <v>1 aluminum can, average of two weights provided</v>
      </c>
      <c r="D132" s="239">
        <f>D29</f>
        <v>3.5312499999999997E-2</v>
      </c>
    </row>
    <row r="133" spans="1:5" hidden="1" x14ac:dyDescent="0.2">
      <c r="B133" s="203" t="s">
        <v>234</v>
      </c>
      <c r="C133" s="62" t="str">
        <f t="shared" si="2"/>
        <v>1 aluminum ingot, ingot weights vary greatly</v>
      </c>
      <c r="D133" s="239">
        <f t="shared" ref="D133:D170" si="3">D30</f>
        <v>50</v>
      </c>
    </row>
    <row r="134" spans="1:5" hidden="1" x14ac:dyDescent="0.2">
      <c r="B134" s="92" t="s">
        <v>235</v>
      </c>
      <c r="C134" s="62" t="str">
        <f t="shared" si="2"/>
        <v>55-gal steel drum, lbs. per drum (avg of two wts provided)</v>
      </c>
      <c r="D134" s="239">
        <f t="shared" si="3"/>
        <v>41</v>
      </c>
    </row>
    <row r="135" spans="1:5" hidden="1" x14ac:dyDescent="0.2">
      <c r="B135" s="92" t="s">
        <v>236</v>
      </c>
      <c r="C135" s="62" t="str">
        <f t="shared" si="2"/>
        <v>Steel Rebar, 1 bar, 13 mm dia., 20 ft long</v>
      </c>
      <c r="D135" s="239">
        <f t="shared" si="3"/>
        <v>13.36</v>
      </c>
    </row>
    <row r="136" spans="1:5" hidden="1" x14ac:dyDescent="0.2">
      <c r="B136" s="92" t="s">
        <v>237</v>
      </c>
      <c r="C136" s="62" t="str">
        <f t="shared" si="2"/>
        <v>Steel Rebar, 1 bar 36 mm dia., 60 ft long</v>
      </c>
      <c r="D136" s="239">
        <f t="shared" si="3"/>
        <v>318.79000000000002</v>
      </c>
    </row>
    <row r="137" spans="1:5" hidden="1" x14ac:dyDescent="0.2">
      <c r="B137" s="92" t="s">
        <v>238</v>
      </c>
      <c r="C137" s="62" t="str">
        <f t="shared" si="2"/>
        <v>Filing Cabinet, 2-drawer letter</v>
      </c>
      <c r="D137" s="239">
        <f t="shared" si="3"/>
        <v>126</v>
      </c>
    </row>
    <row r="138" spans="1:5" hidden="1" x14ac:dyDescent="0.2">
      <c r="B138" s="92" t="s">
        <v>239</v>
      </c>
      <c r="C138" s="62" t="str">
        <f t="shared" si="2"/>
        <v>Filing Cabinet, 2-drawer legal</v>
      </c>
      <c r="D138" s="239">
        <f t="shared" si="3"/>
        <v>133</v>
      </c>
    </row>
    <row r="139" spans="1:5" hidden="1" x14ac:dyDescent="0.2">
      <c r="B139" s="92" t="s">
        <v>240</v>
      </c>
      <c r="C139" s="62" t="str">
        <f t="shared" si="2"/>
        <v>Filing Cabinet, 4-drawer letter</v>
      </c>
      <c r="D139" s="239">
        <f t="shared" si="3"/>
        <v>205</v>
      </c>
    </row>
    <row r="140" spans="1:5" hidden="1" x14ac:dyDescent="0.2">
      <c r="B140" s="92" t="s">
        <v>241</v>
      </c>
      <c r="C140" s="62" t="str">
        <f t="shared" si="2"/>
        <v>Filing Cabinet, 4-drawer legal</v>
      </c>
      <c r="D140" s="239">
        <f t="shared" si="3"/>
        <v>219</v>
      </c>
    </row>
    <row r="141" spans="1:5" hidden="1" x14ac:dyDescent="0.2">
      <c r="B141" s="203" t="s">
        <v>242</v>
      </c>
      <c r="C141" s="62" t="str">
        <f t="shared" si="2"/>
        <v>4 Gauge Wire, lbs. per foot</v>
      </c>
      <c r="D141" s="239">
        <f t="shared" si="3"/>
        <v>0.12640000000000001</v>
      </c>
    </row>
    <row r="142" spans="1:5" hidden="1" x14ac:dyDescent="0.2">
      <c r="B142" s="203" t="s">
        <v>243</v>
      </c>
      <c r="C142" s="62" t="str">
        <f t="shared" si="2"/>
        <v>12 Gauge Wire, lbs. per foot</v>
      </c>
      <c r="D142" s="239">
        <f t="shared" si="3"/>
        <v>1.9769999999999999E-2</v>
      </c>
    </row>
    <row r="143" spans="1:5" hidden="1" x14ac:dyDescent="0.2">
      <c r="B143" s="203" t="s">
        <v>244</v>
      </c>
      <c r="C143" s="62" t="str">
        <f t="shared" si="2"/>
        <v>16 Gauge Wire, lbs. per foot</v>
      </c>
      <c r="D143" s="239">
        <f t="shared" si="3"/>
        <v>7.8180000000000003E-3</v>
      </c>
    </row>
    <row r="144" spans="1:5" hidden="1" x14ac:dyDescent="0.2">
      <c r="B144" s="203" t="s">
        <v>245</v>
      </c>
      <c r="C144" s="62" t="str">
        <f t="shared" si="2"/>
        <v>24 Gauge Wire, lbs. per foot</v>
      </c>
      <c r="D144" s="239">
        <f t="shared" si="3"/>
        <v>1.2230000000000001E-3</v>
      </c>
    </row>
    <row r="145" spans="2:4" hidden="1" x14ac:dyDescent="0.2">
      <c r="B145" s="203" t="s">
        <v>246</v>
      </c>
      <c r="C145" s="62" t="str">
        <f t="shared" si="2"/>
        <v>1 12 oz. Glass bottle, lbs. per bottle</v>
      </c>
      <c r="D145" s="239">
        <f t="shared" si="3"/>
        <v>0.67</v>
      </c>
    </row>
    <row r="146" spans="2:4" hidden="1" x14ac:dyDescent="0.2">
      <c r="B146" s="203" t="s">
        <v>247</v>
      </c>
      <c r="C146" s="62" t="str">
        <f t="shared" si="2"/>
        <v>1 16 oz. Glass bottle, lbs. per bottle</v>
      </c>
      <c r="D146" s="239">
        <f t="shared" si="3"/>
        <v>1.04</v>
      </c>
    </row>
    <row r="147" spans="2:4" hidden="1" x14ac:dyDescent="0.2">
      <c r="B147" s="203" t="s">
        <v>248</v>
      </c>
      <c r="C147" s="62" t="str">
        <f t="shared" si="2"/>
        <v xml:space="preserve">Flat plastic rectangle, 1/4"x 23 3/4"x 24 1/2" </v>
      </c>
      <c r="D147" s="239">
        <f t="shared" si="3"/>
        <v>6</v>
      </c>
    </row>
    <row r="148" spans="2:4" hidden="1" x14ac:dyDescent="0.2">
      <c r="B148" s="203" t="s">
        <v>249</v>
      </c>
      <c r="C148" s="62" t="str">
        <f t="shared" si="2"/>
        <v>0.6 in. diameter tube, lbs. per foot</v>
      </c>
      <c r="D148" s="239">
        <f t="shared" si="3"/>
        <v>8.2000000000000003E-2</v>
      </c>
    </row>
    <row r="149" spans="2:4" hidden="1" x14ac:dyDescent="0.2">
      <c r="B149" s="203" t="s">
        <v>250</v>
      </c>
      <c r="C149" s="62" t="str">
        <f t="shared" si="2"/>
        <v>3.5 in. diameter tube, lbs. per foot</v>
      </c>
      <c r="D149" s="239">
        <f t="shared" si="3"/>
        <v>2.5</v>
      </c>
    </row>
    <row r="150" spans="2:4" hidden="1" x14ac:dyDescent="0.2">
      <c r="B150" s="203" t="s">
        <v>251</v>
      </c>
      <c r="C150" s="62" t="str">
        <f t="shared" si="2"/>
        <v>55-gal plastic drum, lbs. per drum</v>
      </c>
      <c r="D150" s="239">
        <f t="shared" si="3"/>
        <v>21</v>
      </c>
    </row>
    <row r="151" spans="2:4" hidden="1" x14ac:dyDescent="0.2">
      <c r="B151" s="203" t="s">
        <v>252</v>
      </c>
      <c r="C151" s="62" t="str">
        <f t="shared" si="2"/>
        <v>1 16 oz. Soda bottle, lbs. per bottle</v>
      </c>
      <c r="D151" s="239">
        <f t="shared" si="3"/>
        <v>0.1</v>
      </c>
    </row>
    <row r="152" spans="2:4" hidden="1" x14ac:dyDescent="0.2">
      <c r="B152" s="203" t="s">
        <v>253</v>
      </c>
      <c r="C152" s="62" t="str">
        <f t="shared" si="2"/>
        <v>1 20 oz. Soda bottle, lbs. per bottle</v>
      </c>
      <c r="D152" s="239">
        <f t="shared" si="3"/>
        <v>0.1</v>
      </c>
    </row>
    <row r="153" spans="2:4" hidden="1" x14ac:dyDescent="0.2">
      <c r="B153" s="203" t="s">
        <v>254</v>
      </c>
      <c r="C153" s="62" t="str">
        <f t="shared" si="2"/>
        <v>1 2-liter soda bottle, lbs. per bottle</v>
      </c>
      <c r="D153" s="239">
        <f t="shared" si="3"/>
        <v>0.15</v>
      </c>
    </row>
    <row r="154" spans="2:4" hidden="1" x14ac:dyDescent="0.2">
      <c r="B154" s="92" t="s">
        <v>255</v>
      </c>
      <c r="C154" s="62" t="str">
        <f t="shared" si="2"/>
        <v>1 cubic yard, loose, lbs. per cubic yard (not compacted)</v>
      </c>
      <c r="D154" s="239">
        <f t="shared" si="3"/>
        <v>300</v>
      </c>
    </row>
    <row r="155" spans="2:4" hidden="1" x14ac:dyDescent="0.2">
      <c r="B155" s="92" t="s">
        <v>256</v>
      </c>
      <c r="C155" s="62" t="str">
        <f t="shared" si="2"/>
        <v>Standard single wall  (3mm), lbs. per sq. foot</v>
      </c>
      <c r="D155" s="239">
        <f t="shared" si="3"/>
        <v>0.13</v>
      </c>
    </row>
    <row r="156" spans="2:4" hidden="1" x14ac:dyDescent="0.2">
      <c r="B156" s="92" t="s">
        <v>257</v>
      </c>
      <c r="C156" s="62" t="str">
        <f t="shared" si="2"/>
        <v>2'x2'x2' box, 3mm SW, lbs. per box</v>
      </c>
      <c r="D156" s="239">
        <f t="shared" si="3"/>
        <v>3.11</v>
      </c>
    </row>
    <row r="157" spans="2:4" hidden="1" x14ac:dyDescent="0.2">
      <c r="B157" s="203" t="s">
        <v>258</v>
      </c>
      <c r="C157" s="62" t="str">
        <f t="shared" si="2"/>
        <v>1 magazine, 0.3 in thick</v>
      </c>
      <c r="D157" s="239">
        <f t="shared" si="3"/>
        <v>0.625</v>
      </c>
    </row>
    <row r="158" spans="2:4" hidden="1" x14ac:dyDescent="0.2">
      <c r="B158" s="92" t="s">
        <v>259</v>
      </c>
      <c r="C158" s="62" t="str">
        <f t="shared" si="2"/>
        <v>1 newspaper, weekday edition of Wall Street Journal</v>
      </c>
      <c r="D158" s="239">
        <f t="shared" si="3"/>
        <v>0.8125</v>
      </c>
    </row>
    <row r="159" spans="2:4" hidden="1" x14ac:dyDescent="0.2">
      <c r="B159" s="203" t="s">
        <v>260</v>
      </c>
      <c r="C159" s="62" t="str">
        <f t="shared" si="2"/>
        <v>Post-it notes, 1 pack of 12, 1 3/8" x 1 7/8"</v>
      </c>
      <c r="D159" s="239">
        <f t="shared" si="3"/>
        <v>0.40625</v>
      </c>
    </row>
    <row r="160" spans="2:4" hidden="1" x14ac:dyDescent="0.2">
      <c r="B160" s="203" t="s">
        <v>261</v>
      </c>
      <c r="C160" s="62" t="str">
        <f t="shared" si="2"/>
        <v>Post-it notes, 1 pack of 12, 2 7/8" x 2 7/8"</v>
      </c>
      <c r="D160" s="239">
        <f t="shared" si="3"/>
        <v>1.18</v>
      </c>
    </row>
    <row r="161" spans="1:4" hidden="1" x14ac:dyDescent="0.2">
      <c r="B161" s="203" t="s">
        <v>262</v>
      </c>
      <c r="C161" s="62" t="str">
        <f t="shared" si="2"/>
        <v>Post-it notes, 1 pack of 12, 2 7/8" x 4 7/8"</v>
      </c>
      <c r="D161" s="239">
        <f t="shared" si="3"/>
        <v>1.9</v>
      </c>
    </row>
    <row r="162" spans="1:4" hidden="1" x14ac:dyDescent="0.2">
      <c r="B162" s="203" t="s">
        <v>263</v>
      </c>
      <c r="C162" s="62" t="str">
        <f t="shared" si="2"/>
        <v>Printer paper, 1 ream, letter 8 1/2" x 11", 500 sheets</v>
      </c>
      <c r="D162" s="239">
        <f t="shared" si="3"/>
        <v>5</v>
      </c>
    </row>
    <row r="163" spans="1:4" hidden="1" x14ac:dyDescent="0.2">
      <c r="B163" s="203" t="s">
        <v>264</v>
      </c>
      <c r="C163" s="62" t="str">
        <f t="shared" si="2"/>
        <v>10 Kraft envelopes, 10" x 13"</v>
      </c>
      <c r="D163" s="239">
        <f t="shared" si="3"/>
        <v>0.48749999999999999</v>
      </c>
    </row>
    <row r="164" spans="1:4" hidden="1" x14ac:dyDescent="0.2">
      <c r="B164" s="203" t="s">
        <v>265</v>
      </c>
      <c r="C164" s="62" t="str">
        <f t="shared" si="2"/>
        <v>50 white business envelopes, Box of No. 10 (4 1/8" x 9 1/2")</v>
      </c>
      <c r="D164" s="239">
        <f t="shared" si="3"/>
        <v>0.625</v>
      </c>
    </row>
    <row r="165" spans="1:4" hidden="1" x14ac:dyDescent="0.2">
      <c r="B165" s="92" t="s">
        <v>266</v>
      </c>
      <c r="C165" s="62" t="str">
        <f t="shared" si="2"/>
        <v>1 book, 2.75 in. thick book</v>
      </c>
      <c r="D165" s="239">
        <f t="shared" si="3"/>
        <v>2.5</v>
      </c>
    </row>
    <row r="166" spans="1:4" hidden="1" x14ac:dyDescent="0.2">
      <c r="B166" s="203" t="s">
        <v>267</v>
      </c>
      <c r="C166" s="62" t="str">
        <f t="shared" si="2"/>
        <v>1 textbook, average H.S. physics textbook</v>
      </c>
      <c r="D166" s="239">
        <f t="shared" si="3"/>
        <v>3.64</v>
      </c>
    </row>
    <row r="167" spans="1:4" hidden="1" x14ac:dyDescent="0.2">
      <c r="B167" s="92" t="s">
        <v>268</v>
      </c>
      <c r="C167" s="62" t="str">
        <f t="shared" si="2"/>
        <v>Spruce/Pine/Fir, board, lbs. per board-foot</v>
      </c>
      <c r="D167" s="239">
        <f t="shared" si="3"/>
        <v>1.65</v>
      </c>
    </row>
    <row r="168" spans="1:4" hidden="1" x14ac:dyDescent="0.2">
      <c r="B168" s="92" t="s">
        <v>269</v>
      </c>
      <c r="C168" s="62" t="str">
        <f t="shared" si="2"/>
        <v>Treated lumber, lbs. per board-foot</v>
      </c>
      <c r="D168" s="239">
        <f t="shared" si="3"/>
        <v>3</v>
      </c>
    </row>
    <row r="169" spans="1:4" hidden="1" x14ac:dyDescent="0.2">
      <c r="B169" s="92" t="s">
        <v>270</v>
      </c>
      <c r="C169" s="62" t="str">
        <f t="shared" si="2"/>
        <v>5/8" particle board, lbs. per sq. foot</v>
      </c>
      <c r="D169" s="239">
        <f t="shared" si="3"/>
        <v>2.4</v>
      </c>
    </row>
    <row r="170" spans="1:4" hidden="1" x14ac:dyDescent="0.2">
      <c r="B170" s="92" t="s">
        <v>271</v>
      </c>
      <c r="C170" s="62" t="str">
        <f t="shared" si="2"/>
        <v>3/8" particle board, lbs. per sq. foot</v>
      </c>
      <c r="D170" s="239">
        <f t="shared" si="3"/>
        <v>1.35</v>
      </c>
    </row>
    <row r="171" spans="1:4" hidden="1" x14ac:dyDescent="0.2">
      <c r="B171" s="154" t="s">
        <v>180</v>
      </c>
    </row>
    <row r="172" spans="1:4" hidden="1" x14ac:dyDescent="0.2">
      <c r="B172" s="63" t="s">
        <v>150</v>
      </c>
    </row>
    <row r="173" spans="1:4" hidden="1" x14ac:dyDescent="0.2">
      <c r="A173" s="60"/>
      <c r="B173" s="33">
        <f>IFERROR(VLOOKUP(D5,C132:$D$170,2,FALSE),0)</f>
        <v>0</v>
      </c>
      <c r="C173" s="61"/>
    </row>
    <row r="174" spans="1:4" x14ac:dyDescent="0.2">
      <c r="B174" s="62"/>
    </row>
  </sheetData>
  <sheetProtection algorithmName="SHA-512" hashValue="J+bqVHh2SN82LGG1LgSka/lWh68bhlELDlCTczgOfCWXCA/xwlsaejdjDbQ1SjDtsCdIarJ2FFk24zpM/vsP5A==" saltValue="aonaYY89M4DNaSH5iOGbaQ==" spinCount="100000" sheet="1" objects="1" scenarios="1"/>
  <mergeCells count="6">
    <mergeCell ref="B1:E1"/>
    <mergeCell ref="B3:E3"/>
    <mergeCell ref="B12:E12"/>
    <mergeCell ref="C8:D8"/>
    <mergeCell ref="C9:D9"/>
    <mergeCell ref="D5:E5"/>
  </mergeCells>
  <phoneticPr fontId="0" type="noConversion"/>
  <dataValidations count="3">
    <dataValidation type="list" allowBlank="1" showInputMessage="1" showErrorMessage="1" sqref="B6" xr:uid="{00000000-0002-0000-0200-000000000000}">
      <formula1>$B$29:$B$67</formula1>
    </dataValidation>
    <dataValidation type="list" allowBlank="1" showInputMessage="1" showErrorMessage="1" sqref="B5" xr:uid="{00000000-0002-0000-0200-000001000000}">
      <formula1>MaterialList</formula1>
    </dataValidation>
    <dataValidation type="list" allowBlank="1" showInputMessage="1" showErrorMessage="1" sqref="D5:E5" xr:uid="{00000000-0002-0000-0200-000002000000}">
      <formula1>$D$115:$D$122</formula1>
    </dataValidation>
  </dataValidations>
  <hyperlinks>
    <hyperlink ref="G4" location="'Input Sheet'!A1" display="Click here to return to the Input Sheet" xr:uid="{00000000-0004-0000-0200-000000000000}"/>
  </hyperlinks>
  <pageMargins left="0.75" right="0.75" top="1" bottom="1" header="0.5" footer="0.5"/>
  <pageSetup scale="91" fitToHeight="0" orientation="landscape" r:id="rId1"/>
  <headerFooter alignWithMargins="0"/>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2D050"/>
    <pageSetUpPr fitToPage="1"/>
  </sheetPr>
  <dimension ref="A1:K41"/>
  <sheetViews>
    <sheetView showGridLines="0" topLeftCell="A2" zoomScaleNormal="100" workbookViewId="0">
      <selection activeCell="B8" sqref="B8"/>
    </sheetView>
  </sheetViews>
  <sheetFormatPr defaultRowHeight="12.75" x14ac:dyDescent="0.2"/>
  <cols>
    <col min="1" max="1" width="3.140625" customWidth="1"/>
    <col min="2" max="2" width="25" customWidth="1"/>
    <col min="3" max="3" width="31.7109375" customWidth="1"/>
    <col min="4" max="4" width="12.140625" customWidth="1"/>
    <col min="5" max="5" width="15.140625" customWidth="1"/>
    <col min="6" max="6" width="17.42578125" customWidth="1"/>
    <col min="7" max="7" width="15.42578125" customWidth="1"/>
    <col min="8" max="8" width="17.42578125" customWidth="1"/>
    <col min="9" max="9" width="15.42578125" customWidth="1"/>
    <col min="10" max="10" width="0.85546875" customWidth="1"/>
    <col min="11" max="11" width="12.7109375" customWidth="1"/>
  </cols>
  <sheetData>
    <row r="1" spans="1:11" ht="13.5" hidden="1" thickBot="1" x14ac:dyDescent="0.25">
      <c r="A1">
        <f>D1</f>
        <v>0</v>
      </c>
    </row>
    <row r="2" spans="1:11" s="9" customFormat="1" ht="18.75" customHeight="1" x14ac:dyDescent="0.25">
      <c r="B2" s="266" t="s">
        <v>102</v>
      </c>
      <c r="C2" s="267"/>
      <c r="D2" s="267"/>
      <c r="E2" s="267"/>
      <c r="F2" s="267"/>
      <c r="G2" s="267"/>
      <c r="H2" s="267"/>
      <c r="I2" s="293"/>
      <c r="J2" s="294"/>
    </row>
    <row r="3" spans="1:11" ht="5.25" customHeight="1" x14ac:dyDescent="0.2"/>
    <row r="4" spans="1:11" ht="43.5" customHeight="1" x14ac:dyDescent="0.2">
      <c r="A4" s="3"/>
      <c r="B4" s="292" t="s">
        <v>280</v>
      </c>
      <c r="C4" s="251"/>
      <c r="D4" s="251"/>
      <c r="E4" s="251"/>
      <c r="F4" s="251"/>
      <c r="G4" s="251"/>
      <c r="H4" s="250"/>
      <c r="I4" s="250"/>
    </row>
    <row r="5" spans="1:11" ht="56.25" customHeight="1" x14ac:dyDescent="0.2">
      <c r="A5" s="10"/>
      <c r="B5" s="249" t="s">
        <v>281</v>
      </c>
      <c r="C5" s="249"/>
      <c r="D5" s="249"/>
      <c r="E5" s="249"/>
      <c r="F5" s="249"/>
      <c r="G5" s="249"/>
      <c r="H5" s="250"/>
      <c r="I5" s="250"/>
    </row>
    <row r="6" spans="1:11" ht="13.5" thickBot="1" x14ac:dyDescent="0.25"/>
    <row r="7" spans="1:11" ht="111" customHeight="1" thickTop="1" thickBot="1" x14ac:dyDescent="0.25">
      <c r="B7" s="18" t="s">
        <v>41</v>
      </c>
      <c r="C7" s="19" t="s">
        <v>1</v>
      </c>
      <c r="D7" s="19" t="s">
        <v>185</v>
      </c>
      <c r="E7" s="19" t="s">
        <v>275</v>
      </c>
      <c r="F7" s="19" t="s">
        <v>279</v>
      </c>
      <c r="G7" s="19" t="s">
        <v>276</v>
      </c>
      <c r="H7" s="19" t="s">
        <v>278</v>
      </c>
      <c r="I7" s="26" t="s">
        <v>277</v>
      </c>
    </row>
    <row r="8" spans="1:11" ht="13.5" thickTop="1" x14ac:dyDescent="0.2">
      <c r="B8" s="20" t="str">
        <f>IF('Input Sheet'!B10=0, "-", ('Input Sheet'!B10))</f>
        <v>-</v>
      </c>
      <c r="C8" s="16" t="s">
        <v>5</v>
      </c>
      <c r="D8" s="49" t="str">
        <f>'Input Sheet'!E10</f>
        <v>-</v>
      </c>
      <c r="E8" s="24">
        <f>'Data &amp; Calcs Sheet'!L5+'Data &amp; Calcs Sheet'!N5+('Data &amp; Calcs Sheet'!U5*(-1))</f>
        <v>10.987815120812538</v>
      </c>
      <c r="F8" s="25" t="str">
        <f t="shared" ref="F8:F27" si="0">IF(ISERROR(E8*D8), "-", (E8*D8))</f>
        <v>-</v>
      </c>
      <c r="G8" s="24">
        <f>'Data &amp; Calcs Sheet'!M5+'Data &amp; Calcs Sheet'!O5+('Data &amp; Calcs Sheet'!V5*(-1))</f>
        <v>10.987815120812538</v>
      </c>
      <c r="H8" s="25" t="str">
        <f t="shared" ref="H8:H27" si="1">IF(ISERROR(G8*D8), "-", (G8*D8))</f>
        <v>-</v>
      </c>
      <c r="I8" s="28" t="str">
        <f t="shared" ref="I8:I27" si="2">IF(ISERROR(H8-F8), "-", (H8-F8))</f>
        <v>-</v>
      </c>
      <c r="K8" s="242"/>
    </row>
    <row r="9" spans="1:11" x14ac:dyDescent="0.2">
      <c r="B9" s="20" t="str">
        <f>IF('Input Sheet'!B11=0, "-", ('Input Sheet'!B11))</f>
        <v>-</v>
      </c>
      <c r="C9" s="16" t="s">
        <v>186</v>
      </c>
      <c r="D9" s="15" t="str">
        <f>'Input Sheet'!E11</f>
        <v>-</v>
      </c>
      <c r="E9" s="24">
        <f>'Data &amp; Calcs Sheet'!L6+'Data &amp; Calcs Sheet'!N6+('Data &amp; Calcs Sheet'!U6*(-1))</f>
        <v>7.4772845674468833</v>
      </c>
      <c r="F9" s="25" t="str">
        <f>IF(ISERROR(E9*D9), "-", (E9*D9))</f>
        <v>-</v>
      </c>
      <c r="G9" s="24">
        <f>'Data &amp; Calcs Sheet'!M6+'Data &amp; Calcs Sheet'!O6+('Data &amp; Calcs Sheet'!V6*(-1))</f>
        <v>7.4772845674468833</v>
      </c>
      <c r="H9" s="23" t="str">
        <f>IF(ISERROR(G9*D9), "-", (G9*D9))</f>
        <v>-</v>
      </c>
      <c r="I9" s="29" t="str">
        <f>IF(ISERROR(H9-F9), "-", (H9-F9))</f>
        <v>-</v>
      </c>
      <c r="K9" s="242"/>
    </row>
    <row r="10" spans="1:11" x14ac:dyDescent="0.2">
      <c r="B10" s="20" t="str">
        <f>IF('Input Sheet'!B12=0, "-", ('Input Sheet'!B12))</f>
        <v>-</v>
      </c>
      <c r="C10" s="14" t="s">
        <v>6</v>
      </c>
      <c r="D10" s="15" t="str">
        <f>'Input Sheet'!E12</f>
        <v>-</v>
      </c>
      <c r="E10" s="24">
        <f>'Data &amp; Calcs Sheet'!L7+'Data &amp; Calcs Sheet'!N7+('Data &amp; Calcs Sheet'!U7*(-1))</f>
        <v>3.6387866232686901</v>
      </c>
      <c r="F10" s="25" t="str">
        <f t="shared" si="0"/>
        <v>-</v>
      </c>
      <c r="G10" s="24">
        <f>'Data &amp; Calcs Sheet'!M7+'Data &amp; Calcs Sheet'!O7+('Data &amp; Calcs Sheet'!V7*(-1))</f>
        <v>3.6387866232686901</v>
      </c>
      <c r="H10" s="23" t="str">
        <f t="shared" si="1"/>
        <v>-</v>
      </c>
      <c r="I10" s="29" t="str">
        <f t="shared" si="2"/>
        <v>-</v>
      </c>
      <c r="K10" s="242"/>
    </row>
    <row r="11" spans="1:11" x14ac:dyDescent="0.2">
      <c r="B11" s="20" t="str">
        <f>IF('Input Sheet'!B13=0, "-", ('Input Sheet'!B13))</f>
        <v>-</v>
      </c>
      <c r="C11" s="14" t="s">
        <v>174</v>
      </c>
      <c r="D11" s="15" t="str">
        <f>'Input Sheet'!E13</f>
        <v>-</v>
      </c>
      <c r="E11" s="24">
        <f>'Data &amp; Calcs Sheet'!L8+'Data &amp; Calcs Sheet'!N8+('Data &amp; Calcs Sheet'!U8*(-1))</f>
        <v>6.7848841310295533</v>
      </c>
      <c r="F11" s="25" t="str">
        <f t="shared" si="0"/>
        <v>-</v>
      </c>
      <c r="G11" s="24">
        <f>'Data &amp; Calcs Sheet'!M8+'Data &amp; Calcs Sheet'!O8+('Data &amp; Calcs Sheet'!V8*(-1))</f>
        <v>6.7848841310295533</v>
      </c>
      <c r="H11" s="23" t="str">
        <f>IF(ISERROR(G11*D11), "-", (G11*D11))</f>
        <v>-</v>
      </c>
      <c r="I11" s="29" t="str">
        <f>IF(ISERROR(H11-F11), "-", (H11-F11))</f>
        <v>-</v>
      </c>
      <c r="K11" s="242"/>
    </row>
    <row r="12" spans="1:11" x14ac:dyDescent="0.2">
      <c r="B12" s="20" t="str">
        <f>IF('Input Sheet'!B14=0, "-", ('Input Sheet'!B14))</f>
        <v>-</v>
      </c>
      <c r="C12" s="14" t="s">
        <v>7</v>
      </c>
      <c r="D12" s="15" t="str">
        <f>'Input Sheet'!E14</f>
        <v>-</v>
      </c>
      <c r="E12" s="24">
        <f>'Data &amp; Calcs Sheet'!L9+'Data &amp; Calcs Sheet'!N9+('Data &amp; Calcs Sheet'!U9*(-1))</f>
        <v>0.603361267430084</v>
      </c>
      <c r="F12" s="25" t="str">
        <f t="shared" si="0"/>
        <v>-</v>
      </c>
      <c r="G12" s="24">
        <f>'Data &amp; Calcs Sheet'!M9+'Data &amp; Calcs Sheet'!O9+('Data &amp; Calcs Sheet'!V9*(-1))</f>
        <v>0.603361267430084</v>
      </c>
      <c r="H12" s="23" t="str">
        <f t="shared" si="1"/>
        <v>-</v>
      </c>
      <c r="I12" s="29" t="str">
        <f t="shared" si="2"/>
        <v>-</v>
      </c>
      <c r="K12" s="242"/>
    </row>
    <row r="13" spans="1:11" x14ac:dyDescent="0.2">
      <c r="B13" s="20" t="str">
        <f>IF('Input Sheet'!B15=0, "-", ('Input Sheet'!B15))</f>
        <v>-</v>
      </c>
      <c r="C13" s="14" t="s">
        <v>8</v>
      </c>
      <c r="D13" s="15" t="str">
        <f>'Input Sheet'!E15</f>
        <v>-</v>
      </c>
      <c r="E13" s="24">
        <f>'Data &amp; Calcs Sheet'!L10+'Data &amp; Calcs Sheet'!N10+('Data &amp; Calcs Sheet'!U10*(-1))</f>
        <v>1.5187460809806346</v>
      </c>
      <c r="F13" s="25" t="str">
        <f t="shared" si="0"/>
        <v>-</v>
      </c>
      <c r="G13" s="24">
        <f>'Data &amp; Calcs Sheet'!M10+'Data &amp; Calcs Sheet'!O10+('Data &amp; Calcs Sheet'!V10*(-1))</f>
        <v>1.5187460809806346</v>
      </c>
      <c r="H13" s="23" t="str">
        <f t="shared" si="1"/>
        <v>-</v>
      </c>
      <c r="I13" s="29" t="str">
        <f t="shared" si="2"/>
        <v>-</v>
      </c>
      <c r="K13" s="242"/>
    </row>
    <row r="14" spans="1:11" x14ac:dyDescent="0.2">
      <c r="B14" s="20" t="str">
        <f>IF('Input Sheet'!B16=0, "-", ('Input Sheet'!B16))</f>
        <v>-</v>
      </c>
      <c r="C14" s="14" t="s">
        <v>9</v>
      </c>
      <c r="D14" s="15" t="str">
        <f>'Input Sheet'!E16</f>
        <v>-</v>
      </c>
      <c r="E14" s="24">
        <f>'Data &amp; Calcs Sheet'!L11+'Data &amp; Calcs Sheet'!N11+('Data &amp; Calcs Sheet'!U11*(-1))</f>
        <v>2.2131778939431932</v>
      </c>
      <c r="F14" s="25" t="str">
        <f t="shared" si="0"/>
        <v>-</v>
      </c>
      <c r="G14" s="24">
        <f>'Data &amp; Calcs Sheet'!M11+'Data &amp; Calcs Sheet'!O11+('Data &amp; Calcs Sheet'!V11*(-1))</f>
        <v>2.2131778939431932</v>
      </c>
      <c r="H14" s="23" t="str">
        <f t="shared" si="1"/>
        <v>-</v>
      </c>
      <c r="I14" s="29" t="str">
        <f t="shared" si="2"/>
        <v>-</v>
      </c>
      <c r="K14" s="242"/>
    </row>
    <row r="15" spans="1:11" x14ac:dyDescent="0.2">
      <c r="B15" s="20" t="str">
        <f>IF('Input Sheet'!B17=0, "-", ('Input Sheet'!B17))</f>
        <v>-</v>
      </c>
      <c r="C15" s="14" t="s">
        <v>10</v>
      </c>
      <c r="D15" s="15" t="str">
        <f>'Input Sheet'!E17</f>
        <v>-</v>
      </c>
      <c r="E15" s="24">
        <f>'Data &amp; Calcs Sheet'!L12+'Data &amp; Calcs Sheet'!N12+('Data &amp; Calcs Sheet'!U12*(-1))</f>
        <v>0.82678453493189941</v>
      </c>
      <c r="F15" s="25" t="str">
        <f t="shared" si="0"/>
        <v>-</v>
      </c>
      <c r="G15" s="24">
        <f>'Data &amp; Calcs Sheet'!M12+'Data &amp; Calcs Sheet'!O12+('Data &amp; Calcs Sheet'!V12*(-1))</f>
        <v>0.82678453493189941</v>
      </c>
      <c r="H15" s="23" t="str">
        <f t="shared" si="1"/>
        <v>-</v>
      </c>
      <c r="I15" s="29" t="str">
        <f t="shared" si="2"/>
        <v>-</v>
      </c>
      <c r="K15" s="242"/>
    </row>
    <row r="16" spans="1:11" x14ac:dyDescent="0.2">
      <c r="B16" s="20" t="str">
        <f>IF('Input Sheet'!B18=0, "-", ('Input Sheet'!B18))</f>
        <v>-</v>
      </c>
      <c r="C16" s="14" t="s">
        <v>11</v>
      </c>
      <c r="D16" s="15" t="str">
        <f>'Input Sheet'!E18</f>
        <v>-</v>
      </c>
      <c r="E16" s="24">
        <f>'Data &amp; Calcs Sheet'!L13+'Data &amp; Calcs Sheet'!N13+('Data &amp; Calcs Sheet'!U13*(-1))</f>
        <v>1.605519112340678</v>
      </c>
      <c r="F16" s="25" t="str">
        <f t="shared" si="0"/>
        <v>-</v>
      </c>
      <c r="G16" s="24">
        <f>'Data &amp; Calcs Sheet'!M13+'Data &amp; Calcs Sheet'!O13+('Data &amp; Calcs Sheet'!V13*(-1))</f>
        <v>1.605519112340678</v>
      </c>
      <c r="H16" s="23" t="str">
        <f t="shared" si="1"/>
        <v>-</v>
      </c>
      <c r="I16" s="29" t="str">
        <f t="shared" si="2"/>
        <v>-</v>
      </c>
      <c r="K16" s="242"/>
    </row>
    <row r="17" spans="2:11" x14ac:dyDescent="0.2">
      <c r="B17" s="20" t="str">
        <f>IF('Input Sheet'!B19=0, "-", ('Input Sheet'!B19))</f>
        <v>-</v>
      </c>
      <c r="C17" s="14" t="s">
        <v>12</v>
      </c>
      <c r="D17" s="15" t="str">
        <f>'Input Sheet'!E19</f>
        <v>-</v>
      </c>
      <c r="E17" s="24">
        <f>'Data &amp; Calcs Sheet'!L14+'Data &amp; Calcs Sheet'!N14+('Data &amp; Calcs Sheet'!U14*(-1))</f>
        <v>1.9049704608898894</v>
      </c>
      <c r="F17" s="25" t="str">
        <f t="shared" si="0"/>
        <v>-</v>
      </c>
      <c r="G17" s="24">
        <f>'Data &amp; Calcs Sheet'!M14+'Data &amp; Calcs Sheet'!O14+('Data &amp; Calcs Sheet'!V14*(-1))</f>
        <v>1.9049704608898894</v>
      </c>
      <c r="H17" s="23" t="str">
        <f t="shared" si="1"/>
        <v>-</v>
      </c>
      <c r="I17" s="29" t="str">
        <f t="shared" si="2"/>
        <v>-</v>
      </c>
      <c r="K17" s="242"/>
    </row>
    <row r="18" spans="2:11" x14ac:dyDescent="0.2">
      <c r="B18" s="20" t="str">
        <f>IF('Input Sheet'!B20=0, "-", ('Input Sheet'!B20))</f>
        <v>-</v>
      </c>
      <c r="C18" s="14" t="s">
        <v>13</v>
      </c>
      <c r="D18" s="15" t="str">
        <f>'Input Sheet'!E20</f>
        <v>-</v>
      </c>
      <c r="E18" s="24">
        <f>'Data &amp; Calcs Sheet'!L15+'Data &amp; Calcs Sheet'!N15+('Data &amp; Calcs Sheet'!U15*(-1))</f>
        <v>0.97420499565486507</v>
      </c>
      <c r="F18" s="25" t="str">
        <f t="shared" si="0"/>
        <v>-</v>
      </c>
      <c r="G18" s="24">
        <f>'Data &amp; Calcs Sheet'!M15+'Data &amp; Calcs Sheet'!O15+('Data &amp; Calcs Sheet'!V15*(-1))</f>
        <v>0.97420499565486507</v>
      </c>
      <c r="H18" s="23" t="str">
        <f t="shared" si="1"/>
        <v>-</v>
      </c>
      <c r="I18" s="29" t="str">
        <f t="shared" si="2"/>
        <v>-</v>
      </c>
      <c r="K18" s="242"/>
    </row>
    <row r="19" spans="2:11" x14ac:dyDescent="0.2">
      <c r="B19" s="20" t="str">
        <f>IF('Input Sheet'!B21=0, "-", ('Input Sheet'!B21))</f>
        <v>-</v>
      </c>
      <c r="C19" s="14" t="s">
        <v>14</v>
      </c>
      <c r="D19" s="15" t="str">
        <f>'Input Sheet'!E21</f>
        <v>-</v>
      </c>
      <c r="E19" s="24">
        <f>'Data &amp; Calcs Sheet'!L16+'Data &amp; Calcs Sheet'!N16+('Data &amp; Calcs Sheet'!U16*(-1))</f>
        <v>2.3338585504283667</v>
      </c>
      <c r="F19" s="25" t="str">
        <f t="shared" si="0"/>
        <v>-</v>
      </c>
      <c r="G19" s="24">
        <f>'Data &amp; Calcs Sheet'!M16+'Data &amp; Calcs Sheet'!O16+('Data &amp; Calcs Sheet'!V16*(-1))</f>
        <v>2.3338585504283667</v>
      </c>
      <c r="H19" s="23" t="str">
        <f t="shared" si="1"/>
        <v>-</v>
      </c>
      <c r="I19" s="29" t="str">
        <f t="shared" si="2"/>
        <v>-</v>
      </c>
      <c r="K19" s="242"/>
    </row>
    <row r="20" spans="2:11" x14ac:dyDescent="0.2">
      <c r="B20" s="20" t="str">
        <f>IF('Input Sheet'!B22=0, "-", ('Input Sheet'!B22))</f>
        <v>-</v>
      </c>
      <c r="C20" s="14" t="s">
        <v>15</v>
      </c>
      <c r="D20" s="15" t="str">
        <f>'Input Sheet'!E22</f>
        <v>-</v>
      </c>
      <c r="E20" s="24">
        <f>'Data &amp; Calcs Sheet'!L17+'Data &amp; Calcs Sheet'!N17+('Data &amp; Calcs Sheet'!U17*(-1))</f>
        <v>2.0652331224675518</v>
      </c>
      <c r="F20" s="25" t="str">
        <f t="shared" si="0"/>
        <v>-</v>
      </c>
      <c r="G20" s="24">
        <f>'Data &amp; Calcs Sheet'!M17+'Data &amp; Calcs Sheet'!O17+('Data &amp; Calcs Sheet'!V17*(-1))</f>
        <v>2.0652331224675518</v>
      </c>
      <c r="H20" s="23" t="str">
        <f t="shared" si="1"/>
        <v>-</v>
      </c>
      <c r="I20" s="29" t="str">
        <f t="shared" si="2"/>
        <v>-</v>
      </c>
      <c r="K20" s="242"/>
    </row>
    <row r="21" spans="2:11" x14ac:dyDescent="0.2">
      <c r="B21" s="20" t="str">
        <f>IF('Input Sheet'!B23=0, "-", ('Input Sheet'!B23))</f>
        <v>-</v>
      </c>
      <c r="C21" s="14" t="s">
        <v>16</v>
      </c>
      <c r="D21" s="15" t="str">
        <f>'Input Sheet'!E23</f>
        <v>-</v>
      </c>
      <c r="E21" s="24">
        <f>'Data &amp; Calcs Sheet'!L18+'Data &amp; Calcs Sheet'!N18+('Data &amp; Calcs Sheet'!U18*(-1))</f>
        <v>0.17733937644575259</v>
      </c>
      <c r="F21" s="25" t="str">
        <f t="shared" si="0"/>
        <v>-</v>
      </c>
      <c r="G21" s="24">
        <f>'Data &amp; Calcs Sheet'!M18+'Data &amp; Calcs Sheet'!O18+('Data &amp; Calcs Sheet'!V18*(-1))</f>
        <v>0.17733937644575259</v>
      </c>
      <c r="H21" s="23" t="str">
        <f t="shared" si="1"/>
        <v>-</v>
      </c>
      <c r="I21" s="29" t="str">
        <f t="shared" si="2"/>
        <v>-</v>
      </c>
      <c r="K21" s="242"/>
    </row>
    <row r="22" spans="2:11" x14ac:dyDescent="0.2">
      <c r="B22" s="20" t="str">
        <f>IF('Input Sheet'!B24=0, "-", ('Input Sheet'!B24))</f>
        <v>-</v>
      </c>
      <c r="C22" s="14" t="s">
        <v>17</v>
      </c>
      <c r="D22" s="15" t="str">
        <f>'Input Sheet'!E24</f>
        <v>-</v>
      </c>
      <c r="E22" s="24">
        <f>'Data &amp; Calcs Sheet'!L19+'Data &amp; Calcs Sheet'!N19+('Data &amp; Calcs Sheet'!U19*(-1))</f>
        <v>0.37802115645110884</v>
      </c>
      <c r="F22" s="25" t="str">
        <f t="shared" si="0"/>
        <v>-</v>
      </c>
      <c r="G22" s="24">
        <f>'Data &amp; Calcs Sheet'!M19+'Data &amp; Calcs Sheet'!O19+('Data &amp; Calcs Sheet'!V19*(-1))</f>
        <v>0.37802115645110884</v>
      </c>
      <c r="H22" s="23" t="str">
        <f t="shared" si="1"/>
        <v>-</v>
      </c>
      <c r="I22" s="29" t="str">
        <f t="shared" si="2"/>
        <v>-</v>
      </c>
      <c r="K22" s="242"/>
    </row>
    <row r="23" spans="2:11" x14ac:dyDescent="0.2">
      <c r="B23" s="20" t="str">
        <f>IF('Input Sheet'!B25=0, "-", ('Input Sheet'!B25))</f>
        <v>-</v>
      </c>
      <c r="C23" s="14" t="s">
        <v>187</v>
      </c>
      <c r="D23" s="15" t="str">
        <f>'Input Sheet'!E25</f>
        <v>-</v>
      </c>
      <c r="E23" s="24">
        <f>'Data &amp; Calcs Sheet'!L20+'Data &amp; Calcs Sheet'!N20+('Data &amp; Calcs Sheet'!U20*(-1))</f>
        <v>1.1773320154991123</v>
      </c>
      <c r="F23" s="25" t="str">
        <f>IF(ISERROR(E23*D23), "-", (E23*D23))</f>
        <v>-</v>
      </c>
      <c r="G23" s="24">
        <f>'Data &amp; Calcs Sheet'!M20+'Data &amp; Calcs Sheet'!O20+('Data &amp; Calcs Sheet'!V20*(-1))</f>
        <v>1.1773320154991123</v>
      </c>
      <c r="H23" s="23" t="str">
        <f>IF(ISERROR(G23*D23), "-", (G23*D23))</f>
        <v>-</v>
      </c>
      <c r="I23" s="29" t="str">
        <f>IF(ISERROR(H23-F23), "-", (H23-F23))</f>
        <v>-</v>
      </c>
      <c r="K23" s="242"/>
    </row>
    <row r="24" spans="2:11" x14ac:dyDescent="0.2">
      <c r="B24" s="20" t="str">
        <f>IF('Input Sheet'!B26=0, "-", ('Input Sheet'!B26))</f>
        <v>-</v>
      </c>
      <c r="C24" s="14" t="s">
        <v>189</v>
      </c>
      <c r="D24" s="15" t="str">
        <f>'Input Sheet'!E26</f>
        <v>-</v>
      </c>
      <c r="E24" s="24">
        <f>'Data &amp; Calcs Sheet'!L21+'Data &amp; Calcs Sheet'!N21+('Data &amp; Calcs Sheet'!U21*(-1))</f>
        <v>1.1732796201443303</v>
      </c>
      <c r="F24" s="25" t="str">
        <f>IF(ISERROR(E24*D24), "-", (E24*D24))</f>
        <v>-</v>
      </c>
      <c r="G24" s="24">
        <f>'Data &amp; Calcs Sheet'!M21+'Data &amp; Calcs Sheet'!O21+('Data &amp; Calcs Sheet'!V21*(-1))</f>
        <v>1.1732796201443303</v>
      </c>
      <c r="H24" s="23" t="str">
        <f>IF(ISERROR(G24*D24), "-", (G24*D24))</f>
        <v>-</v>
      </c>
      <c r="I24" s="29" t="str">
        <f>IF(ISERROR(H24-F24), "-", (H24-F24))</f>
        <v>-</v>
      </c>
      <c r="K24" s="242"/>
    </row>
    <row r="25" spans="2:11" x14ac:dyDescent="0.2">
      <c r="B25" s="20" t="str">
        <f>IF('Input Sheet'!B27=0, "-", ('Input Sheet'!B27))</f>
        <v>-</v>
      </c>
      <c r="C25" s="14" t="s">
        <v>188</v>
      </c>
      <c r="D25" s="15" t="str">
        <f>'Input Sheet'!E27</f>
        <v>-</v>
      </c>
      <c r="E25" s="24">
        <f>'Data &amp; Calcs Sheet'!L22+'Data &amp; Calcs Sheet'!N22+('Data &amp; Calcs Sheet'!U22*(-1))</f>
        <v>1.3895678023249647</v>
      </c>
      <c r="F25" s="25" t="str">
        <f>IF(ISERROR(E25*D25), "-", (E25*D25))</f>
        <v>-</v>
      </c>
      <c r="G25" s="24">
        <f>'Data &amp; Calcs Sheet'!M22+'Data &amp; Calcs Sheet'!O22+('Data &amp; Calcs Sheet'!V22*(-1))</f>
        <v>1.3895678023249647</v>
      </c>
      <c r="H25" s="23" t="str">
        <f>IF(ISERROR(G25*D25), "-", (G25*D25))</f>
        <v>-</v>
      </c>
      <c r="I25" s="29" t="str">
        <f>IF(ISERROR(H25-F25), "-", (H25-F25))</f>
        <v>-</v>
      </c>
      <c r="K25" s="242"/>
    </row>
    <row r="26" spans="2:11" ht="14.25" x14ac:dyDescent="0.2">
      <c r="B26" s="20" t="str">
        <f>IF('Input Sheet'!B28=0, "-", ('Input Sheet'!B28))</f>
        <v>-</v>
      </c>
      <c r="C26" s="216" t="s">
        <v>214</v>
      </c>
      <c r="D26" s="15" t="str">
        <f>'Input Sheet'!E28</f>
        <v>-</v>
      </c>
      <c r="E26" s="24">
        <f>'Data &amp; Calcs Sheet'!L23+'Data &amp; Calcs Sheet'!N23+('Data &amp; Calcs Sheet'!U23*(-1))</f>
        <v>6.2167180857578943</v>
      </c>
      <c r="F26" s="25" t="str">
        <f t="shared" si="0"/>
        <v>-</v>
      </c>
      <c r="G26" s="24">
        <f>'Data &amp; Calcs Sheet'!M23+'Data &amp; Calcs Sheet'!O23+('Data &amp; Calcs Sheet'!V23*(-1))</f>
        <v>6.2167180857578943</v>
      </c>
      <c r="H26" s="23" t="str">
        <f t="shared" si="1"/>
        <v>-</v>
      </c>
      <c r="I26" s="29" t="str">
        <f t="shared" si="2"/>
        <v>-</v>
      </c>
      <c r="K26" s="242"/>
    </row>
    <row r="27" spans="2:11" ht="15" thickBot="1" x14ac:dyDescent="0.25">
      <c r="B27" s="20" t="str">
        <f>IF('Input Sheet'!B29=0, "-", ('Input Sheet'!B29))</f>
        <v>-</v>
      </c>
      <c r="C27" s="216" t="s">
        <v>215</v>
      </c>
      <c r="D27" s="15" t="str">
        <f>'Input Sheet'!E29</f>
        <v>-</v>
      </c>
      <c r="E27" s="27">
        <f>'Data &amp; Calcs Sheet'!L24+'Data &amp; Calcs Sheet'!N24+('Data &amp; Calcs Sheet'!U24*(-1))</f>
        <v>1.9371857631503815</v>
      </c>
      <c r="F27" s="212" t="str">
        <f t="shared" si="0"/>
        <v>-</v>
      </c>
      <c r="G27" s="27">
        <f>'Data &amp; Calcs Sheet'!M24+'Data &amp; Calcs Sheet'!O24+('Data &amp; Calcs Sheet'!V24*(-1))</f>
        <v>1.9371857631503815</v>
      </c>
      <c r="H27" s="212" t="str">
        <f t="shared" si="1"/>
        <v>-</v>
      </c>
      <c r="I27" s="30" t="str">
        <f t="shared" si="2"/>
        <v>-</v>
      </c>
      <c r="K27" s="242"/>
    </row>
    <row r="28" spans="2:11" ht="14.25" thickTop="1" thickBot="1" x14ac:dyDescent="0.25">
      <c r="B28" s="38" t="s">
        <v>19</v>
      </c>
      <c r="C28" s="39"/>
      <c r="D28" s="40"/>
      <c r="E28" s="41" t="s">
        <v>23</v>
      </c>
      <c r="F28" s="32">
        <f>SUM(F8:F27)</f>
        <v>0</v>
      </c>
      <c r="G28" s="42" t="s">
        <v>21</v>
      </c>
      <c r="H28" s="32">
        <f>SUM(H8:H27)</f>
        <v>0</v>
      </c>
      <c r="I28" s="31">
        <f>SUM(I8:I27)</f>
        <v>0</v>
      </c>
    </row>
    <row r="29" spans="2:11" ht="13.5" thickTop="1" x14ac:dyDescent="0.2">
      <c r="B29" s="8" t="s">
        <v>35</v>
      </c>
    </row>
    <row r="30" spans="2:11" x14ac:dyDescent="0.2">
      <c r="B30" s="35" t="s">
        <v>283</v>
      </c>
    </row>
    <row r="31" spans="2:11" ht="13.5" x14ac:dyDescent="0.2">
      <c r="B31" s="7" t="s">
        <v>33</v>
      </c>
    </row>
    <row r="32" spans="2:11" ht="13.5" x14ac:dyDescent="0.2">
      <c r="B32" s="7" t="s">
        <v>213</v>
      </c>
    </row>
    <row r="33" spans="2:9" ht="14.25" thickBot="1" x14ac:dyDescent="0.25">
      <c r="B33" s="7"/>
    </row>
    <row r="34" spans="2:9" ht="16.5" thickBot="1" x14ac:dyDescent="0.3">
      <c r="H34" s="51" t="s">
        <v>44</v>
      </c>
      <c r="I34" s="51" t="s">
        <v>32</v>
      </c>
    </row>
    <row r="35" spans="2:9" ht="13.5" thickBot="1" x14ac:dyDescent="0.25">
      <c r="B35" s="12" t="s">
        <v>36</v>
      </c>
      <c r="H35" s="52">
        <f>F28</f>
        <v>0</v>
      </c>
      <c r="I35" s="52">
        <f>H35/(44/12)</f>
        <v>0</v>
      </c>
    </row>
    <row r="36" spans="2:9" ht="13.5" thickBot="1" x14ac:dyDescent="0.25">
      <c r="B36" s="12" t="s">
        <v>37</v>
      </c>
      <c r="H36" s="52">
        <f>H28</f>
        <v>0</v>
      </c>
      <c r="I36" s="52">
        <f>H36/(44/12)</f>
        <v>0</v>
      </c>
    </row>
    <row r="37" spans="2:9" ht="16.5" thickBot="1" x14ac:dyDescent="0.3">
      <c r="B37" s="36" t="s">
        <v>38</v>
      </c>
      <c r="H37" s="56">
        <f>I28</f>
        <v>0</v>
      </c>
      <c r="I37" s="56">
        <f>I36-I35</f>
        <v>0</v>
      </c>
    </row>
    <row r="38" spans="2:9" ht="22.5" customHeight="1" thickBot="1" x14ac:dyDescent="0.25">
      <c r="B38" s="163" t="s">
        <v>160</v>
      </c>
    </row>
    <row r="39" spans="2:9" ht="16.5" thickBot="1" x14ac:dyDescent="0.3">
      <c r="B39" s="36" t="s">
        <v>182</v>
      </c>
      <c r="H39" s="159">
        <f>H37/'Data &amp; Calcs Sheet'!C52*-1</f>
        <v>0</v>
      </c>
      <c r="I39" s="55" t="s">
        <v>45</v>
      </c>
    </row>
    <row r="40" spans="2:9" ht="15.75" x14ac:dyDescent="0.25">
      <c r="H40" s="53"/>
      <c r="I40" s="54"/>
    </row>
    <row r="41" spans="2:9" ht="25.5" x14ac:dyDescent="0.2">
      <c r="B41" s="224" t="s">
        <v>282</v>
      </c>
      <c r="C41" s="224" t="s">
        <v>229</v>
      </c>
    </row>
  </sheetData>
  <sheetProtection algorithmName="SHA-512" hashValue="/MHQd3xcL+5uCwLUaoTksPgYseh7R4IoDoUQGuh+ZfDGJi/QMQ72E4qcxpH7y63imhtsAuakPAk7CnvoCXPX1A==" saltValue="V1l7RFg7kzJMMUtQxAJJlw==" spinCount="100000" sheet="1" objects="1" scenarios="1"/>
  <mergeCells count="3">
    <mergeCell ref="B4:I4"/>
    <mergeCell ref="B5:I5"/>
    <mergeCell ref="B2:J2"/>
  </mergeCells>
  <phoneticPr fontId="0" type="noConversion"/>
  <hyperlinks>
    <hyperlink ref="B41" location="'Input Sheet'!A1" display="Click here to return to the Input Sheet" xr:uid="{00000000-0004-0000-0300-000000000000}"/>
    <hyperlink ref="C41" location="'Energy Output Sheet'!A1" display="Click here to proceed to the Energy Output Sheet" xr:uid="{00000000-0004-0000-0300-000001000000}"/>
  </hyperlinks>
  <pageMargins left="0.75" right="0.75" top="1" bottom="1" header="0.5" footer="0.5"/>
  <pageSetup scale="88" fitToHeight="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1:J39"/>
  <sheetViews>
    <sheetView showGridLines="0" topLeftCell="A2" zoomScaleNormal="100" workbookViewId="0">
      <selection activeCell="I28" sqref="I28"/>
    </sheetView>
  </sheetViews>
  <sheetFormatPr defaultRowHeight="12.75" x14ac:dyDescent="0.2"/>
  <cols>
    <col min="1" max="1" width="3.140625" customWidth="1"/>
    <col min="2" max="2" width="23.85546875" customWidth="1"/>
    <col min="3" max="3" width="32.28515625" customWidth="1"/>
    <col min="4" max="4" width="12.140625" customWidth="1"/>
    <col min="5" max="5" width="15.140625" customWidth="1"/>
    <col min="6" max="6" width="17.42578125" customWidth="1"/>
    <col min="7" max="7" width="15.42578125" customWidth="1"/>
    <col min="8" max="8" width="17.42578125" customWidth="1"/>
    <col min="9" max="9" width="15.42578125" customWidth="1"/>
    <col min="10" max="10" width="0.85546875" customWidth="1"/>
  </cols>
  <sheetData>
    <row r="1" spans="1:10" hidden="1" x14ac:dyDescent="0.2">
      <c r="A1">
        <f>D1</f>
        <v>0</v>
      </c>
    </row>
    <row r="2" spans="1:10" s="9" customFormat="1" ht="18.75" customHeight="1" x14ac:dyDescent="0.25">
      <c r="B2" s="266" t="s">
        <v>103</v>
      </c>
      <c r="C2" s="267"/>
      <c r="D2" s="267"/>
      <c r="E2" s="267"/>
      <c r="F2" s="267"/>
      <c r="G2" s="267"/>
      <c r="H2" s="267"/>
      <c r="I2" s="268"/>
      <c r="J2" s="269"/>
    </row>
    <row r="3" spans="1:10" ht="5.25" customHeight="1" x14ac:dyDescent="0.2"/>
    <row r="4" spans="1:10" ht="43.5" customHeight="1" x14ac:dyDescent="0.2">
      <c r="A4" s="3"/>
      <c r="B4" s="292" t="s">
        <v>285</v>
      </c>
      <c r="C4" s="251"/>
      <c r="D4" s="251"/>
      <c r="E4" s="251"/>
      <c r="F4" s="251"/>
      <c r="G4" s="251"/>
      <c r="H4" s="250"/>
      <c r="I4" s="250"/>
    </row>
    <row r="5" spans="1:10" ht="56.25" customHeight="1" x14ac:dyDescent="0.2">
      <c r="A5" s="10"/>
      <c r="B5" s="249" t="s">
        <v>286</v>
      </c>
      <c r="C5" s="249"/>
      <c r="D5" s="249"/>
      <c r="E5" s="249"/>
      <c r="F5" s="249"/>
      <c r="G5" s="249"/>
      <c r="H5" s="249"/>
      <c r="I5" s="249"/>
    </row>
    <row r="6" spans="1:10" ht="13.5" thickBot="1" x14ac:dyDescent="0.25"/>
    <row r="7" spans="1:10" ht="111" customHeight="1" thickTop="1" thickBot="1" x14ac:dyDescent="0.25">
      <c r="B7" s="18" t="s">
        <v>41</v>
      </c>
      <c r="C7" s="19" t="s">
        <v>1</v>
      </c>
      <c r="D7" s="19" t="s">
        <v>185</v>
      </c>
      <c r="E7" s="19" t="s">
        <v>287</v>
      </c>
      <c r="F7" s="19" t="s">
        <v>289</v>
      </c>
      <c r="G7" s="19" t="s">
        <v>288</v>
      </c>
      <c r="H7" s="19" t="s">
        <v>290</v>
      </c>
      <c r="I7" s="26" t="s">
        <v>291</v>
      </c>
    </row>
    <row r="8" spans="1:10" ht="13.5" thickTop="1" x14ac:dyDescent="0.2">
      <c r="B8" s="20" t="str">
        <f>IF('Input Sheet'!B10=0, "-", ('Input Sheet'!B10))</f>
        <v>-</v>
      </c>
      <c r="C8" s="16" t="s">
        <v>5</v>
      </c>
      <c r="D8" s="49" t="str">
        <f>'Input Sheet'!E10</f>
        <v>-</v>
      </c>
      <c r="E8" s="24">
        <f>'Data &amp; Calcs Sheet'!L29+('Data &amp; Calcs Sheet'!U29*(-1))</f>
        <v>200.56711325446287</v>
      </c>
      <c r="F8" s="24" t="str">
        <f>IF(ISERROR(E8*D8), "-", (E8*D8))</f>
        <v>-</v>
      </c>
      <c r="G8" s="24">
        <f>'Data &amp; Calcs Sheet'!M29+('Data &amp; Calcs Sheet'!V29*(-1))</f>
        <v>200.56711325446287</v>
      </c>
      <c r="H8" s="24" t="str">
        <f>IF(ISERROR(G8*D8), "-", (G8*D8))</f>
        <v>-</v>
      </c>
      <c r="I8" s="187" t="str">
        <f>IF(ISERROR(H8-F8), "-", (H8-F8))</f>
        <v>-</v>
      </c>
    </row>
    <row r="9" spans="1:10" x14ac:dyDescent="0.2">
      <c r="B9" s="20" t="str">
        <f>IF('Input Sheet'!B11=0, "-", ('Input Sheet'!B11))</f>
        <v>-</v>
      </c>
      <c r="C9" s="16" t="s">
        <v>186</v>
      </c>
      <c r="D9" s="15" t="str">
        <f>'Input Sheet'!E11</f>
        <v>-</v>
      </c>
      <c r="E9" s="24">
        <f>'Data &amp; Calcs Sheet'!L30+('Data &amp; Calcs Sheet'!U30*(-1))</f>
        <v>126.94877293249891</v>
      </c>
      <c r="F9" s="24" t="str">
        <f t="shared" ref="F9:F27" si="0">IF(ISERROR(E9*D9), "-", (E9*D9))</f>
        <v>-</v>
      </c>
      <c r="G9" s="24">
        <f>'Data &amp; Calcs Sheet'!M30+('Data &amp; Calcs Sheet'!V30*(-1))</f>
        <v>126.94877293249891</v>
      </c>
      <c r="H9" s="24" t="str">
        <f t="shared" ref="H9:H27" si="1">IF(ISERROR(G9*D9), "-", (G9*D9))</f>
        <v>-</v>
      </c>
      <c r="I9" s="187" t="str">
        <f t="shared" ref="I9:I27" si="2">IF(ISERROR(H9-F9), "-", (H9-F9))</f>
        <v>-</v>
      </c>
    </row>
    <row r="10" spans="1:10" x14ac:dyDescent="0.2">
      <c r="B10" s="20" t="str">
        <f>IF('Input Sheet'!B12=0, "-", ('Input Sheet'!B12))</f>
        <v>-</v>
      </c>
      <c r="C10" s="14" t="s">
        <v>6</v>
      </c>
      <c r="D10" s="15" t="str">
        <f>'Input Sheet'!E12</f>
        <v>-</v>
      </c>
      <c r="E10" s="24">
        <f>'Data &amp; Calcs Sheet'!L31+('Data &amp; Calcs Sheet'!U31*(-1))</f>
        <v>36.542744907957726</v>
      </c>
      <c r="F10" s="24" t="str">
        <f t="shared" si="0"/>
        <v>-</v>
      </c>
      <c r="G10" s="24">
        <f>'Data &amp; Calcs Sheet'!M31+('Data &amp; Calcs Sheet'!V31*(-1))</f>
        <v>36.542744907957726</v>
      </c>
      <c r="H10" s="24" t="str">
        <f t="shared" si="1"/>
        <v>-</v>
      </c>
      <c r="I10" s="187" t="str">
        <f t="shared" si="2"/>
        <v>-</v>
      </c>
    </row>
    <row r="11" spans="1:10" x14ac:dyDescent="0.2">
      <c r="B11" s="20" t="str">
        <f>IF('Input Sheet'!B13=0, "-", ('Input Sheet'!B13))</f>
        <v>-</v>
      </c>
      <c r="C11" s="14" t="s">
        <v>174</v>
      </c>
      <c r="D11" s="15" t="str">
        <f>'Input Sheet'!E13</f>
        <v>-</v>
      </c>
      <c r="E11" s="24">
        <f>'Data &amp; Calcs Sheet'!L32+('Data &amp; Calcs Sheet'!U32*(-1))</f>
        <v>123.3456153694962</v>
      </c>
      <c r="F11" s="24" t="str">
        <f t="shared" si="0"/>
        <v>-</v>
      </c>
      <c r="G11" s="24">
        <f>'Data &amp; Calcs Sheet'!M32+('Data &amp; Calcs Sheet'!V32*(-1))</f>
        <v>123.3456153694962</v>
      </c>
      <c r="H11" s="24" t="str">
        <f t="shared" si="1"/>
        <v>-</v>
      </c>
      <c r="I11" s="187" t="str">
        <f t="shared" si="2"/>
        <v>-</v>
      </c>
    </row>
    <row r="12" spans="1:10" x14ac:dyDescent="0.2">
      <c r="B12" s="20" t="str">
        <f>IF('Input Sheet'!B14=0, "-", ('Input Sheet'!B14))</f>
        <v>-</v>
      </c>
      <c r="C12" s="14" t="s">
        <v>7</v>
      </c>
      <c r="D12" s="15" t="str">
        <f>'Input Sheet'!E14</f>
        <v>-</v>
      </c>
      <c r="E12" s="24">
        <f>'Data &amp; Calcs Sheet'!L33+('Data &amp; Calcs Sheet'!U33*(-1))</f>
        <v>7.4630021214459079</v>
      </c>
      <c r="F12" s="24" t="str">
        <f t="shared" si="0"/>
        <v>-</v>
      </c>
      <c r="G12" s="24">
        <f>'Data &amp; Calcs Sheet'!M33+('Data &amp; Calcs Sheet'!V33*(-1))</f>
        <v>7.4630021214459079</v>
      </c>
      <c r="H12" s="24" t="str">
        <f t="shared" si="1"/>
        <v>-</v>
      </c>
      <c r="I12" s="187" t="str">
        <f t="shared" si="2"/>
        <v>-</v>
      </c>
    </row>
    <row r="13" spans="1:10" x14ac:dyDescent="0.2">
      <c r="B13" s="20" t="str">
        <f>IF('Input Sheet'!B15=0, "-", ('Input Sheet'!B15))</f>
        <v>-</v>
      </c>
      <c r="C13" s="14" t="s">
        <v>8</v>
      </c>
      <c r="D13" s="15" t="str">
        <f>'Input Sheet'!E15</f>
        <v>-</v>
      </c>
      <c r="E13" s="24">
        <f>'Data &amp; Calcs Sheet'!L34+('Data &amp; Calcs Sheet'!U34*(-1))</f>
        <v>66.986711738755403</v>
      </c>
      <c r="F13" s="24" t="str">
        <f t="shared" si="0"/>
        <v>-</v>
      </c>
      <c r="G13" s="24">
        <f>'Data &amp; Calcs Sheet'!M34+('Data &amp; Calcs Sheet'!V34*(-1))</f>
        <v>66.986711738755403</v>
      </c>
      <c r="H13" s="24" t="str">
        <f t="shared" si="1"/>
        <v>-</v>
      </c>
      <c r="I13" s="187" t="str">
        <f t="shared" si="2"/>
        <v>-</v>
      </c>
    </row>
    <row r="14" spans="1:10" x14ac:dyDescent="0.2">
      <c r="B14" s="20" t="str">
        <f>IF('Input Sheet'!B16=0, "-", ('Input Sheet'!B16))</f>
        <v>-</v>
      </c>
      <c r="C14" s="14" t="s">
        <v>9</v>
      </c>
      <c r="D14" s="15" t="str">
        <f>'Input Sheet'!E16</f>
        <v>-</v>
      </c>
      <c r="E14" s="24">
        <f>'Data &amp; Calcs Sheet'!L35+('Data &amp; Calcs Sheet'!U35*(-1))</f>
        <v>51.132633070362225</v>
      </c>
      <c r="F14" s="24" t="str">
        <f t="shared" si="0"/>
        <v>-</v>
      </c>
      <c r="G14" s="24">
        <f>'Data &amp; Calcs Sheet'!M35+('Data &amp; Calcs Sheet'!V35*(-1))</f>
        <v>51.132633070362225</v>
      </c>
      <c r="H14" s="24" t="str">
        <f t="shared" si="1"/>
        <v>-</v>
      </c>
      <c r="I14" s="187" t="str">
        <f t="shared" si="2"/>
        <v>-</v>
      </c>
    </row>
    <row r="15" spans="1:10" x14ac:dyDescent="0.2">
      <c r="B15" s="20" t="str">
        <f>IF('Input Sheet'!B17=0, "-", ('Input Sheet'!B17))</f>
        <v>-</v>
      </c>
      <c r="C15" s="14" t="s">
        <v>10</v>
      </c>
      <c r="D15" s="15" t="str">
        <f>'Input Sheet'!E17</f>
        <v>-</v>
      </c>
      <c r="E15" s="24">
        <f>'Data &amp; Calcs Sheet'!L36+('Data &amp; Calcs Sheet'!U36*(-1))</f>
        <v>27.175692842518995</v>
      </c>
      <c r="F15" s="24" t="str">
        <f t="shared" si="0"/>
        <v>-</v>
      </c>
      <c r="G15" s="24">
        <f>'Data &amp; Calcs Sheet'!M36+('Data &amp; Calcs Sheet'!V36*(-1))</f>
        <v>27.175692842518995</v>
      </c>
      <c r="H15" s="24" t="str">
        <f t="shared" si="1"/>
        <v>-</v>
      </c>
      <c r="I15" s="187" t="str">
        <f t="shared" si="2"/>
        <v>-</v>
      </c>
    </row>
    <row r="16" spans="1:10" x14ac:dyDescent="0.2">
      <c r="B16" s="20" t="str">
        <f>IF('Input Sheet'!B18=0, "-", ('Input Sheet'!B18))</f>
        <v>-</v>
      </c>
      <c r="C16" s="14" t="s">
        <v>11</v>
      </c>
      <c r="D16" s="15" t="str">
        <f>'Input Sheet'!E18</f>
        <v>-</v>
      </c>
      <c r="E16" s="24">
        <f>'Data &amp; Calcs Sheet'!L37+('Data &amp; Calcs Sheet'!U37*(-1))</f>
        <v>33.267474482017683</v>
      </c>
      <c r="F16" s="24" t="str">
        <f t="shared" si="0"/>
        <v>-</v>
      </c>
      <c r="G16" s="24">
        <f>'Data &amp; Calcs Sheet'!M37+('Data &amp; Calcs Sheet'!V37*(-1))</f>
        <v>33.267474482017683</v>
      </c>
      <c r="H16" s="24" t="str">
        <f t="shared" si="1"/>
        <v>-</v>
      </c>
      <c r="I16" s="187" t="str">
        <f t="shared" si="2"/>
        <v>-</v>
      </c>
    </row>
    <row r="17" spans="2:9" x14ac:dyDescent="0.2">
      <c r="B17" s="20" t="str">
        <f>IF('Input Sheet'!B19=0, "-", ('Input Sheet'!B19))</f>
        <v>-</v>
      </c>
      <c r="C17" s="14" t="s">
        <v>12</v>
      </c>
      <c r="D17" s="15" t="str">
        <f>'Input Sheet'!E19</f>
        <v>-</v>
      </c>
      <c r="E17" s="24">
        <f>'Data &amp; Calcs Sheet'!L38+('Data &amp; Calcs Sheet'!U38*(-1))</f>
        <v>40.699353438892402</v>
      </c>
      <c r="F17" s="24" t="str">
        <f t="shared" si="0"/>
        <v>-</v>
      </c>
      <c r="G17" s="24">
        <f>'Data &amp; Calcs Sheet'!M38+('Data &amp; Calcs Sheet'!V38*(-1))</f>
        <v>40.699353438892402</v>
      </c>
      <c r="H17" s="24" t="str">
        <f t="shared" si="1"/>
        <v>-</v>
      </c>
      <c r="I17" s="187" t="str">
        <f t="shared" si="2"/>
        <v>-</v>
      </c>
    </row>
    <row r="18" spans="2:9" x14ac:dyDescent="0.2">
      <c r="B18" s="20" t="str">
        <f>IF('Input Sheet'!B20=0, "-", ('Input Sheet'!B20))</f>
        <v>-</v>
      </c>
      <c r="C18" s="14" t="s">
        <v>13</v>
      </c>
      <c r="D18" s="15" t="str">
        <f>'Input Sheet'!E20</f>
        <v>-</v>
      </c>
      <c r="E18" s="24">
        <f>'Data &amp; Calcs Sheet'!L39+('Data &amp; Calcs Sheet'!U39*(-1))</f>
        <v>37.290868697497764</v>
      </c>
      <c r="F18" s="24" t="str">
        <f t="shared" si="0"/>
        <v>-</v>
      </c>
      <c r="G18" s="24">
        <f>'Data &amp; Calcs Sheet'!M39+('Data &amp; Calcs Sheet'!V39*(-1))</f>
        <v>37.290868697497764</v>
      </c>
      <c r="H18" s="24" t="str">
        <f t="shared" si="1"/>
        <v>-</v>
      </c>
      <c r="I18" s="187" t="str">
        <f t="shared" si="2"/>
        <v>-</v>
      </c>
    </row>
    <row r="19" spans="2:9" x14ac:dyDescent="0.2">
      <c r="B19" s="20" t="str">
        <f>IF('Input Sheet'!B21=0, "-", ('Input Sheet'!B21))</f>
        <v>-</v>
      </c>
      <c r="C19" s="14" t="s">
        <v>14</v>
      </c>
      <c r="D19" s="15" t="str">
        <f>'Input Sheet'!E21</f>
        <v>-</v>
      </c>
      <c r="E19" s="24">
        <f>'Data &amp; Calcs Sheet'!L40+('Data &amp; Calcs Sheet'!U40*(-1))</f>
        <v>40.198908550451655</v>
      </c>
      <c r="F19" s="24" t="str">
        <f t="shared" si="0"/>
        <v>-</v>
      </c>
      <c r="G19" s="24">
        <f>'Data &amp; Calcs Sheet'!M40+('Data &amp; Calcs Sheet'!V40*(-1))</f>
        <v>40.198908550451655</v>
      </c>
      <c r="H19" s="24" t="str">
        <f t="shared" si="1"/>
        <v>-</v>
      </c>
      <c r="I19" s="187" t="str">
        <f t="shared" si="2"/>
        <v>-</v>
      </c>
    </row>
    <row r="20" spans="2:9" x14ac:dyDescent="0.2">
      <c r="B20" s="20" t="str">
        <f>IF('Input Sheet'!B22=0, "-", ('Input Sheet'!B22))</f>
        <v>-</v>
      </c>
      <c r="C20" s="14" t="s">
        <v>15</v>
      </c>
      <c r="D20" s="15" t="str">
        <f>'Input Sheet'!E22</f>
        <v>-</v>
      </c>
      <c r="E20" s="24">
        <f>'Data &amp; Calcs Sheet'!L41+('Data &amp; Calcs Sheet'!U41*(-1))</f>
        <v>35.663559250647594</v>
      </c>
      <c r="F20" s="24" t="str">
        <f t="shared" si="0"/>
        <v>-</v>
      </c>
      <c r="G20" s="24">
        <f>'Data &amp; Calcs Sheet'!M41+('Data &amp; Calcs Sheet'!V41*(-1))</f>
        <v>35.663559250647594</v>
      </c>
      <c r="H20" s="24" t="str">
        <f t="shared" si="1"/>
        <v>-</v>
      </c>
      <c r="I20" s="187" t="str">
        <f t="shared" si="2"/>
        <v>-</v>
      </c>
    </row>
    <row r="21" spans="2:9" x14ac:dyDescent="0.2">
      <c r="B21" s="20" t="str">
        <f>IF('Input Sheet'!B23=0, "-", ('Input Sheet'!B23))</f>
        <v>-</v>
      </c>
      <c r="C21" s="14" t="s">
        <v>16</v>
      </c>
      <c r="D21" s="15" t="str">
        <f>'Input Sheet'!E23</f>
        <v>-</v>
      </c>
      <c r="E21" s="24">
        <f>'Data &amp; Calcs Sheet'!L42+('Data &amp; Calcs Sheet'!U42*(-1))</f>
        <v>3.6749756764231494</v>
      </c>
      <c r="F21" s="24" t="str">
        <f t="shared" si="0"/>
        <v>-</v>
      </c>
      <c r="G21" s="24">
        <f>'Data &amp; Calcs Sheet'!M42+('Data &amp; Calcs Sheet'!V42*(-1))</f>
        <v>3.6749756764231494</v>
      </c>
      <c r="H21" s="24" t="str">
        <f t="shared" si="1"/>
        <v>-</v>
      </c>
      <c r="I21" s="187" t="str">
        <f t="shared" si="2"/>
        <v>-</v>
      </c>
    </row>
    <row r="22" spans="2:9" x14ac:dyDescent="0.2">
      <c r="B22" s="20" t="str">
        <f>IF('Input Sheet'!B24=0, "-", ('Input Sheet'!B24))</f>
        <v>-</v>
      </c>
      <c r="C22" s="14" t="s">
        <v>17</v>
      </c>
      <c r="D22" s="15" t="str">
        <f>'Input Sheet'!E24</f>
        <v>-</v>
      </c>
      <c r="E22" s="24">
        <f>'Data &amp; Calcs Sheet'!L43+('Data &amp; Calcs Sheet'!U43*(-1))</f>
        <v>11.920555209697666</v>
      </c>
      <c r="F22" s="24" t="str">
        <f t="shared" si="0"/>
        <v>-</v>
      </c>
      <c r="G22" s="24">
        <f>'Data &amp; Calcs Sheet'!M43+('Data &amp; Calcs Sheet'!V43*(-1))</f>
        <v>11.920555209697666</v>
      </c>
      <c r="H22" s="24" t="str">
        <f t="shared" si="1"/>
        <v>-</v>
      </c>
      <c r="I22" s="187" t="str">
        <f t="shared" si="2"/>
        <v>-</v>
      </c>
    </row>
    <row r="23" spans="2:9" x14ac:dyDescent="0.2">
      <c r="B23" s="20" t="str">
        <f>IF('Input Sheet'!B25=0, "-", ('Input Sheet'!B25))</f>
        <v>-</v>
      </c>
      <c r="C23" s="14" t="s">
        <v>187</v>
      </c>
      <c r="D23" s="15" t="str">
        <f>'Input Sheet'!E25</f>
        <v>-</v>
      </c>
      <c r="E23" s="24">
        <f>'Data &amp; Calcs Sheet'!L44+('Data &amp; Calcs Sheet'!U44*(-1))</f>
        <v>32.931749087804263</v>
      </c>
      <c r="F23" s="24" t="str">
        <f t="shared" si="0"/>
        <v>-</v>
      </c>
      <c r="G23" s="24">
        <f>'Data &amp; Calcs Sheet'!M44+('Data &amp; Calcs Sheet'!V44*(-1))</f>
        <v>32.931749087804263</v>
      </c>
      <c r="H23" s="24" t="str">
        <f t="shared" si="1"/>
        <v>-</v>
      </c>
      <c r="I23" s="187" t="str">
        <f t="shared" si="2"/>
        <v>-</v>
      </c>
    </row>
    <row r="24" spans="2:9" x14ac:dyDescent="0.2">
      <c r="B24" s="20" t="str">
        <f>IF('Input Sheet'!B26=0, "-", ('Input Sheet'!B26))</f>
        <v>-</v>
      </c>
      <c r="C24" s="14" t="s">
        <v>189</v>
      </c>
      <c r="D24" s="15" t="str">
        <f>'Input Sheet'!E26</f>
        <v>-</v>
      </c>
      <c r="E24" s="24">
        <f>'Data &amp; Calcs Sheet'!L45+('Data &amp; Calcs Sheet'!U45*(-1))</f>
        <v>32.311437563331779</v>
      </c>
      <c r="F24" s="24" t="str">
        <f t="shared" si="0"/>
        <v>-</v>
      </c>
      <c r="G24" s="24">
        <f>'Data &amp; Calcs Sheet'!M45+('Data &amp; Calcs Sheet'!V45*(-1))</f>
        <v>32.311437563331779</v>
      </c>
      <c r="H24" s="24" t="str">
        <f t="shared" si="1"/>
        <v>-</v>
      </c>
      <c r="I24" s="187" t="str">
        <f t="shared" si="2"/>
        <v>-</v>
      </c>
    </row>
    <row r="25" spans="2:9" x14ac:dyDescent="0.2">
      <c r="B25" s="20" t="str">
        <f>IF('Input Sheet'!B27=0, "-", ('Input Sheet'!B27))</f>
        <v>-</v>
      </c>
      <c r="C25" s="14" t="s">
        <v>188</v>
      </c>
      <c r="D25" s="15" t="str">
        <f>'Input Sheet'!E27</f>
        <v>-</v>
      </c>
      <c r="E25" s="24">
        <f>'Data &amp; Calcs Sheet'!L46+('Data &amp; Calcs Sheet'!U46*(-1))</f>
        <v>36.052469782868869</v>
      </c>
      <c r="F25" s="24" t="str">
        <f t="shared" si="0"/>
        <v>-</v>
      </c>
      <c r="G25" s="24">
        <f>'Data &amp; Calcs Sheet'!M46+('Data &amp; Calcs Sheet'!V46*(-1))</f>
        <v>36.052469782868869</v>
      </c>
      <c r="H25" s="24" t="str">
        <f t="shared" si="1"/>
        <v>-</v>
      </c>
      <c r="I25" s="187" t="str">
        <f t="shared" si="2"/>
        <v>-</v>
      </c>
    </row>
    <row r="26" spans="2:9" ht="14.25" x14ac:dyDescent="0.2">
      <c r="B26" s="20" t="str">
        <f>IF('Input Sheet'!B28=0, "-", ('Input Sheet'!B28))</f>
        <v>-</v>
      </c>
      <c r="C26" s="216" t="s">
        <v>214</v>
      </c>
      <c r="D26" s="15" t="str">
        <f>'Input Sheet'!E28</f>
        <v>-</v>
      </c>
      <c r="E26" s="24">
        <f>'Data &amp; Calcs Sheet'!L47+('Data &amp; Calcs Sheet'!U47*(-1))</f>
        <v>94.080088778197748</v>
      </c>
      <c r="F26" s="24" t="str">
        <f t="shared" si="0"/>
        <v>-</v>
      </c>
      <c r="G26" s="24">
        <f>'Data &amp; Calcs Sheet'!M47+('Data &amp; Calcs Sheet'!V47*(-1))</f>
        <v>94.080088778197748</v>
      </c>
      <c r="H26" s="24" t="str">
        <f t="shared" si="1"/>
        <v>-</v>
      </c>
      <c r="I26" s="187" t="str">
        <f t="shared" si="2"/>
        <v>-</v>
      </c>
    </row>
    <row r="27" spans="2:9" ht="15" thickBot="1" x14ac:dyDescent="0.25">
      <c r="B27" s="20" t="str">
        <f>IF('Input Sheet'!B29=0, "-", ('Input Sheet'!B29))</f>
        <v>-</v>
      </c>
      <c r="C27" s="216" t="s">
        <v>215</v>
      </c>
      <c r="D27" s="15" t="str">
        <f>'Input Sheet'!E29</f>
        <v>-</v>
      </c>
      <c r="E27" s="27">
        <f>'Data &amp; Calcs Sheet'!L48+('Data &amp; Calcs Sheet'!U48*(-1))</f>
        <v>57.433613053954382</v>
      </c>
      <c r="F27" s="27" t="str">
        <f t="shared" si="0"/>
        <v>-</v>
      </c>
      <c r="G27" s="27">
        <f>'Data &amp; Calcs Sheet'!M48+('Data &amp; Calcs Sheet'!V48*(-1))</f>
        <v>57.433613053954382</v>
      </c>
      <c r="H27" s="27" t="str">
        <f t="shared" si="1"/>
        <v>-</v>
      </c>
      <c r="I27" s="211" t="str">
        <f t="shared" si="2"/>
        <v>-</v>
      </c>
    </row>
    <row r="28" spans="2:9" ht="14.25" thickTop="1" thickBot="1" x14ac:dyDescent="0.25">
      <c r="B28" s="38" t="s">
        <v>19</v>
      </c>
      <c r="C28" s="39"/>
      <c r="D28" s="40"/>
      <c r="E28" s="41" t="s">
        <v>23</v>
      </c>
      <c r="F28" s="32">
        <f>SUM(F8:F27)</f>
        <v>0</v>
      </c>
      <c r="G28" s="42" t="s">
        <v>21</v>
      </c>
      <c r="H28" s="32">
        <f>SUM(H8:H27)</f>
        <v>0</v>
      </c>
      <c r="I28" s="31">
        <f>SUM(I8:I27)</f>
        <v>0</v>
      </c>
    </row>
    <row r="29" spans="2:9" ht="13.5" thickTop="1" x14ac:dyDescent="0.2">
      <c r="B29" s="8" t="s">
        <v>284</v>
      </c>
    </row>
    <row r="30" spans="2:9" ht="13.5" x14ac:dyDescent="0.2">
      <c r="B30" s="7" t="s">
        <v>33</v>
      </c>
    </row>
    <row r="31" spans="2:9" ht="13.5" x14ac:dyDescent="0.2">
      <c r="B31" s="7" t="s">
        <v>213</v>
      </c>
    </row>
    <row r="32" spans="2:9" ht="13.5" thickBot="1" x14ac:dyDescent="0.25"/>
    <row r="33" spans="2:9" ht="13.5" thickBot="1" x14ac:dyDescent="0.25">
      <c r="B33" s="12" t="s">
        <v>158</v>
      </c>
      <c r="H33" s="160">
        <f>F28</f>
        <v>0</v>
      </c>
      <c r="I33" s="37" t="s">
        <v>43</v>
      </c>
    </row>
    <row r="34" spans="2:9" ht="13.5" thickBot="1" x14ac:dyDescent="0.25">
      <c r="B34" s="12" t="s">
        <v>159</v>
      </c>
      <c r="H34" s="160">
        <f>H28</f>
        <v>0</v>
      </c>
      <c r="I34" s="37" t="s">
        <v>43</v>
      </c>
    </row>
    <row r="35" spans="2:9" ht="16.5" thickBot="1" x14ac:dyDescent="0.3">
      <c r="B35" s="36" t="s">
        <v>42</v>
      </c>
      <c r="H35" s="161">
        <f>I28</f>
        <v>0</v>
      </c>
      <c r="I35" s="55" t="s">
        <v>43</v>
      </c>
    </row>
    <row r="36" spans="2:9" ht="22.5" customHeight="1" thickBot="1" x14ac:dyDescent="0.25">
      <c r="B36" s="163" t="s">
        <v>161</v>
      </c>
    </row>
    <row r="37" spans="2:9" ht="16.5" thickBot="1" x14ac:dyDescent="0.3">
      <c r="B37" s="36" t="s">
        <v>135</v>
      </c>
      <c r="H37" s="103">
        <f>H35/'Data &amp; Calcs Sheet'!C54*-1</f>
        <v>0</v>
      </c>
      <c r="I37" s="55" t="s">
        <v>46</v>
      </c>
    </row>
    <row r="39" spans="2:9" ht="25.5" x14ac:dyDescent="0.2">
      <c r="B39" s="224" t="s">
        <v>282</v>
      </c>
      <c r="C39" s="224" t="s">
        <v>228</v>
      </c>
    </row>
  </sheetData>
  <sheetProtection algorithmName="SHA-512" hashValue="F/kAaifyHZuUuUYIzCk/Tq7yLcKCKr8uAOEixUfNPWmomr2RrQlHWcQOqDxezkudsQ+YFDf3CwRyF2Bm1eKPIw==" saltValue="96ZMlML2OSwgNOu2Xa5VRw==" spinCount="100000" sheet="1" objects="1" scenarios="1"/>
  <mergeCells count="3">
    <mergeCell ref="B2:J2"/>
    <mergeCell ref="B5:I5"/>
    <mergeCell ref="B4:I4"/>
  </mergeCells>
  <phoneticPr fontId="0" type="noConversion"/>
  <hyperlinks>
    <hyperlink ref="B39" location="'Input Sheet'!A1" display="Click here to return to the Input Sheet" xr:uid="{00000000-0004-0000-0400-000000000000}"/>
    <hyperlink ref="C39" location="'GHG Output Sheet'!A1" display="Click here to proceed to the GHG Output Sheet" xr:uid="{00000000-0004-0000-0400-000001000000}"/>
  </hyperlinks>
  <pageMargins left="0.75" right="0.75" top="1" bottom="1" header="0.5" footer="0.5"/>
  <pageSetup scale="91" fitToHeight="0" orientation="landscape" r:id="rId1"/>
  <headerFooter alignWithMargins="0"/>
  <rowBreaks count="1" manualBreakCount="1">
    <brk id="3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Z60"/>
  <sheetViews>
    <sheetView zoomScale="75" workbookViewId="0">
      <selection activeCell="A4" sqref="A4"/>
    </sheetView>
  </sheetViews>
  <sheetFormatPr defaultRowHeight="12.75" x14ac:dyDescent="0.2"/>
  <cols>
    <col min="1" max="1" width="25.140625" customWidth="1"/>
    <col min="2" max="2" width="15" customWidth="1"/>
    <col min="3" max="3" width="16.5703125" customWidth="1"/>
    <col min="4" max="4" width="15.42578125" customWidth="1"/>
    <col min="5" max="5" width="17" customWidth="1"/>
    <col min="6" max="6" width="10" bestFit="1" customWidth="1"/>
    <col min="7" max="7" width="3.42578125" customWidth="1"/>
    <col min="8" max="8" width="11.42578125" customWidth="1"/>
    <col min="9" max="9" width="1.140625" customWidth="1"/>
    <col min="10" max="10" width="11" customWidth="1"/>
    <col min="11" max="11" width="11.5703125" customWidth="1"/>
    <col min="12" max="13" width="14" customWidth="1"/>
    <col min="14" max="15" width="15.85546875" customWidth="1"/>
    <col min="16" max="16" width="4.140625" customWidth="1"/>
    <col min="17" max="17" width="11" customWidth="1"/>
    <col min="18" max="18" width="12" customWidth="1"/>
    <col min="19" max="22" width="16.140625" customWidth="1"/>
    <col min="24" max="24" width="12.85546875" bestFit="1" customWidth="1"/>
  </cols>
  <sheetData>
    <row r="1" spans="1:26" x14ac:dyDescent="0.2">
      <c r="Q1" s="295" t="s">
        <v>117</v>
      </c>
      <c r="R1" s="296"/>
      <c r="S1" s="296"/>
      <c r="T1" s="297"/>
    </row>
    <row r="2" spans="1:26" ht="30" customHeight="1" thickBot="1" x14ac:dyDescent="0.3">
      <c r="F2" s="306"/>
      <c r="G2" s="306"/>
      <c r="H2" s="306"/>
      <c r="I2" s="134"/>
      <c r="Q2" s="135" t="s">
        <v>118</v>
      </c>
      <c r="R2" s="192">
        <f>1-T2</f>
        <v>0.80399369416710453</v>
      </c>
      <c r="S2" s="136" t="s">
        <v>119</v>
      </c>
      <c r="T2" s="191">
        <f>[2]Assumptions!$I$92</f>
        <v>0.19600630583289544</v>
      </c>
    </row>
    <row r="3" spans="1:26" ht="14.25" thickTop="1" thickBot="1" x14ac:dyDescent="0.25">
      <c r="A3" s="177" t="s">
        <v>39</v>
      </c>
      <c r="F3" s="44"/>
      <c r="G3" s="44"/>
      <c r="H3" s="44"/>
      <c r="J3" s="307" t="s">
        <v>116</v>
      </c>
      <c r="K3" s="308"/>
      <c r="L3" s="308"/>
      <c r="M3" s="308"/>
      <c r="N3" s="301" t="s">
        <v>137</v>
      </c>
      <c r="O3" s="302"/>
      <c r="P3" s="57"/>
      <c r="Q3" s="298" t="s">
        <v>132</v>
      </c>
      <c r="R3" s="299"/>
      <c r="S3" s="299"/>
      <c r="T3" s="299"/>
      <c r="U3" s="299"/>
      <c r="V3" s="300"/>
    </row>
    <row r="4" spans="1:26" ht="51" x14ac:dyDescent="0.2">
      <c r="A4" s="6" t="s">
        <v>41</v>
      </c>
      <c r="B4" s="142" t="s">
        <v>200</v>
      </c>
      <c r="C4" s="142" t="s">
        <v>190</v>
      </c>
      <c r="D4" s="143" t="s">
        <v>201</v>
      </c>
      <c r="E4" s="144" t="s">
        <v>202</v>
      </c>
      <c r="F4" s="45" t="s">
        <v>4</v>
      </c>
      <c r="G4" s="44"/>
      <c r="H4" s="45" t="s">
        <v>18</v>
      </c>
      <c r="I4" s="2"/>
      <c r="J4" s="105" t="s">
        <v>20</v>
      </c>
      <c r="K4" s="129" t="s">
        <v>22</v>
      </c>
      <c r="L4" s="109" t="s">
        <v>121</v>
      </c>
      <c r="M4" s="108" t="s">
        <v>122</v>
      </c>
      <c r="N4" s="109" t="s">
        <v>203</v>
      </c>
      <c r="O4" s="110" t="s">
        <v>204</v>
      </c>
      <c r="P4" s="13"/>
      <c r="Q4" s="109" t="s">
        <v>133</v>
      </c>
      <c r="R4" s="108" t="s">
        <v>134</v>
      </c>
      <c r="S4" s="124" t="s">
        <v>205</v>
      </c>
      <c r="T4" s="125" t="s">
        <v>206</v>
      </c>
      <c r="U4" s="123" t="s">
        <v>207</v>
      </c>
      <c r="V4" s="125" t="s">
        <v>208</v>
      </c>
      <c r="X4" s="22" t="s">
        <v>184</v>
      </c>
    </row>
    <row r="5" spans="1:26" ht="13.5" customHeight="1" x14ac:dyDescent="0.2">
      <c r="A5" t="s">
        <v>5</v>
      </c>
      <c r="B5" s="141">
        <f>INDEX('[2]Emission Factors'!$BA$6:$BA$68, MATCH($A5, '[2]Emission Factors'!$B$6:$B$68, 0))</f>
        <v>10.987815120812538</v>
      </c>
      <c r="C5" s="141">
        <f>INDEX('[2]Emission Factors'!$BF$6:$BF$68, MATCH($A5, '[2]Emission Factors'!$B$6:$B$68, 0))</f>
        <v>4.799452726904927</v>
      </c>
      <c r="D5" s="141">
        <f>INDEX('[2]Emission Factors'!$BJ$6:$BJ$68, MATCH($A5, '[2]Emission Factors'!$B$6:$B$68, 0))</f>
        <v>1.8604369587069169</v>
      </c>
      <c r="E5" s="210">
        <f>INDEX('[2]Emission Factors'!$X$6:$X$68, MATCH($A5, '[2]Emission Factors'!$B$6:$B$68, 0))</f>
        <v>0</v>
      </c>
      <c r="F5" s="46">
        <f>INDEX('[2]Emission Factors'!$BB$6:$BB$68, MATCH($A5, '[2]Emission Factors'!$B$6:$B$68, 0))</f>
        <v>0.32199999999999995</v>
      </c>
      <c r="G5" s="47"/>
      <c r="H5" s="48">
        <f t="shared" ref="H5:H24" si="0">(1-F5)*100</f>
        <v>67.800000000000011</v>
      </c>
      <c r="I5" s="5"/>
      <c r="J5" s="11">
        <f>'Input Sheet'!E67</f>
        <v>0</v>
      </c>
      <c r="K5" s="130">
        <f>IF(ISNUMBER('Input Sheet'!F35),'Input Sheet'!F35,'Data &amp; Calcs Sheet'!J5)</f>
        <v>0</v>
      </c>
      <c r="L5" s="104">
        <f>((J5/100)*D5)+((1-(J5/100))*B5)</f>
        <v>10.987815120812538</v>
      </c>
      <c r="M5" s="101">
        <f>((K5/100)*D5)+((1-(K5/100))*B5)</f>
        <v>10.987815120812538</v>
      </c>
      <c r="N5" s="104">
        <f>(J5/100)*$E5</f>
        <v>0</v>
      </c>
      <c r="O5" s="104">
        <f>(K5/100)*$E5</f>
        <v>0</v>
      </c>
      <c r="P5" s="50"/>
      <c r="Q5" s="180">
        <f>J5/X5</f>
        <v>0</v>
      </c>
      <c r="R5" s="179">
        <f>K5/X5</f>
        <v>0</v>
      </c>
      <c r="S5" s="126">
        <f>INDEX('[2]Emission Factors'!$AR$6:$AR$68, MATCH($A5, '[2]Emission Factors'!$B$6:$B$68, 0))</f>
        <v>2.0254519141196047E-2</v>
      </c>
      <c r="T5" s="127">
        <f>INDEX('[2]Emission Factors'!$AL$6:$AL$68, MATCH($A5, '[2]Emission Factors'!$B$6:$B$68, 0))</f>
        <v>3.4432220545025718E-2</v>
      </c>
      <c r="U5" s="119">
        <f>Q5/100*((S5*$R$2/100)+(T5*$T$2/100))</f>
        <v>0</v>
      </c>
      <c r="V5" s="137">
        <f>R5/100*((S5*$R$2/100)+(T5*$T$2/100))</f>
        <v>0</v>
      </c>
      <c r="X5" s="172">
        <f>'[2]Loss Rates'!$F$80</f>
        <v>1</v>
      </c>
    </row>
    <row r="6" spans="1:26" ht="13.5" customHeight="1" x14ac:dyDescent="0.2">
      <c r="A6" t="s">
        <v>186</v>
      </c>
      <c r="B6" s="141">
        <f>INDEX('[2]Emission Factors'!$BA$6:$BA$68, MATCH($A6, '[2]Emission Factors'!$B$6:$B$68, 0))</f>
        <v>7.4772845674468833</v>
      </c>
      <c r="C6" s="141">
        <f>INDEX('[2]Emission Factors'!$BF$6:$BF$68, MATCH($A6, '[2]Emission Factors'!$B$6:$B$68, 0))</f>
        <v>7.4772845674468833</v>
      </c>
      <c r="D6" s="141">
        <f>INDEX('[2]Emission Factors'!$BJ$6:$BJ$68, MATCH($A6, '[2]Emission Factors'!$B$6:$B$68, 0))</f>
        <v>0.27361964962454349</v>
      </c>
      <c r="E6" s="209">
        <f>INDEX('[2]Emission Factors'!$X$6:$X$68, MATCH($A6, '[2]Emission Factors'!$B$6:$B$68, 0))</f>
        <v>0</v>
      </c>
      <c r="F6" s="46">
        <f>INDEX('[2]Emission Factors'!$BB$6:$BB$68, MATCH($A6, '[2]Emission Factors'!$B$6:$B$68, 0))</f>
        <v>1</v>
      </c>
      <c r="G6" s="47"/>
      <c r="H6" s="48">
        <f t="shared" si="0"/>
        <v>0</v>
      </c>
      <c r="I6" s="5"/>
      <c r="J6" s="11">
        <f>'Input Sheet'!E68</f>
        <v>0</v>
      </c>
      <c r="K6" s="130">
        <f>IF(ISNUMBER('Input Sheet'!F36),'Input Sheet'!F36,'Data &amp; Calcs Sheet'!J6)</f>
        <v>0</v>
      </c>
      <c r="L6" s="104">
        <f t="shared" ref="L6:L24" si="1">((J6/100)*D6)+((1-(J6/100))*B6)</f>
        <v>7.4772845674468833</v>
      </c>
      <c r="M6" s="101">
        <f t="shared" ref="M6:M24" si="2">((K6/100)*D6)+((1-(K6/100))*B6)</f>
        <v>7.4772845674468833</v>
      </c>
      <c r="N6" s="104">
        <f t="shared" ref="N6:N10" si="3">(J6/100)*$E6</f>
        <v>0</v>
      </c>
      <c r="O6" s="104">
        <f t="shared" ref="O6:O10" si="4">(K6/100)*$E6</f>
        <v>0</v>
      </c>
      <c r="P6" s="50"/>
      <c r="Q6" s="178">
        <f>J6/X6</f>
        <v>0</v>
      </c>
      <c r="R6" s="179">
        <f>K6/X6</f>
        <v>0</v>
      </c>
      <c r="S6" s="126">
        <f>INDEX('[2]Emission Factors'!$AR$6:$AR$68, MATCH($A6, '[2]Emission Factors'!$B$6:$B$68, 0))</f>
        <v>2.0254519141196047E-2</v>
      </c>
      <c r="T6" s="127">
        <f>INDEX('[2]Emission Factors'!$AL$6:$AL$68, MATCH($A6, '[2]Emission Factors'!$B$6:$B$68, 0))</f>
        <v>3.4432220545025718E-2</v>
      </c>
      <c r="U6" s="119">
        <f>Q6/100*((S6*$R$2/100)+(T6*$T$2/100))</f>
        <v>0</v>
      </c>
      <c r="V6" s="137">
        <f t="shared" ref="V6:V24" si="5">R6/100*((S6*$R$2/100)+(T6*$T$2/100))</f>
        <v>0</v>
      </c>
      <c r="X6" s="172">
        <f>'[2]Loss Rates'!$F$80</f>
        <v>1</v>
      </c>
    </row>
    <row r="7" spans="1:26" x14ac:dyDescent="0.2">
      <c r="A7" s="172" t="s">
        <v>6</v>
      </c>
      <c r="B7" s="141">
        <f>INDEX('[2]Emission Factors'!$BA$6:$BA$68, MATCH($A7, '[2]Emission Factors'!$B$6:$B$68, 0))</f>
        <v>3.6387866232686901</v>
      </c>
      <c r="C7" s="141">
        <f>INDEX('[2]Emission Factors'!$BF$6:$BF$68, MATCH($A7, '[2]Emission Factors'!$B$6:$B$68, 0))</f>
        <v>3.0274716623608411</v>
      </c>
      <c r="D7" s="141">
        <f>INDEX('[2]Emission Factors'!$BJ$6:$BJ$68, MATCH($A7, '[2]Emission Factors'!$B$6:$B$68, 0))</f>
        <v>1.7693219110122715</v>
      </c>
      <c r="E7" s="209">
        <f>INDEX('[2]Emission Factors'!$X$6:$X$68, MATCH($A7, '[2]Emission Factors'!$B$6:$B$68, 0))</f>
        <v>0</v>
      </c>
      <c r="F7" s="46">
        <f>INDEX('[2]Emission Factors'!$BB$6:$BB$68, MATCH($A7, '[2]Emission Factors'!$B$6:$B$68, 0))</f>
        <v>0.67300000000000004</v>
      </c>
      <c r="G7" s="47"/>
      <c r="H7" s="48">
        <f t="shared" si="0"/>
        <v>32.699999999999996</v>
      </c>
      <c r="I7" s="5"/>
      <c r="J7" s="11">
        <f>'Input Sheet'!E69</f>
        <v>0</v>
      </c>
      <c r="K7" s="130">
        <f>IF(ISNUMBER('Input Sheet'!F37),'Input Sheet'!F37,'Data &amp; Calcs Sheet'!J7)</f>
        <v>0</v>
      </c>
      <c r="L7" s="104">
        <f t="shared" si="1"/>
        <v>3.6387866232686901</v>
      </c>
      <c r="M7" s="101">
        <f t="shared" si="2"/>
        <v>3.6387866232686901</v>
      </c>
      <c r="N7" s="104">
        <f t="shared" si="3"/>
        <v>0</v>
      </c>
      <c r="O7" s="104">
        <f t="shared" si="4"/>
        <v>0</v>
      </c>
      <c r="P7" s="50"/>
      <c r="Q7" s="178">
        <f t="shared" ref="Q7:Q24" si="6">J7/X7</f>
        <v>0</v>
      </c>
      <c r="R7" s="179">
        <f t="shared" ref="R7:R24" si="7">K7/X7</f>
        <v>0</v>
      </c>
      <c r="S7" s="126">
        <f>INDEX('[2]Emission Factors'!$AR$6:$AR$68, MATCH($A7, '[2]Emission Factors'!$B$6:$B$68, 0))</f>
        <v>2.0254519141196047E-2</v>
      </c>
      <c r="T7" s="127">
        <f>INDEX('[2]Emission Factors'!$AL$6:$AL$68, MATCH($A7, '[2]Emission Factors'!$B$6:$B$68, 0))</f>
        <v>-1.5909481529405463</v>
      </c>
      <c r="U7" s="119">
        <f t="shared" ref="U7:U24" si="8">Q7/100*((S7*$R$2/100)+(T7*$T$2/100))</f>
        <v>0</v>
      </c>
      <c r="V7" s="137">
        <f t="shared" si="5"/>
        <v>0</v>
      </c>
      <c r="X7" s="172">
        <f>'[2]Loss Rates'!$F$7</f>
        <v>0.98</v>
      </c>
    </row>
    <row r="8" spans="1:26" x14ac:dyDescent="0.2">
      <c r="A8" s="172" t="s">
        <v>174</v>
      </c>
      <c r="B8" s="141">
        <f>INDEX('[2]Emission Factors'!$BA$6:$BA$68, MATCH($A8, '[2]Emission Factors'!$B$6:$B$68, 0))</f>
        <v>6.7848841310295533</v>
      </c>
      <c r="C8" s="141">
        <f>INDEX('[2]Emission Factors'!$BF$6:$BF$68, MATCH($A8, '[2]Emission Factors'!$B$6:$B$68, 0))</f>
        <v>6.7219289919592509</v>
      </c>
      <c r="D8" s="141">
        <f>INDEX('[2]Emission Factors'!$BJ$6:$BJ$68, MATCH($A8, '[2]Emission Factors'!$B$6:$B$68, 0))</f>
        <v>5.5257813496235073</v>
      </c>
      <c r="E8" s="209">
        <f>INDEX('[2]Emission Factors'!$X$6:$X$68, MATCH($A8, '[2]Emission Factors'!$B$6:$B$68, 0))</f>
        <v>0</v>
      </c>
      <c r="F8" s="46">
        <f>INDEX('[2]Emission Factors'!$BB$6:$BB$68, MATCH($A8, '[2]Emission Factors'!$B$6:$B$68, 0))</f>
        <v>0.95</v>
      </c>
      <c r="G8" s="47"/>
      <c r="H8" s="48">
        <f t="shared" si="0"/>
        <v>5.0000000000000044</v>
      </c>
      <c r="I8" s="5"/>
      <c r="J8" s="11">
        <f>'Input Sheet'!E70</f>
        <v>0</v>
      </c>
      <c r="K8" s="130">
        <f>IF(ISNUMBER('Input Sheet'!F38),'Input Sheet'!F38,'Data &amp; Calcs Sheet'!J8)</f>
        <v>0</v>
      </c>
      <c r="L8" s="104">
        <f t="shared" si="1"/>
        <v>6.7848841310295533</v>
      </c>
      <c r="M8" s="101">
        <f t="shared" si="2"/>
        <v>6.7848841310295533</v>
      </c>
      <c r="N8" s="104">
        <f t="shared" si="3"/>
        <v>0</v>
      </c>
      <c r="O8" s="104">
        <f t="shared" si="4"/>
        <v>0</v>
      </c>
      <c r="P8" s="50"/>
      <c r="Q8" s="178">
        <f t="shared" si="6"/>
        <v>0</v>
      </c>
      <c r="R8" s="179">
        <f t="shared" si="7"/>
        <v>0</v>
      </c>
      <c r="S8" s="126">
        <f>INDEX('[2]Emission Factors'!$AR$6:$AR$68, MATCH($A8, '[2]Emission Factors'!$B$6:$B$68, 0))</f>
        <v>2.0254519141196047E-2</v>
      </c>
      <c r="T8" s="127">
        <f>INDEX('[2]Emission Factors'!$AL$6:$AL$68, MATCH($A8, '[2]Emission Factors'!$B$6:$B$68, 0))</f>
        <v>2.9687293145218514E-2</v>
      </c>
      <c r="U8" s="119">
        <f t="shared" si="8"/>
        <v>0</v>
      </c>
      <c r="V8" s="137">
        <f t="shared" si="5"/>
        <v>0</v>
      </c>
      <c r="X8" s="172">
        <f>'[2]Loss Rates'!$F$69</f>
        <v>0.81369863013698618</v>
      </c>
    </row>
    <row r="9" spans="1:26" x14ac:dyDescent="0.2">
      <c r="A9" s="172" t="s">
        <v>7</v>
      </c>
      <c r="B9" s="141">
        <f>INDEX('[2]Emission Factors'!$BA$6:$BA$68, MATCH($A9, '[2]Emission Factors'!$B$6:$B$68, 0))</f>
        <v>0.603361267430084</v>
      </c>
      <c r="C9" s="141">
        <f>INDEX('[2]Emission Factors'!$BF$6:$BF$68, MATCH($A9, '[2]Emission Factors'!$B$6:$B$68, 0))</f>
        <v>0.53082087431688396</v>
      </c>
      <c r="D9" s="141">
        <f>INDEX('[2]Emission Factors'!$BJ$6:$BJ$68, MATCH($A9, '[2]Emission Factors'!$B$6:$B$68, 0))</f>
        <v>0.28892523312926061</v>
      </c>
      <c r="E9" s="209">
        <f>INDEX('[2]Emission Factors'!$X$6:$X$68, MATCH($A9, '[2]Emission Factors'!$B$6:$B$68, 0))</f>
        <v>0</v>
      </c>
      <c r="F9" s="46">
        <f>INDEX('[2]Emission Factors'!$BB$6:$BB$68, MATCH($A9, '[2]Emission Factors'!$B$6:$B$68, 0))</f>
        <v>0.76929999999999998</v>
      </c>
      <c r="G9" s="47"/>
      <c r="H9" s="48">
        <f t="shared" si="0"/>
        <v>23.07</v>
      </c>
      <c r="I9" s="5"/>
      <c r="J9" s="11">
        <f>'Input Sheet'!E71</f>
        <v>0</v>
      </c>
      <c r="K9" s="130">
        <f>IF(ISNUMBER('Input Sheet'!F39),'Input Sheet'!F39,'Data &amp; Calcs Sheet'!J9)</f>
        <v>0</v>
      </c>
      <c r="L9" s="104">
        <f t="shared" si="1"/>
        <v>0.603361267430084</v>
      </c>
      <c r="M9" s="101">
        <f t="shared" si="2"/>
        <v>0.603361267430084</v>
      </c>
      <c r="N9" s="104">
        <f t="shared" si="3"/>
        <v>0</v>
      </c>
      <c r="O9" s="104">
        <f t="shared" si="4"/>
        <v>0</v>
      </c>
      <c r="P9" s="50"/>
      <c r="Q9" s="178">
        <f t="shared" si="6"/>
        <v>0</v>
      </c>
      <c r="R9" s="179">
        <f t="shared" si="7"/>
        <v>0</v>
      </c>
      <c r="S9" s="126">
        <f>INDEX('[2]Emission Factors'!$AR$6:$AR$68, MATCH($A9, '[2]Emission Factors'!$B$6:$B$68, 0))</f>
        <v>2.0254519141196047E-2</v>
      </c>
      <c r="T9" s="127">
        <f>INDEX('[2]Emission Factors'!$AL$6:$AL$68, MATCH($A9, '[2]Emission Factors'!$B$6:$B$68, 0))</f>
        <v>2.684033670533419E-2</v>
      </c>
      <c r="U9" s="119">
        <f t="shared" si="8"/>
        <v>0</v>
      </c>
      <c r="V9" s="137">
        <f t="shared" si="5"/>
        <v>0</v>
      </c>
      <c r="X9" s="172">
        <f>'[2]Loss Rates'!$H$8</f>
        <v>0.87804878048780499</v>
      </c>
      <c r="Z9" s="172"/>
    </row>
    <row r="10" spans="1:26" x14ac:dyDescent="0.2">
      <c r="A10" s="172" t="s">
        <v>8</v>
      </c>
      <c r="B10" s="141">
        <f>INDEX('[2]Emission Factors'!$BA$6:$BA$68, MATCH($A10, '[2]Emission Factors'!$B$6:$B$68, 0))</f>
        <v>1.5187460809806346</v>
      </c>
      <c r="C10" s="141">
        <f>INDEX('[2]Emission Factors'!$BF$6:$BF$68, MATCH($A10, '[2]Emission Factors'!$B$6:$B$68, 0))</f>
        <v>1.4190392669374181</v>
      </c>
      <c r="D10" s="141">
        <f>INDEX('[2]Emission Factors'!$BJ$6:$BJ$68, MATCH($A10, '[2]Emission Factors'!$B$6:$B$68, 0))</f>
        <v>0.52167794054846794</v>
      </c>
      <c r="E10" s="209">
        <f>INDEX('[2]Emission Factors'!$X$6:$X$68, MATCH($A10, '[2]Emission Factors'!$B$6:$B$68, 0))</f>
        <v>0</v>
      </c>
      <c r="F10" s="46">
        <f>INDEX('[2]Emission Factors'!$BB$6:$BB$68, MATCH($A10, '[2]Emission Factors'!$B$6:$B$68, 0))</f>
        <v>0.9</v>
      </c>
      <c r="G10" s="47"/>
      <c r="H10" s="48">
        <f t="shared" si="0"/>
        <v>9.9999999999999982</v>
      </c>
      <c r="I10" s="5"/>
      <c r="J10" s="11">
        <f>'Input Sheet'!E72</f>
        <v>0</v>
      </c>
      <c r="K10" s="130">
        <f>IF(ISNUMBER('Input Sheet'!F40),'Input Sheet'!F40,'Data &amp; Calcs Sheet'!J10)</f>
        <v>0</v>
      </c>
      <c r="L10" s="104">
        <f t="shared" si="1"/>
        <v>1.5187460809806346</v>
      </c>
      <c r="M10" s="101">
        <f t="shared" si="2"/>
        <v>1.5187460809806346</v>
      </c>
      <c r="N10" s="104">
        <f t="shared" si="3"/>
        <v>0</v>
      </c>
      <c r="O10" s="104">
        <f t="shared" si="4"/>
        <v>0</v>
      </c>
      <c r="P10" s="50"/>
      <c r="Q10" s="178">
        <f t="shared" si="6"/>
        <v>0</v>
      </c>
      <c r="R10" s="179">
        <f t="shared" si="7"/>
        <v>0</v>
      </c>
      <c r="S10" s="126">
        <f>INDEX('[2]Emission Factors'!$AR$6:$AR$68, MATCH($A10, '[2]Emission Factors'!$B$6:$B$68, 0))</f>
        <v>2.0254519141196047E-2</v>
      </c>
      <c r="T10" s="127">
        <f>INDEX('[2]Emission Factors'!$AL$6:$AL$68, MATCH($A10, '[2]Emission Factors'!$B$6:$B$68, 0))</f>
        <v>1.2859190946453891</v>
      </c>
      <c r="U10" s="119">
        <f t="shared" si="8"/>
        <v>0</v>
      </c>
      <c r="V10" s="137">
        <f t="shared" si="5"/>
        <v>0</v>
      </c>
      <c r="X10" s="172">
        <f>'[2]Loss Rates'!$H$9</f>
        <v>0.85555168183618135</v>
      </c>
      <c r="Z10" s="172"/>
    </row>
    <row r="11" spans="1:26" x14ac:dyDescent="0.2">
      <c r="A11" s="172" t="s">
        <v>9</v>
      </c>
      <c r="B11" s="141">
        <f>INDEX('[2]Emission Factors'!$BA$6:$BA$68, MATCH($A11, '[2]Emission Factors'!$B$6:$B$68, 0))</f>
        <v>2.2131778939431932</v>
      </c>
      <c r="C11" s="141">
        <f>INDEX('[2]Emission Factors'!$BF$6:$BF$68, MATCH($A11, '[2]Emission Factors'!$B$6:$B$68, 0))</f>
        <v>2.1745567602908666</v>
      </c>
      <c r="D11" s="141">
        <f>INDEX('[2]Emission Factors'!$BJ$6:$BJ$68, MATCH($A11, '[2]Emission Factors'!$B$6:$B$68, 0))</f>
        <v>0.92580677219897756</v>
      </c>
      <c r="E11" s="209">
        <f>INDEX('[2]Emission Factors'!$X$6:$X$68, MATCH($A11, '[2]Emission Factors'!$B$6:$B$68, 0))</f>
        <v>0</v>
      </c>
      <c r="F11" s="46">
        <f>INDEX('[2]Emission Factors'!$BB$6:$BB$68, MATCH($A11, '[2]Emission Factors'!$B$6:$B$68, 0))</f>
        <v>0.97</v>
      </c>
      <c r="G11" s="47"/>
      <c r="H11" s="48">
        <f t="shared" si="0"/>
        <v>3.0000000000000027</v>
      </c>
      <c r="I11" s="5"/>
      <c r="J11" s="11">
        <f>'Input Sheet'!E73</f>
        <v>0</v>
      </c>
      <c r="K11" s="130">
        <f>IF(ISNUMBER('Input Sheet'!F41),'Input Sheet'!F41,'Data &amp; Calcs Sheet'!J11)</f>
        <v>0</v>
      </c>
      <c r="L11" s="104">
        <f t="shared" si="1"/>
        <v>2.2131778939431932</v>
      </c>
      <c r="M11" s="101">
        <f t="shared" si="2"/>
        <v>2.2131778939431932</v>
      </c>
      <c r="N11" s="104">
        <f t="shared" ref="N11" si="9">(J11/100)*$E11</f>
        <v>0</v>
      </c>
      <c r="O11" s="104">
        <f t="shared" ref="O11" si="10">(K11/100)*$E11</f>
        <v>0</v>
      </c>
      <c r="P11" s="50"/>
      <c r="Q11" s="104">
        <f t="shared" si="6"/>
        <v>0</v>
      </c>
      <c r="R11" s="101">
        <f t="shared" si="7"/>
        <v>0</v>
      </c>
      <c r="S11" s="126">
        <f>INDEX('[2]Emission Factors'!$AR$6:$AR$68, MATCH($A11, '[2]Emission Factors'!$B$6:$B$68, 0))</f>
        <v>2.0254519141196047E-2</v>
      </c>
      <c r="T11" s="127">
        <f>INDEX('[2]Emission Factors'!$AL$6:$AL$68, MATCH($A11, '[2]Emission Factors'!$B$6:$B$68, 0))</f>
        <v>1.2416663572872335</v>
      </c>
      <c r="U11" s="119">
        <f t="shared" si="8"/>
        <v>0</v>
      </c>
      <c r="V11" s="137">
        <f t="shared" si="5"/>
        <v>0</v>
      </c>
      <c r="X11" s="172">
        <f>'[2]Loss Rates'!$H$11</f>
        <v>0.89194517303714338</v>
      </c>
      <c r="Z11" s="172"/>
    </row>
    <row r="12" spans="1:26" x14ac:dyDescent="0.2">
      <c r="A12" s="172" t="s">
        <v>293</v>
      </c>
      <c r="B12" s="141">
        <f>INDEX('[2]Emission Factors'!$BA$6:$BA$68, MATCH($A12, '[2]Emission Factors'!$B$6:$B$68, 0))</f>
        <v>0.82678453493189941</v>
      </c>
      <c r="C12" s="141">
        <f>INDEX('[2]Emission Factors'!$BF$6:$BF$68, MATCH($A12, '[2]Emission Factors'!$B$6:$B$68, 0))</f>
        <v>0.8494942283527338</v>
      </c>
      <c r="D12" s="141">
        <f>INDEX('[2]Emission Factors'!$BJ$6:$BJ$68, MATCH($A12, '[2]Emission Factors'!$B$6:$B$68, 0))</f>
        <v>0.89185528971939076</v>
      </c>
      <c r="E12" s="209">
        <f>INDEX('[2]Emission Factors'!$X$6:$X$68, MATCH($A12, '[2]Emission Factors'!$B$6:$B$68, 0))</f>
        <v>-3.0561257823325922</v>
      </c>
      <c r="F12" s="46">
        <f>INDEX('[2]Emission Factors'!$BB$6:$BB$68, MATCH($A12, '[2]Emission Factors'!$B$6:$B$68, 0))</f>
        <v>0.65100000000000002</v>
      </c>
      <c r="G12" s="47"/>
      <c r="H12" s="48">
        <f t="shared" si="0"/>
        <v>34.9</v>
      </c>
      <c r="I12" s="5"/>
      <c r="J12" s="11">
        <f>'Input Sheet'!E74</f>
        <v>0</v>
      </c>
      <c r="K12" s="130">
        <f>IF(ISNUMBER('Input Sheet'!F42),'Input Sheet'!F42,'Data &amp; Calcs Sheet'!J12)</f>
        <v>0</v>
      </c>
      <c r="L12" s="104">
        <f t="shared" si="1"/>
        <v>0.82678453493189941</v>
      </c>
      <c r="M12" s="101">
        <f t="shared" si="2"/>
        <v>0.82678453493189941</v>
      </c>
      <c r="N12" s="104">
        <f>(J12/'[2]Loss Rates'!$G12)*$E12</f>
        <v>0</v>
      </c>
      <c r="O12" s="104">
        <f>(K12/'[2]Loss Rates'!$G12)*$E12</f>
        <v>0</v>
      </c>
      <c r="P12" s="50"/>
      <c r="Q12" s="104">
        <f t="shared" si="6"/>
        <v>0</v>
      </c>
      <c r="R12" s="101">
        <f t="shared" si="7"/>
        <v>0</v>
      </c>
      <c r="S12" s="126">
        <f>INDEX('[2]Emission Factors'!$AR$6:$AR$68, MATCH($A12, '[2]Emission Factors'!$B$6:$B$68, 0))</f>
        <v>0.25564557266301746</v>
      </c>
      <c r="T12" s="127">
        <f>INDEX('[2]Emission Factors'!$AL$6:$AL$68, MATCH($A12, '[2]Emission Factors'!$B$6:$B$68, 0))</f>
        <v>-0.48903030248074869</v>
      </c>
      <c r="U12" s="119">
        <f t="shared" si="8"/>
        <v>0</v>
      </c>
      <c r="V12" s="137">
        <f t="shared" si="5"/>
        <v>0</v>
      </c>
      <c r="X12" s="172">
        <f>'[2]Loss Rates'!$H$12</f>
        <v>0.93457943925233655</v>
      </c>
      <c r="Z12" s="172"/>
    </row>
    <row r="13" spans="1:26" x14ac:dyDescent="0.2">
      <c r="A13" s="172" t="s">
        <v>11</v>
      </c>
      <c r="B13" s="141">
        <f>INDEX('[2]Emission Factors'!$BA$6:$BA$68, MATCH($A13, '[2]Emission Factors'!$B$6:$B$68, 0))</f>
        <v>1.605519112340678</v>
      </c>
      <c r="C13" s="141">
        <f>INDEX('[2]Emission Factors'!$BF$6:$BF$68, MATCH($A13, '[2]Emission Factors'!$B$6:$B$68, 0))</f>
        <v>1.6046930891496984</v>
      </c>
      <c r="D13" s="141">
        <f>INDEX('[2]Emission Factors'!$BJ$6:$BJ$68, MATCH($A13, '[2]Emission Factors'!$B$6:$B$68, 0))</f>
        <v>1.5853722052436168</v>
      </c>
      <c r="E13" s="209">
        <f>INDEX('[2]Emission Factors'!$X$6:$X$68, MATCH($A13, '[2]Emission Factors'!$B$6:$B$68, 0))</f>
        <v>-3.0561257823325922</v>
      </c>
      <c r="F13" s="46">
        <f>INDEX('[2]Emission Factors'!$BB$6:$BB$68, MATCH($A13, '[2]Emission Factors'!$B$6:$B$68, 0))</f>
        <v>0.95899999999999996</v>
      </c>
      <c r="G13" s="47"/>
      <c r="H13" s="48">
        <f t="shared" si="0"/>
        <v>4.1000000000000032</v>
      </c>
      <c r="I13" s="5"/>
      <c r="J13" s="11">
        <f>'Input Sheet'!E75</f>
        <v>0</v>
      </c>
      <c r="K13" s="130">
        <f>IF(ISNUMBER('Input Sheet'!F43),'Input Sheet'!F43,'Data &amp; Calcs Sheet'!J13)</f>
        <v>0</v>
      </c>
      <c r="L13" s="104">
        <f t="shared" si="1"/>
        <v>1.605519112340678</v>
      </c>
      <c r="M13" s="101">
        <f t="shared" si="2"/>
        <v>1.605519112340678</v>
      </c>
      <c r="N13" s="104">
        <f>(J13/'[2]Loss Rates'!$G13)*$E13</f>
        <v>0</v>
      </c>
      <c r="O13" s="104">
        <f>(K13/'[2]Loss Rates'!$G13)*$E13</f>
        <v>0</v>
      </c>
      <c r="P13" s="50"/>
      <c r="Q13" s="104">
        <f t="shared" si="6"/>
        <v>0</v>
      </c>
      <c r="R13" s="101">
        <f t="shared" si="7"/>
        <v>0</v>
      </c>
      <c r="S13" s="126">
        <f>INDEX('[2]Emission Factors'!$AR$6:$AR$68, MATCH($A13, '[2]Emission Factors'!$B$6:$B$68, 0))</f>
        <v>-0.39317065803070644</v>
      </c>
      <c r="T13" s="127">
        <f>INDEX('[2]Emission Factors'!$AL$6:$AL$68, MATCH($A13, '[2]Emission Factors'!$B$6:$B$68, 0))</f>
        <v>-0.3535151759422549</v>
      </c>
      <c r="U13" s="119">
        <f t="shared" si="8"/>
        <v>0</v>
      </c>
      <c r="V13" s="137">
        <f t="shared" si="5"/>
        <v>0</v>
      </c>
      <c r="X13" s="172">
        <f>'[2]Loss Rates'!$H$13</f>
        <v>0.67375886524822692</v>
      </c>
      <c r="Z13" s="172"/>
    </row>
    <row r="14" spans="1:26" x14ac:dyDescent="0.2">
      <c r="A14" s="172" t="s">
        <v>12</v>
      </c>
      <c r="B14" s="141">
        <f>INDEX('[2]Emission Factors'!$BA$6:$BA$68, MATCH($A14, '[2]Emission Factors'!$B$6:$B$68, 0))</f>
        <v>1.9049704608898894</v>
      </c>
      <c r="C14" s="141">
        <f>INDEX('[2]Emission Factors'!$BF$6:$BF$68, MATCH($A14, '[2]Emission Factors'!$B$6:$B$68, 0))</f>
        <v>1.727193980222697</v>
      </c>
      <c r="D14" s="141">
        <f>INDEX('[2]Emission Factors'!$BJ$6:$BJ$68, MATCH($A14, '[2]Emission Factors'!$B$6:$B$68, 0))</f>
        <v>1.1320292405977475</v>
      </c>
      <c r="E14" s="209">
        <f>INDEX('[2]Emission Factors'!$X$6:$X$68, MATCH($A14, '[2]Emission Factors'!$B$6:$B$68, 0))</f>
        <v>-2.0161940925110855</v>
      </c>
      <c r="F14" s="46">
        <f>INDEX('[2]Emission Factors'!$BB$6:$BB$68, MATCH($A14, '[2]Emission Factors'!$B$6:$B$68, 0))</f>
        <v>0.77</v>
      </c>
      <c r="G14" s="47"/>
      <c r="H14" s="48">
        <f t="shared" si="0"/>
        <v>23</v>
      </c>
      <c r="I14" s="5"/>
      <c r="J14" s="11">
        <f>'Input Sheet'!E76</f>
        <v>0</v>
      </c>
      <c r="K14" s="130">
        <f>IF(ISNUMBER('Input Sheet'!F44),'Input Sheet'!F44,'Data &amp; Calcs Sheet'!J14)</f>
        <v>0</v>
      </c>
      <c r="L14" s="104">
        <f t="shared" si="1"/>
        <v>1.9049704608898894</v>
      </c>
      <c r="M14" s="101">
        <f t="shared" si="2"/>
        <v>1.9049704608898894</v>
      </c>
      <c r="N14" s="104">
        <f>(J14/'[2]Loss Rates'!$G14)*$E14</f>
        <v>0</v>
      </c>
      <c r="O14" s="104">
        <f>(K14/'[2]Loss Rates'!$G14)*$E14</f>
        <v>0</v>
      </c>
      <c r="P14" s="50"/>
      <c r="Q14" s="104">
        <f t="shared" si="6"/>
        <v>0</v>
      </c>
      <c r="R14" s="101">
        <f t="shared" si="7"/>
        <v>0</v>
      </c>
      <c r="S14" s="126">
        <f>INDEX('[2]Emission Factors'!$AR$6:$AR$68, MATCH($A14, '[2]Emission Factors'!$B$6:$B$68, 0))</f>
        <v>-0.81540920048382137</v>
      </c>
      <c r="T14" s="127">
        <f>INDEX('[2]Emission Factors'!$AL$6:$AL$68, MATCH($A14, '[2]Emission Factors'!$B$6:$B$68, 0))</f>
        <v>-0.55788868890675092</v>
      </c>
      <c r="U14" s="119">
        <f t="shared" si="8"/>
        <v>0</v>
      </c>
      <c r="V14" s="137">
        <f t="shared" si="5"/>
        <v>0</v>
      </c>
      <c r="X14" s="172">
        <f>'[2]Loss Rates'!$H$14</f>
        <v>0.89538171536286526</v>
      </c>
      <c r="Z14" s="172"/>
    </row>
    <row r="15" spans="1:26" x14ac:dyDescent="0.2">
      <c r="A15" s="172" t="s">
        <v>13</v>
      </c>
      <c r="B15" s="141">
        <f>INDEX('[2]Emission Factors'!$BA$6:$BA$68, MATCH($A15, '[2]Emission Factors'!$B$6:$B$68, 0))</f>
        <v>0.97420499565486507</v>
      </c>
      <c r="C15" s="141">
        <f>INDEX('[2]Emission Factors'!$BF$6:$BF$68, MATCH($A15, '[2]Emission Factors'!$B$6:$B$68, 0))</f>
        <v>0.98742318551063091</v>
      </c>
      <c r="D15" s="141">
        <f>INDEX('[2]Emission Factors'!$BJ$6:$BJ$68, MATCH($A15, '[2]Emission Factors'!$B$6:$B$68, 0))</f>
        <v>1.2965998701857417</v>
      </c>
      <c r="E15" s="209">
        <f>INDEX('[2]Emission Factors'!$X$6:$X$68, MATCH($A15, '[2]Emission Factors'!$B$6:$B$68, 0))</f>
        <v>-3.0561257823325922</v>
      </c>
      <c r="F15" s="46">
        <f>INDEX('[2]Emission Factors'!$BB$6:$BB$68, MATCH($A15, '[2]Emission Factors'!$B$6:$B$68, 0))</f>
        <v>0.95899999999999996</v>
      </c>
      <c r="G15" s="47"/>
      <c r="H15" s="48">
        <f t="shared" si="0"/>
        <v>4.1000000000000032</v>
      </c>
      <c r="I15" s="5"/>
      <c r="J15" s="11">
        <f>'Input Sheet'!E77</f>
        <v>0</v>
      </c>
      <c r="K15" s="130">
        <f>IF(ISNUMBER('Input Sheet'!F45),'Input Sheet'!F45,'Data &amp; Calcs Sheet'!J15)</f>
        <v>0</v>
      </c>
      <c r="L15" s="104">
        <f>((J15/100)*D15)+((1-(J15/100))*B15)</f>
        <v>0.97420499565486507</v>
      </c>
      <c r="M15" s="101">
        <f>((K15/100)*D15)+((1-(K15/100))*B15)</f>
        <v>0.97420499565486507</v>
      </c>
      <c r="N15" s="104">
        <f>(J15/'[2]Loss Rates'!$G15)*$E15</f>
        <v>0</v>
      </c>
      <c r="O15" s="104">
        <f>(K15/'[2]Loss Rates'!$G15)*$E15</f>
        <v>0</v>
      </c>
      <c r="P15" s="50"/>
      <c r="Q15" s="104">
        <f t="shared" si="6"/>
        <v>0</v>
      </c>
      <c r="R15" s="101">
        <f t="shared" si="7"/>
        <v>0</v>
      </c>
      <c r="S15" s="126">
        <f>INDEX('[2]Emission Factors'!$AR$6:$AR$68, MATCH($A15, '[2]Emission Factors'!$B$6:$B$68, 0))</f>
        <v>1.2469312790822151</v>
      </c>
      <c r="T15" s="127">
        <f>INDEX('[2]Emission Factors'!$AL$6:$AL$68, MATCH($A15, '[2]Emission Factors'!$B$6:$B$68, 0))</f>
        <v>-0.47058202475029826</v>
      </c>
      <c r="U15" s="119">
        <f t="shared" si="8"/>
        <v>0</v>
      </c>
      <c r="V15" s="137">
        <f>R15/100*((S15*$R$2/100)+(T15*$T$2/100))</f>
        <v>0</v>
      </c>
      <c r="X15" s="172">
        <f>'[2]Loss Rates'!$H$15</f>
        <v>0.59672131147540997</v>
      </c>
      <c r="Z15" s="172"/>
    </row>
    <row r="16" spans="1:26" x14ac:dyDescent="0.2">
      <c r="A16" s="172" t="s">
        <v>14</v>
      </c>
      <c r="B16" s="141">
        <f>INDEX('[2]Emission Factors'!$BA$6:$BA$68, MATCH($A16, '[2]Emission Factors'!$B$6:$B$68, 0))</f>
        <v>2.3338585504283667</v>
      </c>
      <c r="C16" s="141">
        <f>INDEX('[2]Emission Factors'!$BF$6:$BF$68, MATCH($A16, '[2]Emission Factors'!$B$6:$B$68, 0))</f>
        <v>2.3338585504283667</v>
      </c>
      <c r="D16" s="141">
        <f>INDEX('[2]Emission Factors'!$BJ$6:$BJ$68, MATCH($A16, '[2]Emission Factors'!$B$6:$B$68, 0))</f>
        <v>1.4406790024586595</v>
      </c>
      <c r="E16" s="209">
        <f>INDEX('[2]Emission Factors'!$X$6:$X$68, MATCH($A16, '[2]Emission Factors'!$B$6:$B$68, 0))</f>
        <v>-2.0161940925110855</v>
      </c>
      <c r="F16" s="46">
        <f>INDEX('[2]Emission Factors'!$BB$6:$BB$68, MATCH($A16, '[2]Emission Factors'!$B$6:$B$68, 0))</f>
        <v>1</v>
      </c>
      <c r="G16" s="47"/>
      <c r="H16" s="48">
        <f t="shared" si="0"/>
        <v>0</v>
      </c>
      <c r="I16" s="5"/>
      <c r="J16" s="11">
        <f>'Input Sheet'!E78</f>
        <v>0</v>
      </c>
      <c r="K16" s="130">
        <f>IF(ISNUMBER('Input Sheet'!F46),'Input Sheet'!F46,'Data &amp; Calcs Sheet'!J16)</f>
        <v>0</v>
      </c>
      <c r="L16" s="104">
        <f t="shared" si="1"/>
        <v>2.3338585504283667</v>
      </c>
      <c r="M16" s="101">
        <f t="shared" si="2"/>
        <v>2.3338585504283667</v>
      </c>
      <c r="N16" s="104">
        <f>(J16/'[2]Loss Rates'!$G16)*$E16</f>
        <v>0</v>
      </c>
      <c r="O16" s="104">
        <f>(K16/'[2]Loss Rates'!$G16)*$E16</f>
        <v>0</v>
      </c>
      <c r="P16" s="50"/>
      <c r="Q16" s="104">
        <f t="shared" si="6"/>
        <v>0</v>
      </c>
      <c r="R16" s="101">
        <f t="shared" si="7"/>
        <v>0</v>
      </c>
      <c r="S16" s="126">
        <f>INDEX('[2]Emission Factors'!$AR$6:$AR$68, MATCH($A16, '[2]Emission Factors'!$B$6:$B$68, 0))</f>
        <v>-0.81540920048382137</v>
      </c>
      <c r="T16" s="127">
        <f>INDEX('[2]Emission Factors'!$AL$6:$AL$68, MATCH($A16, '[2]Emission Factors'!$B$6:$B$68, 0))</f>
        <v>-0.55788868890675092</v>
      </c>
      <c r="U16" s="119">
        <f t="shared" si="8"/>
        <v>0</v>
      </c>
      <c r="V16" s="137">
        <f t="shared" si="5"/>
        <v>0</v>
      </c>
      <c r="X16" s="172">
        <f>'[2]Loss Rates'!$H$16</f>
        <v>0.6785714285714286</v>
      </c>
    </row>
    <row r="17" spans="1:25" x14ac:dyDescent="0.2">
      <c r="A17" s="172" t="s">
        <v>15</v>
      </c>
      <c r="B17" s="141">
        <f>INDEX('[2]Emission Factors'!$BA$6:$BA$68, MATCH($A17, '[2]Emission Factors'!$B$6:$B$68, 0))</f>
        <v>2.0652331224675518</v>
      </c>
      <c r="C17" s="141">
        <f>INDEX('[2]Emission Factors'!$BF$6:$BF$68, MATCH($A17, '[2]Emission Factors'!$B$6:$B$68, 0))</f>
        <v>2.0622281200594275</v>
      </c>
      <c r="D17" s="141">
        <f>INDEX('[2]Emission Factors'!$BJ$6:$BJ$68, MATCH($A17, '[2]Emission Factors'!$B$6:$B$68, 0))</f>
        <v>1.9919403808059815</v>
      </c>
      <c r="E17" s="209">
        <f>INDEX('[2]Emission Factors'!$X$6:$X$68, MATCH($A17, '[2]Emission Factors'!$B$6:$B$68, 0))</f>
        <v>-3.0561257823325922</v>
      </c>
      <c r="F17" s="46">
        <f>INDEX('[2]Emission Factors'!$BB$6:$BB$68, MATCH($A17, '[2]Emission Factors'!$B$6:$B$68, 0))</f>
        <v>0.95899999999999996</v>
      </c>
      <c r="G17" s="47"/>
      <c r="H17" s="48">
        <f t="shared" si="0"/>
        <v>4.1000000000000032</v>
      </c>
      <c r="I17" s="5"/>
      <c r="J17" s="11">
        <f>'Input Sheet'!E79</f>
        <v>0</v>
      </c>
      <c r="K17" s="130">
        <f>IF(ISNUMBER('Input Sheet'!F47),'Input Sheet'!F47,'Data &amp; Calcs Sheet'!J17)</f>
        <v>0</v>
      </c>
      <c r="L17" s="104">
        <f>((J17/100)*D17)+((1-(J17/100))*B17)</f>
        <v>2.0652331224675518</v>
      </c>
      <c r="M17" s="101">
        <f t="shared" si="2"/>
        <v>2.0652331224675518</v>
      </c>
      <c r="N17" s="104">
        <f>(J17/'[2]Loss Rates'!$G17)*$E17</f>
        <v>0</v>
      </c>
      <c r="O17" s="104">
        <f>(K17/'[2]Loss Rates'!$G17)*$E17</f>
        <v>0</v>
      </c>
      <c r="P17" s="50"/>
      <c r="Q17" s="104">
        <f t="shared" si="6"/>
        <v>0</v>
      </c>
      <c r="R17" s="101">
        <f t="shared" si="7"/>
        <v>0</v>
      </c>
      <c r="S17" s="126">
        <f>INDEX('[2]Emission Factors'!$AR$6:$AR$68, MATCH($A17, '[2]Emission Factors'!$B$6:$B$68, 0))</f>
        <v>1.2469312790822151</v>
      </c>
      <c r="T17" s="127">
        <f>INDEX('[2]Emission Factors'!$AL$6:$AL$68, MATCH($A17, '[2]Emission Factors'!$B$6:$B$68, 0))</f>
        <v>-0.47058202475029826</v>
      </c>
      <c r="U17" s="119">
        <f t="shared" si="8"/>
        <v>0</v>
      </c>
      <c r="V17" s="137">
        <f t="shared" si="5"/>
        <v>0</v>
      </c>
      <c r="X17" s="172">
        <f>'[2]Loss Rates'!$H$17</f>
        <v>0.6597222222222221</v>
      </c>
    </row>
    <row r="18" spans="1:25" x14ac:dyDescent="0.2">
      <c r="A18" s="172" t="s">
        <v>16</v>
      </c>
      <c r="B18" s="141">
        <f>INDEX('[2]Emission Factors'!$BA$6:$BA$68, MATCH($A18, '[2]Emission Factors'!$B$6:$B$68, 0))</f>
        <v>0.17733937644575259</v>
      </c>
      <c r="C18" s="141">
        <f>INDEX('[2]Emission Factors'!$BF$6:$BF$68, MATCH($A18, '[2]Emission Factors'!$B$6:$B$68, 0))</f>
        <v>0.17733937644575259</v>
      </c>
      <c r="D18" s="141">
        <f>INDEX('[2]Emission Factors'!$BJ$6:$BJ$68, MATCH($A18, '[2]Emission Factors'!$B$6:$B$68, 0))</f>
        <v>0.25981729776070001</v>
      </c>
      <c r="E18" s="209">
        <f>INDEX('[2]Emission Factors'!$X$6:$X$68, MATCH($A18, '[2]Emission Factors'!$B$6:$B$68, 0))</f>
        <v>-2.5339463107566775</v>
      </c>
      <c r="F18" s="46">
        <f>INDEX('[2]Emission Factors'!$BB$6:$BB$68, MATCH($A18, '[2]Emission Factors'!$B$6:$B$68, 0))</f>
        <v>1</v>
      </c>
      <c r="G18" s="47"/>
      <c r="H18" s="48">
        <f t="shared" si="0"/>
        <v>0</v>
      </c>
      <c r="I18" s="5"/>
      <c r="J18" s="11">
        <f>'Input Sheet'!E80</f>
        <v>0</v>
      </c>
      <c r="K18" s="130">
        <f>IF(ISNUMBER('Input Sheet'!F48),'Input Sheet'!F48,'Data &amp; Calcs Sheet'!J18)</f>
        <v>0</v>
      </c>
      <c r="L18" s="104">
        <f t="shared" si="1"/>
        <v>0.17733937644575259</v>
      </c>
      <c r="M18" s="101">
        <f t="shared" si="2"/>
        <v>0.17733937644575259</v>
      </c>
      <c r="N18" s="104">
        <f>(J18/'[2]Loss Rates'!$D18)*$E18/100</f>
        <v>0</v>
      </c>
      <c r="O18" s="104">
        <f>(K18/'[2]Loss Rates'!$D18)*$E18/100</f>
        <v>0</v>
      </c>
      <c r="P18" s="50"/>
      <c r="Q18" s="104">
        <f t="shared" si="6"/>
        <v>0</v>
      </c>
      <c r="R18" s="101">
        <f t="shared" si="7"/>
        <v>0</v>
      </c>
      <c r="S18" s="126">
        <f>INDEX('[2]Emission Factors'!$AR$6:$AR$68, MATCH($A18, '[2]Emission Factors'!$B$6:$B$68, 0))</f>
        <v>-1.0123098723586159</v>
      </c>
      <c r="T18" s="127">
        <f>INDEX('[2]Emission Factors'!$AL$6:$AL$68, MATCH($A18, '[2]Emission Factors'!$B$6:$B$68, 0))</f>
        <v>-0.58446028234567138</v>
      </c>
      <c r="U18" s="119">
        <f t="shared" si="8"/>
        <v>0</v>
      </c>
      <c r="V18" s="137">
        <f t="shared" si="5"/>
        <v>0</v>
      </c>
      <c r="X18" s="172">
        <f>'[2]Loss Rates'!$F$18</f>
        <v>0.79992000000000008</v>
      </c>
    </row>
    <row r="19" spans="1:25" x14ac:dyDescent="0.2">
      <c r="A19" s="172" t="s">
        <v>17</v>
      </c>
      <c r="B19" s="141">
        <f>INDEX('[2]Emission Factors'!$BA$6:$BA$68, MATCH($A19, '[2]Emission Factors'!$B$6:$B$68, 0))</f>
        <v>0.37802115645110884</v>
      </c>
      <c r="C19" s="141">
        <f>INDEX('[2]Emission Factors'!$BF$6:$BF$68, MATCH($A19, '[2]Emission Factors'!$B$6:$B$68, 0))</f>
        <v>0.37802115645110884</v>
      </c>
      <c r="D19" s="141">
        <f>INDEX('[2]Emission Factors'!$BJ$6:$BJ$68, MATCH($A19, '[2]Emission Factors'!$B$6:$B$68, 0))</f>
        <v>0.4571695811177755</v>
      </c>
      <c r="E19" s="209">
        <f>INDEX('[2]Emission Factors'!$X$6:$X$68, MATCH($A19, '[2]Emission Factors'!$B$6:$B$68, 0))</f>
        <v>-2.5339463107566775</v>
      </c>
      <c r="F19" s="46">
        <f>INDEX('[2]Emission Factors'!$BB$6:$BB$68, MATCH($A19, '[2]Emission Factors'!$B$6:$B$68, 0))</f>
        <v>1</v>
      </c>
      <c r="G19" s="47"/>
      <c r="H19" s="48">
        <f t="shared" si="0"/>
        <v>0</v>
      </c>
      <c r="I19" s="5"/>
      <c r="J19" s="11">
        <f>'Input Sheet'!E81</f>
        <v>0</v>
      </c>
      <c r="K19" s="130">
        <f>IF(ISNUMBER('Input Sheet'!F49),'Input Sheet'!F49,'Data &amp; Calcs Sheet'!J19)</f>
        <v>0</v>
      </c>
      <c r="L19" s="104">
        <f t="shared" si="1"/>
        <v>0.37802115645110884</v>
      </c>
      <c r="M19" s="101">
        <f t="shared" si="2"/>
        <v>0.37802115645110884</v>
      </c>
      <c r="N19" s="104">
        <f>(J19/'[2]Loss Rates'!$D19)*$E19/100</f>
        <v>0</v>
      </c>
      <c r="O19" s="104">
        <f>(K19/'[2]Loss Rates'!$D19)*$E19/100</f>
        <v>0</v>
      </c>
      <c r="P19" s="50"/>
      <c r="Q19" s="104">
        <f t="shared" si="6"/>
        <v>0</v>
      </c>
      <c r="R19" s="101">
        <f t="shared" si="7"/>
        <v>0</v>
      </c>
      <c r="S19" s="126">
        <f>INDEX('[2]Emission Factors'!$AR$6:$AR$68, MATCH($A19, '[2]Emission Factors'!$B$6:$B$68, 0))</f>
        <v>-0.88410783494206047</v>
      </c>
      <c r="T19" s="127">
        <f>INDEX('[2]Emission Factors'!$AL$6:$AL$68, MATCH($A19, '[2]Emission Factors'!$B$6:$B$68, 0))</f>
        <v>-0.58446028234567138</v>
      </c>
      <c r="U19" s="119">
        <f t="shared" si="8"/>
        <v>0</v>
      </c>
      <c r="V19" s="137">
        <f t="shared" si="5"/>
        <v>0</v>
      </c>
      <c r="X19" s="172">
        <f>'[2]Loss Rates'!$F$19</f>
        <v>0.79992000000000008</v>
      </c>
    </row>
    <row r="20" spans="1:25" x14ac:dyDescent="0.2">
      <c r="A20" t="s">
        <v>187</v>
      </c>
      <c r="B20" s="141">
        <f>INDEX('[2]Emission Factors'!$BA$6:$BA$68, MATCH($A20, '[2]Emission Factors'!$B$6:$B$68, 0))</f>
        <v>1.1773320154991123</v>
      </c>
      <c r="C20" s="141">
        <f>INDEX('[2]Emission Factors'!$BF$6:$BF$68, MATCH($A20, '[2]Emission Factors'!$B$6:$B$68, 0))</f>
        <v>1.1481438690968615</v>
      </c>
      <c r="D20" s="141">
        <f>INDEX('[2]Emission Factors'!$BJ$6:$BJ$68, MATCH($A20, '[2]Emission Factors'!$B$6:$B$68, 0))</f>
        <v>1.0859273072654045</v>
      </c>
      <c r="E20" s="209">
        <f>INDEX('[2]Emission Factors'!$X$6:$X$68, MATCH($A20, '[2]Emission Factors'!$B$6:$B$68, 0))</f>
        <v>-3.0561257823325922</v>
      </c>
      <c r="F20" s="46">
        <f>INDEX('[2]Emission Factors'!$BB$6:$BB$68, MATCH($A20, '[2]Emission Factors'!$B$6:$B$68, 0))</f>
        <v>0.76579999999999993</v>
      </c>
      <c r="G20" s="47"/>
      <c r="H20" s="48">
        <f t="shared" si="0"/>
        <v>23.420000000000009</v>
      </c>
      <c r="I20" s="5"/>
      <c r="J20" s="11">
        <f>'Input Sheet'!E82</f>
        <v>0</v>
      </c>
      <c r="K20" s="130">
        <f>IF(ISNUMBER('Input Sheet'!F50),'Input Sheet'!F50,'Data &amp; Calcs Sheet'!J20)</f>
        <v>0</v>
      </c>
      <c r="L20" s="104">
        <f t="shared" si="1"/>
        <v>1.1773320154991123</v>
      </c>
      <c r="M20" s="101">
        <f t="shared" si="2"/>
        <v>1.1773320154991123</v>
      </c>
      <c r="N20" s="104">
        <f>(J20/SUM('[2]Loss Rates'!$G$12*[2]Assumptions!$E$25,'[2]Loss Rates'!$G$13*[2]Assumptions!$E$27,'[2]Loss Rates'!$G$14*[2]Assumptions!$E$24,'[2]Loss Rates'!$G$15*[2]Assumptions!$E$26))*$E20</f>
        <v>0</v>
      </c>
      <c r="O20" s="104">
        <f>(K20/SUM('[2]Loss Rates'!$G$12*[2]Assumptions!$E$25,'[2]Loss Rates'!$G$13*[2]Assumptions!$E$27,'[2]Loss Rates'!$G$14*[2]Assumptions!$E$24,'[2]Loss Rates'!$G$15*[2]Assumptions!$E$26))*$E20</f>
        <v>0</v>
      </c>
      <c r="P20" s="50"/>
      <c r="Q20" s="104">
        <f t="shared" si="6"/>
        <v>0</v>
      </c>
      <c r="R20" s="101">
        <f t="shared" si="7"/>
        <v>0</v>
      </c>
      <c r="S20" s="126">
        <f>INDEX('[2]Emission Factors'!$AR$6:$AR$68, MATCH($A20, '[2]Emission Factors'!$B$6:$B$68, 0))</f>
        <v>0.14300657537439743</v>
      </c>
      <c r="T20" s="127">
        <f>INDEX('[2]Emission Factors'!$AL$6:$AL$68, MATCH($A20, '[2]Emission Factors'!$B$6:$B$68, 0))</f>
        <v>-0.49102544955381972</v>
      </c>
      <c r="U20" s="119">
        <f t="shared" si="8"/>
        <v>0</v>
      </c>
      <c r="V20" s="137">
        <f t="shared" si="5"/>
        <v>0</v>
      </c>
      <c r="X20" s="214">
        <f>SUM('[2]Loss Rates'!$H$12*[2]Assumptions!$E$25,'[2]Loss Rates'!$H$13*[2]Assumptions!$E$27,'[2]Loss Rates'!$H$14*[2]Assumptions!$E$24,'[2]Loss Rates'!$H$15*[2]Assumptions!$E$26)</f>
        <v>0.83673471404314936</v>
      </c>
    </row>
    <row r="21" spans="1:25" x14ac:dyDescent="0.2">
      <c r="A21" t="s">
        <v>189</v>
      </c>
      <c r="B21" s="141">
        <f>INDEX('[2]Emission Factors'!$BA$6:$BA$68, MATCH($A21, '[2]Emission Factors'!$B$6:$B$68, 0))</f>
        <v>1.1732796201443303</v>
      </c>
      <c r="C21" s="141">
        <f>INDEX('[2]Emission Factors'!$BF$6:$BF$68, MATCH($A21, '[2]Emission Factors'!$B$6:$B$68, 0))</f>
        <v>1.1461951113646274</v>
      </c>
      <c r="D21" s="141">
        <f>INDEX('[2]Emission Factors'!$BJ$6:$BJ$68, MATCH($A21, '[2]Emission Factors'!$B$6:$B$68, 0))</f>
        <v>1.0731112312391247</v>
      </c>
      <c r="E21" s="209">
        <f>INDEX('[2]Emission Factors'!$X$6:$X$68, MATCH($A21, '[2]Emission Factors'!$B$6:$B$68, 0))</f>
        <v>-3.0561257823325922</v>
      </c>
      <c r="F21" s="46">
        <f>INDEX('[2]Emission Factors'!$BB$6:$BB$68, MATCH($A21, '[2]Emission Factors'!$B$6:$B$68, 0))</f>
        <v>0.75229000000000001</v>
      </c>
      <c r="G21" s="47"/>
      <c r="H21" s="48">
        <f t="shared" si="0"/>
        <v>24.770999999999997</v>
      </c>
      <c r="I21" s="5"/>
      <c r="J21" s="11">
        <f>'Input Sheet'!E83</f>
        <v>0</v>
      </c>
      <c r="K21" s="130">
        <f>IF(ISNUMBER('Input Sheet'!F51),'Input Sheet'!F51,'Data &amp; Calcs Sheet'!J21)</f>
        <v>0</v>
      </c>
      <c r="L21" s="104">
        <f t="shared" si="1"/>
        <v>1.1732796201443303</v>
      </c>
      <c r="M21" s="101">
        <f t="shared" si="2"/>
        <v>1.1732796201443303</v>
      </c>
      <c r="N21" s="104">
        <f>(J21/SUM('[2]Loss Rates'!$G$12*[2]Assumptions!$F$25,'[2]Loss Rates'!$G$13*[2]Assumptions!$F$27,'[2]Loss Rates'!$G$14*[2]Assumptions!$F$24,'[2]Loss Rates'!$G$15*[2]Assumptions!$F$26))*$E21</f>
        <v>0</v>
      </c>
      <c r="O21" s="104">
        <f>(K21/SUM('[2]Loss Rates'!$G$12*[2]Assumptions!$F$25,'[2]Loss Rates'!$G$13*[2]Assumptions!$F$27,'[2]Loss Rates'!$G$14*[2]Assumptions!$F$24,'[2]Loss Rates'!$G$15*[2]Assumptions!$F$26))*$E21</f>
        <v>0</v>
      </c>
      <c r="P21" s="50"/>
      <c r="Q21" s="104">
        <f t="shared" si="6"/>
        <v>0</v>
      </c>
      <c r="R21" s="101">
        <f t="shared" si="7"/>
        <v>0</v>
      </c>
      <c r="S21" s="126">
        <f>INDEX('[2]Emission Factors'!$AR$6:$AR$68, MATCH($A21, '[2]Emission Factors'!$B$6:$B$68, 0))</f>
        <v>8.0678548127969818E-2</v>
      </c>
      <c r="T21" s="127">
        <f>INDEX('[2]Emission Factors'!$AL$6:$AL$68, MATCH($A21, '[2]Emission Factors'!$B$6:$B$68, 0))</f>
        <v>-0.48873345982261679</v>
      </c>
      <c r="U21" s="119">
        <f t="shared" si="8"/>
        <v>0</v>
      </c>
      <c r="V21" s="137">
        <f t="shared" si="5"/>
        <v>0</v>
      </c>
      <c r="X21" s="214">
        <f>SUM('[2]Loss Rates'!$H$12*[2]Assumptions!$F$25,'[2]Loss Rates'!$H$13*[2]Assumptions!$F$27,'[2]Loss Rates'!$H$14*[2]Assumptions!$F$24,'[2]Loss Rates'!$H$15*[2]Assumptions!$F$26)</f>
        <v>0.85218176746857754</v>
      </c>
    </row>
    <row r="22" spans="1:25" x14ac:dyDescent="0.2">
      <c r="A22" t="s">
        <v>188</v>
      </c>
      <c r="B22" s="141">
        <f>INDEX('[2]Emission Factors'!$BA$6:$BA$68, MATCH($A22, '[2]Emission Factors'!$B$6:$B$68, 0))</f>
        <v>1.3895678023249647</v>
      </c>
      <c r="C22" s="141">
        <f>INDEX('[2]Emission Factors'!$BF$6:$BF$68, MATCH($A22, '[2]Emission Factors'!$B$6:$B$68, 0))</f>
        <v>1.3580957698523342</v>
      </c>
      <c r="D22" s="241">
        <f>INDEX('[2]Emission Factors'!$BJ$6:$BJ$68, MATCH($A22, '[2]Emission Factors'!$B$6:$B$68, 0))</f>
        <v>1.3457608495697804</v>
      </c>
      <c r="E22" s="209">
        <f>INDEX('[2]Emission Factors'!$X$6:$X$68, MATCH($A22, '[2]Emission Factors'!$B$6:$B$68, 0))</f>
        <v>-3.0561257823325922</v>
      </c>
      <c r="F22" s="46">
        <f>INDEX('[2]Emission Factors'!$BB$6:$BB$68, MATCH($A22, '[2]Emission Factors'!$B$6:$B$68, 0))</f>
        <v>0.90390999999999999</v>
      </c>
      <c r="G22" s="47"/>
      <c r="H22" s="48">
        <f t="shared" si="0"/>
        <v>9.6090000000000018</v>
      </c>
      <c r="I22" s="5"/>
      <c r="J22" s="11">
        <f>'Input Sheet'!E84</f>
        <v>0</v>
      </c>
      <c r="K22" s="130">
        <f>IF(ISNUMBER('Input Sheet'!F52),'Input Sheet'!F52,'Data &amp; Calcs Sheet'!J22)</f>
        <v>0</v>
      </c>
      <c r="L22" s="104">
        <f t="shared" si="1"/>
        <v>1.3895678023249647</v>
      </c>
      <c r="M22" s="101">
        <f t="shared" si="2"/>
        <v>1.3895678023249647</v>
      </c>
      <c r="N22" s="104">
        <f>(J22/SUM('[2]Loss Rates'!$G$12*[2]Assumptions!$G$25,'[2]Loss Rates'!$G$13*[2]Assumptions!$G$27,'[2]Loss Rates'!$G$14*[2]Assumptions!$G$24,'[2]Loss Rates'!$G$15*[2]Assumptions!$G$26))*$E22</f>
        <v>0</v>
      </c>
      <c r="O22" s="104">
        <f>(K22/SUM('[2]Loss Rates'!$G$12*[2]Assumptions!$G$25,'[2]Loss Rates'!$G$13*[2]Assumptions!$G$27,'[2]Loss Rates'!$G$14*[2]Assumptions!$G$24,'[2]Loss Rates'!$G$15*[2]Assumptions!$G$26))*$E22</f>
        <v>0</v>
      </c>
      <c r="P22" s="50"/>
      <c r="Q22" s="104">
        <f t="shared" si="6"/>
        <v>0</v>
      </c>
      <c r="R22" s="101">
        <f t="shared" si="7"/>
        <v>0</v>
      </c>
      <c r="S22" s="126">
        <f>INDEX('[2]Emission Factors'!$AR$6:$AR$68, MATCH($A22, '[2]Emission Factors'!$B$6:$B$68, 0))</f>
        <v>0.17855834867650122</v>
      </c>
      <c r="T22" s="127">
        <f>INDEX('[2]Emission Factors'!$AL$6:$AL$68, MATCH($A22, '[2]Emission Factors'!$B$6:$B$68, 0))</f>
        <v>-0.44769477253878021</v>
      </c>
      <c r="U22" s="119">
        <f t="shared" si="8"/>
        <v>0</v>
      </c>
      <c r="V22" s="137">
        <f t="shared" si="5"/>
        <v>0</v>
      </c>
      <c r="X22" s="214">
        <f>SUM('[2]Loss Rates'!$H$12*[2]Assumptions!$G$25,'[2]Loss Rates'!$H$13*[2]Assumptions!$G$27,'[2]Loss Rates'!$H$14*[2]Assumptions!$G$24,'[2]Loss Rates'!$H$15*[2]Assumptions!$G$26)</f>
        <v>0.70406642203883596</v>
      </c>
    </row>
    <row r="23" spans="1:25" x14ac:dyDescent="0.2">
      <c r="A23" t="s">
        <v>211</v>
      </c>
      <c r="B23" s="141">
        <f>INDEX('[2]Emission Factors'!$BA$6:$BA$68, MATCH($A23, '[2]Emission Factors'!$B$6:$B$68, 0))</f>
        <v>6.2167180857578943</v>
      </c>
      <c r="C23" s="141">
        <f>INDEX('[2]Emission Factors'!$BF$6:$BF$68, MATCH($A23, '[2]Emission Factors'!$B$6:$B$68, 0))</f>
        <v>3.6490566431171434</v>
      </c>
      <c r="D23" s="141">
        <f>INDEX('[2]Emission Factors'!$BJ$6:$BJ$68, MATCH($A23, '[2]Emission Factors'!$B$6:$B$68, 0))</f>
        <v>1.8012837340255765</v>
      </c>
      <c r="E23" s="209">
        <f>INDEX('[2]Emission Factors'!$X$6:$X$68, MATCH($A23, '[2]Emission Factors'!$B$6:$B$68, 0))</f>
        <v>0</v>
      </c>
      <c r="F23" s="46">
        <f>INDEX('[2]Emission Factors'!$BB$6:$BB$68, MATCH($A23, '[2]Emission Factors'!$B$6:$B$68, 0))</f>
        <v>0.54987434554973824</v>
      </c>
      <c r="G23" s="47"/>
      <c r="H23" s="48">
        <f t="shared" si="0"/>
        <v>45.012565445026176</v>
      </c>
      <c r="I23" s="5"/>
      <c r="J23" s="11">
        <f>'Input Sheet'!E85</f>
        <v>0</v>
      </c>
      <c r="K23" s="130">
        <f>IF(ISNUMBER('Input Sheet'!F53),'Input Sheet'!F53,'Data &amp; Calcs Sheet'!J23)</f>
        <v>0</v>
      </c>
      <c r="L23" s="104">
        <f t="shared" si="1"/>
        <v>6.2167180857578943</v>
      </c>
      <c r="M23" s="101">
        <f t="shared" si="2"/>
        <v>6.2167180857578943</v>
      </c>
      <c r="N23" s="104">
        <f>(J23/100)*$E23</f>
        <v>0</v>
      </c>
      <c r="O23" s="104">
        <f>(K23/100)*$E23</f>
        <v>0</v>
      </c>
      <c r="P23" s="50"/>
      <c r="Q23" s="104">
        <f t="shared" si="6"/>
        <v>0</v>
      </c>
      <c r="R23" s="101">
        <f t="shared" si="7"/>
        <v>0</v>
      </c>
      <c r="S23" s="126">
        <f>INDEX('[2]Emission Factors'!$AR$6:$AR$68, MATCH($A23, '[2]Emission Factors'!$B$6:$B$68, 0))</f>
        <v>2.0254519141196047E-2</v>
      </c>
      <c r="T23" s="127">
        <f>INDEX('[2]Emission Factors'!$AL$6:$AL$68, MATCH($A23, '[2]Emission Factors'!$B$6:$B$68, 0))</f>
        <v>-1.0207885454874923</v>
      </c>
      <c r="U23" s="119">
        <f t="shared" si="8"/>
        <v>0</v>
      </c>
      <c r="V23" s="137">
        <f t="shared" si="5"/>
        <v>0</v>
      </c>
      <c r="X23" s="214">
        <f>(X5*[2]Assumptions!$F$97)+(X7*[2]Assumptions!$F$98)</f>
        <v>0.9870157068062827</v>
      </c>
    </row>
    <row r="24" spans="1:25" x14ac:dyDescent="0.2">
      <c r="A24" t="s">
        <v>212</v>
      </c>
      <c r="B24" s="141">
        <f>INDEX('[2]Emission Factors'!$BA$6:$BA$68, MATCH($A24, '[2]Emission Factors'!$B$6:$B$68, 0))</f>
        <v>1.9371857631503815</v>
      </c>
      <c r="C24" s="141">
        <f>INDEX('[2]Emission Factors'!$BF$6:$BF$68, MATCH($A24, '[2]Emission Factors'!$B$6:$B$68, 0))</f>
        <v>1.874286987291419</v>
      </c>
      <c r="D24" s="141">
        <f>INDEX('[2]Emission Factors'!$BJ$6:$BJ$68, MATCH($A24, '[2]Emission Factors'!$B$6:$B$68, 0))</f>
        <v>0.76519146731223653</v>
      </c>
      <c r="E24" s="209">
        <f>INDEX('[2]Emission Factors'!$X$6:$X$68, MATCH($A24, '[2]Emission Factors'!$B$6:$B$68, 0))</f>
        <v>0</v>
      </c>
      <c r="F24" s="46">
        <f>INDEX('[2]Emission Factors'!$BB$6:$BB$68, MATCH($A24, '[2]Emission Factors'!$B$6:$B$68, 0))</f>
        <v>0.94217948717948707</v>
      </c>
      <c r="G24" s="47"/>
      <c r="H24" s="48">
        <f t="shared" si="0"/>
        <v>5.7820512820512926</v>
      </c>
      <c r="I24" s="5"/>
      <c r="J24" s="11">
        <f>'Input Sheet'!E86</f>
        <v>0</v>
      </c>
      <c r="K24" s="130">
        <f>IF(ISNUMBER('Input Sheet'!F54),'Input Sheet'!F54,'Data &amp; Calcs Sheet'!J24)</f>
        <v>0</v>
      </c>
      <c r="L24" s="104">
        <f t="shared" si="1"/>
        <v>1.9371857631503815</v>
      </c>
      <c r="M24" s="101">
        <f t="shared" si="2"/>
        <v>1.9371857631503815</v>
      </c>
      <c r="N24" s="104">
        <f>(J24/100)*$E24</f>
        <v>0</v>
      </c>
      <c r="O24" s="104">
        <f>(K24/100)*$E24</f>
        <v>0</v>
      </c>
      <c r="P24" s="50"/>
      <c r="Q24" s="104">
        <f t="shared" si="6"/>
        <v>0</v>
      </c>
      <c r="R24" s="101">
        <f t="shared" si="7"/>
        <v>0</v>
      </c>
      <c r="S24" s="126">
        <f>INDEX('[2]Emission Factors'!$AR$6:$AR$68, MATCH($A24, '[2]Emission Factors'!$B$6:$B$68, 0))</f>
        <v>2.0254519141196047E-2</v>
      </c>
      <c r="T24" s="127">
        <f>INDEX('[2]Emission Factors'!$AL$6:$AL$68, MATCH($A24, '[2]Emission Factors'!$B$6:$B$68, 0))</f>
        <v>1.2592539836731671</v>
      </c>
      <c r="U24" s="119">
        <f t="shared" si="8"/>
        <v>0</v>
      </c>
      <c r="V24" s="137">
        <f t="shared" si="5"/>
        <v>0</v>
      </c>
      <c r="X24" s="214">
        <f>(X10*[2]Assumptions!$D$97)+(X11*[2]Assumptions!$D$98)</f>
        <v>0.87748109320086365</v>
      </c>
    </row>
    <row r="25" spans="1:25" x14ac:dyDescent="0.2">
      <c r="F25" s="176"/>
      <c r="G25" s="176"/>
      <c r="H25" s="176"/>
      <c r="M25" s="140"/>
      <c r="O25" s="140"/>
    </row>
    <row r="26" spans="1:25" ht="13.5" thickBot="1" x14ac:dyDescent="0.25">
      <c r="D26" s="139"/>
      <c r="E26" s="138"/>
      <c r="F26" s="176"/>
      <c r="G26" s="176"/>
      <c r="H26" s="176"/>
      <c r="N26" s="140"/>
    </row>
    <row r="27" spans="1:25" ht="14.25" thickTop="1" thickBot="1" x14ac:dyDescent="0.25">
      <c r="A27" s="177" t="s">
        <v>40</v>
      </c>
      <c r="F27" s="176"/>
      <c r="G27" s="176"/>
      <c r="H27" s="176"/>
      <c r="J27" s="307" t="s">
        <v>123</v>
      </c>
      <c r="K27" s="308"/>
      <c r="L27" s="308"/>
      <c r="M27" s="308"/>
      <c r="N27" s="301" t="s">
        <v>115</v>
      </c>
      <c r="O27" s="302"/>
      <c r="Q27" s="303" t="s">
        <v>132</v>
      </c>
      <c r="R27" s="304"/>
      <c r="S27" s="304"/>
      <c r="T27" s="304"/>
      <c r="U27" s="304"/>
      <c r="V27" s="305"/>
    </row>
    <row r="28" spans="1:25" ht="51" x14ac:dyDescent="0.2">
      <c r="A28" s="6" t="s">
        <v>41</v>
      </c>
      <c r="B28" s="142" t="s">
        <v>130</v>
      </c>
      <c r="C28" s="142" t="s">
        <v>190</v>
      </c>
      <c r="D28" s="143" t="s">
        <v>131</v>
      </c>
      <c r="F28" s="45" t="s">
        <v>4</v>
      </c>
      <c r="G28" s="44"/>
      <c r="H28" s="45" t="s">
        <v>18</v>
      </c>
      <c r="J28" s="105" t="s">
        <v>20</v>
      </c>
      <c r="K28" s="129" t="s">
        <v>22</v>
      </c>
      <c r="L28" s="131" t="s">
        <v>124</v>
      </c>
      <c r="M28" s="108" t="s">
        <v>125</v>
      </c>
      <c r="N28" s="109" t="s">
        <v>138</v>
      </c>
      <c r="O28" s="110" t="s">
        <v>139</v>
      </c>
      <c r="Q28" s="109" t="s">
        <v>133</v>
      </c>
      <c r="R28" s="108" t="s">
        <v>134</v>
      </c>
      <c r="S28" s="124" t="s">
        <v>126</v>
      </c>
      <c r="T28" s="125" t="s">
        <v>127</v>
      </c>
      <c r="U28" s="123" t="s">
        <v>128</v>
      </c>
      <c r="V28" s="106" t="s">
        <v>129</v>
      </c>
      <c r="X28" s="9"/>
      <c r="Y28" s="9"/>
    </row>
    <row r="29" spans="1:25" x14ac:dyDescent="0.2">
      <c r="A29" t="str">
        <f t="shared" ref="A29:A48" si="11">A5</f>
        <v>Aluminum Cans</v>
      </c>
      <c r="B29" s="141">
        <f>INDEX('[1]Energy Savings by Material'!$AB$6:$AB$66, MATCH($A29, '[1]Energy Savings by Material'!$B$6:$B$66, 0))</f>
        <v>200.56711325446287</v>
      </c>
      <c r="C29" s="141">
        <f>INDEX('[1]Energy Savings by Material'!$AF$6:$AF$66, MATCH($A29, '[1]Energy Savings by Material'!$B$6:$B$66, 0))</f>
        <v>89.690841492210723</v>
      </c>
      <c r="D29" s="209">
        <f>INDEX('[1]Energy Savings by Material'!$AI$6:$AI$66, MATCH($A29, '[1]Energy Savings by Material'!$B$6:$B$66, 0))</f>
        <v>37.032789121347612</v>
      </c>
      <c r="F29" s="46">
        <f t="shared" ref="F29:F48" si="12">F5</f>
        <v>0.32199999999999995</v>
      </c>
      <c r="G29" s="44"/>
      <c r="H29" s="133">
        <f t="shared" ref="H29:H48" si="13">H5</f>
        <v>67.800000000000011</v>
      </c>
      <c r="J29" s="11">
        <f>'Input Sheet'!E67</f>
        <v>0</v>
      </c>
      <c r="K29" s="130">
        <f>IF(ISNUMBER('Input Sheet'!F35),'Input Sheet'!F35,'Data &amp; Calcs Sheet'!J29)</f>
        <v>0</v>
      </c>
      <c r="L29" s="132">
        <f>((J29/100)*D29)+((1-(J29/100))*B29)</f>
        <v>200.56711325446287</v>
      </c>
      <c r="M29" s="101">
        <f>((K29/100)*D29)+((1-(K29/100))*B29)</f>
        <v>200.56711325446287</v>
      </c>
      <c r="N29" s="146" t="s">
        <v>145</v>
      </c>
      <c r="O29" s="147" t="s">
        <v>145</v>
      </c>
      <c r="Q29" s="118">
        <f t="shared" ref="Q29:R48" si="14">Q5</f>
        <v>0</v>
      </c>
      <c r="R29" s="119">
        <f t="shared" si="14"/>
        <v>0</v>
      </c>
      <c r="S29" s="128">
        <f>INDEX('[1]Energy Savings by Material'!$T$6:$T$66, MATCH($A29, '[1]Energy Savings by Material'!$B$6:$B$66, 0))</f>
        <v>0.26827304622443826</v>
      </c>
      <c r="T29" s="4">
        <f>INDEX('[1]Energy Savings by Material'!$AI$6:$AI$66, MATCH($A29, '[1]Energy Savings by Material'!$B$6:$B$66, 0))</f>
        <v>37.032789121347612</v>
      </c>
      <c r="U29" s="119">
        <f>Q29*((S29*$R$2/100)+(T29*$T$2/100))/100</f>
        <v>0</v>
      </c>
      <c r="V29" s="107">
        <f>R29*((S29*$R$2/100)+(T29*$T$2/100))/100</f>
        <v>0</v>
      </c>
      <c r="X29" s="184"/>
      <c r="Y29" s="185"/>
    </row>
    <row r="30" spans="1:25" x14ac:dyDescent="0.2">
      <c r="A30" t="str">
        <f t="shared" si="11"/>
        <v>Aluminum Ingot</v>
      </c>
      <c r="B30" s="141">
        <f>INDEX('[1]Energy Savings by Material'!$AB$6:$AB$66, MATCH($A30, '[1]Energy Savings by Material'!$B$6:$B$66, 0))</f>
        <v>126.94877293249891</v>
      </c>
      <c r="C30" s="141">
        <f>INDEX('[1]Energy Savings by Material'!$AF$6:$AF$66, MATCH($A30, '[1]Energy Savings by Material'!$B$6:$B$66, 0))</f>
        <v>126.94877293249891</v>
      </c>
      <c r="D30" s="209">
        <f>INDEX('[1]Energy Savings by Material'!$AI$6:$AI$66, MATCH($A30, '[1]Energy Savings by Material'!$B$6:$B$66, 0))</f>
        <v>5.0758627349204959</v>
      </c>
      <c r="F30" s="46">
        <f t="shared" si="12"/>
        <v>1</v>
      </c>
      <c r="G30" s="44"/>
      <c r="H30" s="133">
        <f t="shared" si="13"/>
        <v>0</v>
      </c>
      <c r="J30" s="11">
        <f>'Input Sheet'!E68</f>
        <v>0</v>
      </c>
      <c r="K30" s="130">
        <f>IF(ISNUMBER('Input Sheet'!F36),'Input Sheet'!F36,'Data &amp; Calcs Sheet'!J30)</f>
        <v>0</v>
      </c>
      <c r="L30" s="132">
        <f t="shared" ref="L30:L48" si="15">((J30/100)*D30)+((1-(J30/100))*B30)</f>
        <v>126.94877293249891</v>
      </c>
      <c r="M30" s="101">
        <f t="shared" ref="M30:M48" si="16">((K30/100)*D30)+((1-(K30/100))*B30)</f>
        <v>126.94877293249891</v>
      </c>
      <c r="N30" s="181" t="s">
        <v>145</v>
      </c>
      <c r="O30" s="182" t="s">
        <v>145</v>
      </c>
      <c r="Q30" s="118">
        <f t="shared" si="14"/>
        <v>0</v>
      </c>
      <c r="R30" s="119">
        <f t="shared" si="14"/>
        <v>0</v>
      </c>
      <c r="S30" s="128">
        <f>INDEX('[1]Energy Savings by Material'!$T$6:$T$66, MATCH($A30, '[1]Energy Savings by Material'!$B$6:$B$66, 0))</f>
        <v>0.26827304622443826</v>
      </c>
      <c r="T30" s="4">
        <f>INDEX('[1]Energy Savings by Material'!$AI$6:$AI$66, MATCH($A30, '[1]Energy Savings by Material'!$B$6:$B$66, 0))</f>
        <v>5.0758627349204959</v>
      </c>
      <c r="U30" s="119">
        <f t="shared" ref="U30:U48" si="17">Q30*((S30*$R$2/100)+(T30*$T$2/100))/100</f>
        <v>0</v>
      </c>
      <c r="V30" s="107">
        <f t="shared" ref="V30:V48" si="18">R30*((S30*$R$2/100)+(T30*$T$2/100))/100</f>
        <v>0</v>
      </c>
      <c r="X30" s="184"/>
      <c r="Y30" s="185"/>
    </row>
    <row r="31" spans="1:25" x14ac:dyDescent="0.2">
      <c r="A31" t="str">
        <f t="shared" si="11"/>
        <v>Steel Cans</v>
      </c>
      <c r="B31" s="141">
        <f>INDEX('[1]Energy Savings by Material'!$AB$6:$AB$66, MATCH($A31, '[1]Energy Savings by Material'!$B$6:$B$66, 0))</f>
        <v>36.542744907957726</v>
      </c>
      <c r="C31" s="141">
        <f>INDEX('[1]Energy Savings by Material'!$AF$6:$AF$66, MATCH($A31, '[1]Energy Savings by Material'!$B$6:$B$66, 0))</f>
        <v>29.880553333880805</v>
      </c>
      <c r="D31" s="209">
        <f>INDEX('[1]Energy Savings by Material'!$AI$6:$AI$66, MATCH($A31, '[1]Energy Savings by Material'!$B$6:$B$66, 0))</f>
        <v>16.16907036949619</v>
      </c>
      <c r="F31" s="46">
        <f t="shared" si="12"/>
        <v>0.67300000000000004</v>
      </c>
      <c r="G31" s="44"/>
      <c r="H31" s="133">
        <f t="shared" si="13"/>
        <v>32.699999999999996</v>
      </c>
      <c r="J31" s="11">
        <f>'Input Sheet'!E69</f>
        <v>0</v>
      </c>
      <c r="K31" s="130">
        <f>IF(ISNUMBER('Input Sheet'!F37),'Input Sheet'!F37,'Data &amp; Calcs Sheet'!J31)</f>
        <v>0</v>
      </c>
      <c r="L31" s="132">
        <f t="shared" si="15"/>
        <v>36.542744907957726</v>
      </c>
      <c r="M31" s="101">
        <f t="shared" si="16"/>
        <v>36.542744907957726</v>
      </c>
      <c r="N31" s="145" t="s">
        <v>145</v>
      </c>
      <c r="O31" s="148" t="s">
        <v>145</v>
      </c>
      <c r="Q31" s="118">
        <f t="shared" si="14"/>
        <v>0</v>
      </c>
      <c r="R31" s="119">
        <f t="shared" si="14"/>
        <v>0</v>
      </c>
      <c r="S31" s="128">
        <f>INDEX('[1]Energy Savings by Material'!$T$6:$T$66, MATCH($A31, '[1]Energy Savings by Material'!$B$6:$B$66, 0))</f>
        <v>0.26827304622443826</v>
      </c>
      <c r="T31" s="4">
        <f>INDEX('[1]Energy Savings by Material'!$AI$6:$AI$66, MATCH($A31, '[1]Energy Savings by Material'!$B$6:$B$66, 0))</f>
        <v>16.16907036949619</v>
      </c>
      <c r="U31" s="119">
        <f t="shared" si="17"/>
        <v>0</v>
      </c>
      <c r="V31" s="107">
        <f t="shared" si="18"/>
        <v>0</v>
      </c>
      <c r="X31" s="184"/>
      <c r="Y31" s="185"/>
    </row>
    <row r="32" spans="1:25" x14ac:dyDescent="0.2">
      <c r="A32" t="str">
        <f t="shared" si="11"/>
        <v>Copper Wire</v>
      </c>
      <c r="B32" s="141">
        <f>INDEX('[1]Energy Savings by Material'!$AB$6:$AB$66, MATCH($A32, '[1]Energy Savings by Material'!$B$6:$B$66, 0))</f>
        <v>123.3456153694962</v>
      </c>
      <c r="C32" s="141">
        <f>INDEX('[1]Energy Savings by Material'!$AF$6:$AF$66, MATCH($A32, '[1]Energy Savings by Material'!$B$6:$B$66, 0))</f>
        <v>122.3574263694962</v>
      </c>
      <c r="D32" s="209">
        <f>INDEX('[1]Energy Savings by Material'!$AI$6:$AI$66, MATCH($A32, '[1]Energy Savings by Material'!$B$6:$B$66, 0))</f>
        <v>103.5818353694962</v>
      </c>
      <c r="F32" s="46">
        <f t="shared" si="12"/>
        <v>0.95</v>
      </c>
      <c r="G32" s="44"/>
      <c r="H32" s="133">
        <f t="shared" si="13"/>
        <v>5.0000000000000044</v>
      </c>
      <c r="J32" s="11">
        <f>'Input Sheet'!E70</f>
        <v>0</v>
      </c>
      <c r="K32" s="130">
        <f>IF(ISNUMBER('Input Sheet'!F38),'Input Sheet'!F38,'Data &amp; Calcs Sheet'!J32)</f>
        <v>0</v>
      </c>
      <c r="L32" s="132">
        <f>((J32/100)*D32)+((1-(J32/100))*B32)</f>
        <v>123.3456153694962</v>
      </c>
      <c r="M32" s="101">
        <f>((K32/100)*D32)+((1-(K32/100))*B32)</f>
        <v>123.3456153694962</v>
      </c>
      <c r="N32" s="181" t="s">
        <v>145</v>
      </c>
      <c r="O32" s="182" t="s">
        <v>145</v>
      </c>
      <c r="Q32" s="118">
        <f t="shared" si="14"/>
        <v>0</v>
      </c>
      <c r="R32" s="119">
        <f t="shared" si="14"/>
        <v>0</v>
      </c>
      <c r="S32" s="128">
        <f>INDEX('[1]Energy Savings by Material'!$T$6:$T$66, MATCH($A32, '[1]Energy Savings by Material'!$B$6:$B$66, 0))</f>
        <v>0.26827304622443826</v>
      </c>
      <c r="T32" s="4">
        <f>INDEX('[1]Energy Savings by Material'!$AI$6:$AI$66, MATCH($A32, '[1]Energy Savings by Material'!$B$6:$B$66, 0))</f>
        <v>103.5818353694962</v>
      </c>
      <c r="U32" s="119">
        <f t="shared" si="17"/>
        <v>0</v>
      </c>
      <c r="V32" s="107">
        <f t="shared" si="18"/>
        <v>0</v>
      </c>
      <c r="X32" s="184"/>
      <c r="Y32" s="185"/>
    </row>
    <row r="33" spans="1:25" x14ac:dyDescent="0.2">
      <c r="A33" t="str">
        <f t="shared" si="11"/>
        <v>Glass</v>
      </c>
      <c r="B33" s="141">
        <f>INDEX('[1]Energy Savings by Material'!$AB$6:$AB$66, MATCH($A33, '[1]Energy Savings by Material'!$B$6:$B$66, 0))</f>
        <v>7.4630021214459079</v>
      </c>
      <c r="C33" s="141">
        <f>INDEX('[1]Energy Savings by Material'!$AF$6:$AF$66, MATCH($A33, '[1]Energy Savings by Material'!$B$6:$B$66, 0))</f>
        <v>6.9045684030684162</v>
      </c>
      <c r="D33" s="209">
        <f>INDEX('[1]Energy Savings by Material'!$AI$6:$AI$66, MATCH($A33, '[1]Energy Savings by Material'!$B$6:$B$66, 0))</f>
        <v>5.0423964934550485</v>
      </c>
      <c r="F33" s="46">
        <f t="shared" si="12"/>
        <v>0.76929999999999998</v>
      </c>
      <c r="G33" s="44"/>
      <c r="H33" s="133">
        <f t="shared" si="13"/>
        <v>23.07</v>
      </c>
      <c r="J33" s="11">
        <f>'Input Sheet'!E71</f>
        <v>0</v>
      </c>
      <c r="K33" s="130">
        <f>IF(ISNUMBER('Input Sheet'!F39),'Input Sheet'!F39,'Data &amp; Calcs Sheet'!J33)</f>
        <v>0</v>
      </c>
      <c r="L33" s="132">
        <f t="shared" si="15"/>
        <v>7.4630021214459079</v>
      </c>
      <c r="M33" s="101">
        <f t="shared" si="16"/>
        <v>7.4630021214459079</v>
      </c>
      <c r="N33" s="145" t="s">
        <v>145</v>
      </c>
      <c r="O33" s="148" t="s">
        <v>145</v>
      </c>
      <c r="Q33" s="118">
        <f t="shared" si="14"/>
        <v>0</v>
      </c>
      <c r="R33" s="119">
        <f t="shared" si="14"/>
        <v>0</v>
      </c>
      <c r="S33" s="128">
        <f>INDEX('[1]Energy Savings by Material'!$T$6:$T$66, MATCH($A33, '[1]Energy Savings by Material'!$B$6:$B$66, 0))</f>
        <v>0.26827304622443826</v>
      </c>
      <c r="T33" s="4">
        <f>INDEX('[1]Energy Savings by Material'!$AI$6:$AI$66, MATCH($A33, '[1]Energy Savings by Material'!$B$6:$B$66, 0))</f>
        <v>5.0423964934550485</v>
      </c>
      <c r="U33" s="119">
        <f t="shared" si="17"/>
        <v>0</v>
      </c>
      <c r="V33" s="107">
        <f t="shared" si="18"/>
        <v>0</v>
      </c>
      <c r="X33" s="184"/>
      <c r="Y33" s="185"/>
    </row>
    <row r="34" spans="1:25" x14ac:dyDescent="0.2">
      <c r="A34" t="str">
        <f t="shared" si="11"/>
        <v>HDPE</v>
      </c>
      <c r="B34" s="141">
        <f>INDEX('[1]Energy Savings by Material'!$AB$6:$AB$66, MATCH($A34, '[1]Energy Savings by Material'!$B$6:$B$66, 0))</f>
        <v>66.986711738755403</v>
      </c>
      <c r="C34" s="141">
        <f>INDEX('[1]Energy Savings by Material'!$AF$6:$AF$66, MATCH($A34, '[1]Energy Savings by Material'!$B$6:$B$66, 0))</f>
        <v>61.11498956369185</v>
      </c>
      <c r="D34" s="209">
        <f>INDEX('[1]Energy Savings by Material'!$AI$6:$AI$66, MATCH($A34, '[1]Energy Savings by Material'!$B$6:$B$66, 0))</f>
        <v>8.2694899881199575</v>
      </c>
      <c r="F34" s="46">
        <f t="shared" si="12"/>
        <v>0.9</v>
      </c>
      <c r="G34" s="44"/>
      <c r="H34" s="133">
        <f t="shared" si="13"/>
        <v>9.9999999999999982</v>
      </c>
      <c r="J34" s="11">
        <f>'Input Sheet'!E72</f>
        <v>0</v>
      </c>
      <c r="K34" s="130">
        <f>IF(ISNUMBER('Input Sheet'!F40),'Input Sheet'!F40,'Data &amp; Calcs Sheet'!J34)</f>
        <v>0</v>
      </c>
      <c r="L34" s="132">
        <f t="shared" si="15"/>
        <v>66.986711738755403</v>
      </c>
      <c r="M34" s="101">
        <f t="shared" si="16"/>
        <v>66.986711738755403</v>
      </c>
      <c r="N34" s="181" t="s">
        <v>145</v>
      </c>
      <c r="O34" s="182" t="s">
        <v>145</v>
      </c>
      <c r="Q34" s="118">
        <f t="shared" si="14"/>
        <v>0</v>
      </c>
      <c r="R34" s="119">
        <f t="shared" si="14"/>
        <v>0</v>
      </c>
      <c r="S34" s="128">
        <f>INDEX('[1]Energy Savings by Material'!$T$6:$T$66, MATCH($A34, '[1]Energy Savings by Material'!$B$6:$B$66, 0))</f>
        <v>0.26827304622443826</v>
      </c>
      <c r="T34" s="4">
        <f>INDEX('[1]Energy Savings by Material'!$AI$6:$AI$66, MATCH($A34, '[1]Energy Savings by Material'!$B$6:$B$66, 0))</f>
        <v>8.2694899881199575</v>
      </c>
      <c r="U34" s="119">
        <f t="shared" si="17"/>
        <v>0</v>
      </c>
      <c r="V34" s="107">
        <f t="shared" si="18"/>
        <v>0</v>
      </c>
      <c r="X34" s="184"/>
      <c r="Y34" s="185"/>
    </row>
    <row r="35" spans="1:25" x14ac:dyDescent="0.2">
      <c r="A35" t="str">
        <f t="shared" si="11"/>
        <v>PET</v>
      </c>
      <c r="B35" s="141">
        <f>INDEX('[1]Energy Savings by Material'!$AB$6:$AB$66, MATCH($A35, '[1]Energy Savings by Material'!$B$6:$B$66, 0))</f>
        <v>51.132633070362225</v>
      </c>
      <c r="C35" s="141">
        <f>INDEX('[1]Energy Savings by Material'!$AF$6:$AF$66, MATCH($A35, '[1]Energy Savings by Material'!$B$6:$B$66, 0))</f>
        <v>50.058992148047757</v>
      </c>
      <c r="D35" s="209">
        <f>INDEX('[1]Energy Savings by Material'!$AI$6:$AI$66, MATCH($A35, '[1]Energy Savings by Material'!$B$6:$B$66, 0))</f>
        <v>15.344602326546818</v>
      </c>
      <c r="F35" s="46">
        <f t="shared" si="12"/>
        <v>0.97</v>
      </c>
      <c r="G35" s="44"/>
      <c r="H35" s="133">
        <f t="shared" si="13"/>
        <v>3.0000000000000027</v>
      </c>
      <c r="J35" s="11">
        <f>'Input Sheet'!E73</f>
        <v>0</v>
      </c>
      <c r="K35" s="130">
        <f>IF(ISNUMBER('Input Sheet'!F41),'Input Sheet'!F41,'Data &amp; Calcs Sheet'!J35)</f>
        <v>0</v>
      </c>
      <c r="L35" s="132">
        <f t="shared" si="15"/>
        <v>51.132633070362225</v>
      </c>
      <c r="M35" s="101">
        <f t="shared" si="16"/>
        <v>51.132633070362225</v>
      </c>
      <c r="N35" s="145" t="s">
        <v>145</v>
      </c>
      <c r="O35" s="148" t="s">
        <v>145</v>
      </c>
      <c r="Q35" s="118">
        <f t="shared" si="14"/>
        <v>0</v>
      </c>
      <c r="R35" s="119">
        <f t="shared" si="14"/>
        <v>0</v>
      </c>
      <c r="S35" s="128">
        <f>INDEX('[1]Energy Savings by Material'!$T$6:$T$66, MATCH($A35, '[1]Energy Savings by Material'!$B$6:$B$66, 0))</f>
        <v>0.26827304622443826</v>
      </c>
      <c r="T35" s="4">
        <f>INDEX('[1]Energy Savings by Material'!$AI$6:$AI$66, MATCH($A35, '[1]Energy Savings by Material'!$B$6:$B$66, 0))</f>
        <v>15.344602326546818</v>
      </c>
      <c r="U35" s="119">
        <f t="shared" si="17"/>
        <v>0</v>
      </c>
      <c r="V35" s="107">
        <f t="shared" si="18"/>
        <v>0</v>
      </c>
      <c r="X35" s="184"/>
      <c r="Y35" s="185"/>
    </row>
    <row r="36" spans="1:25" x14ac:dyDescent="0.2">
      <c r="A36" t="str">
        <f t="shared" si="11"/>
        <v>Corrugated Containers</v>
      </c>
      <c r="B36" s="141">
        <f>INDEX('[1]Energy Savings by Material'!$AB$6:$AB$66, MATCH($A36, '[1]Energy Savings by Material'!$B$6:$B$66, 0))</f>
        <v>27.175692842518995</v>
      </c>
      <c r="C36" s="141">
        <f>INDEX('[1]Energy Savings by Material'!$AF$6:$AF$66, MATCH($A36, '[1]Energy Savings by Material'!$B$6:$B$66, 0))</f>
        <v>22.320513543509552</v>
      </c>
      <c r="D36" s="209">
        <f>INDEX('[1]Energy Savings by Material'!$AI$6:$AI$66, MATCH($A36, '[1]Energy Savings by Material'!$B$6:$B$66, 0))</f>
        <v>13.26400430667532</v>
      </c>
      <c r="F36" s="46">
        <f t="shared" si="12"/>
        <v>0.65100000000000002</v>
      </c>
      <c r="G36" s="44"/>
      <c r="H36" s="133">
        <f t="shared" si="13"/>
        <v>34.9</v>
      </c>
      <c r="J36" s="11">
        <f>'Input Sheet'!E74</f>
        <v>0</v>
      </c>
      <c r="K36" s="130">
        <f>IF(ISNUMBER('Input Sheet'!F42),'Input Sheet'!F42,'Data &amp; Calcs Sheet'!J36)</f>
        <v>0</v>
      </c>
      <c r="L36" s="132">
        <f t="shared" si="15"/>
        <v>27.175692842518995</v>
      </c>
      <c r="M36" s="101">
        <f t="shared" si="16"/>
        <v>27.175692842518995</v>
      </c>
      <c r="N36" s="181" t="s">
        <v>145</v>
      </c>
      <c r="O36" s="182" t="s">
        <v>145</v>
      </c>
      <c r="Q36" s="118">
        <f t="shared" si="14"/>
        <v>0</v>
      </c>
      <c r="R36" s="119">
        <f t="shared" si="14"/>
        <v>0</v>
      </c>
      <c r="S36" s="128">
        <f>INDEX('[1]Energy Savings by Material'!$T$6:$T$66, MATCH($A36, '[1]Energy Savings by Material'!$B$6:$B$66, 0))</f>
        <v>-0.1844127620335142</v>
      </c>
      <c r="T36" s="4">
        <f>INDEX('[1]Energy Savings by Material'!$AI$6:$AI$66, MATCH($A36, '[1]Energy Savings by Material'!$B$6:$B$66, 0))</f>
        <v>13.26400430667532</v>
      </c>
      <c r="U36" s="119">
        <f t="shared" si="17"/>
        <v>0</v>
      </c>
      <c r="V36" s="107">
        <f t="shared" si="18"/>
        <v>0</v>
      </c>
      <c r="X36" s="184"/>
      <c r="Y36" s="185"/>
    </row>
    <row r="37" spans="1:25" x14ac:dyDescent="0.2">
      <c r="A37" t="str">
        <f t="shared" si="11"/>
        <v>Magazines/Third-class Mail</v>
      </c>
      <c r="B37" s="141">
        <f>INDEX('[1]Energy Savings by Material'!$AB$6:$AB$66, MATCH($A37, '[1]Energy Savings by Material'!$B$6:$B$66, 0))</f>
        <v>33.267474482017683</v>
      </c>
      <c r="C37" s="141">
        <f>INDEX('[1]Energy Savings by Material'!$AF$6:$AF$66, MATCH($A37, '[1]Energy Savings by Material'!$B$6:$B$66, 0))</f>
        <v>33.225750782920784</v>
      </c>
      <c r="D37" s="209">
        <f>INDEX('[1]Energy Savings by Material'!$AI$6:$AI$66, MATCH($A37, '[1]Energy Savings by Material'!$B$6:$B$66, 0))</f>
        <v>32.249823284532383</v>
      </c>
      <c r="F37" s="46">
        <f t="shared" si="12"/>
        <v>0.95899999999999996</v>
      </c>
      <c r="G37" s="44"/>
      <c r="H37" s="133">
        <f t="shared" si="13"/>
        <v>4.1000000000000032</v>
      </c>
      <c r="J37" s="11">
        <f>'Input Sheet'!E75</f>
        <v>0</v>
      </c>
      <c r="K37" s="130">
        <f>IF(ISNUMBER('Input Sheet'!F43),'Input Sheet'!F43,'Data &amp; Calcs Sheet'!J37)</f>
        <v>0</v>
      </c>
      <c r="L37" s="132">
        <f t="shared" si="15"/>
        <v>33.267474482017683</v>
      </c>
      <c r="M37" s="101">
        <f t="shared" si="16"/>
        <v>33.267474482017683</v>
      </c>
      <c r="N37" s="145" t="s">
        <v>145</v>
      </c>
      <c r="O37" s="148" t="s">
        <v>145</v>
      </c>
      <c r="Q37" s="118">
        <f t="shared" si="14"/>
        <v>0</v>
      </c>
      <c r="R37" s="119">
        <f t="shared" si="14"/>
        <v>0</v>
      </c>
      <c r="S37" s="128">
        <f>INDEX('[1]Energy Savings by Material'!$T$6:$T$66, MATCH($A37, '[1]Energy Savings by Material'!$B$6:$B$66, 0))</f>
        <v>7.1401944348562535E-2</v>
      </c>
      <c r="T37" s="4">
        <f>INDEX('[1]Energy Savings by Material'!$AI$6:$AI$66, MATCH($A37, '[1]Energy Savings by Material'!$B$6:$B$66, 0))</f>
        <v>32.249823284532383</v>
      </c>
      <c r="U37" s="119">
        <f t="shared" si="17"/>
        <v>0</v>
      </c>
      <c r="V37" s="107">
        <f t="shared" si="18"/>
        <v>0</v>
      </c>
      <c r="X37" s="184"/>
      <c r="Y37" s="185"/>
    </row>
    <row r="38" spans="1:25" x14ac:dyDescent="0.2">
      <c r="A38" t="str">
        <f t="shared" si="11"/>
        <v>Newspaper</v>
      </c>
      <c r="B38" s="141">
        <f>INDEX('[1]Energy Savings by Material'!$AB$6:$AB$66, MATCH($A38, '[1]Energy Savings by Material'!$B$6:$B$66, 0))</f>
        <v>40.699353438892402</v>
      </c>
      <c r="C38" s="141">
        <f>INDEX('[1]Energy Savings by Material'!$AF$6:$AF$66, MATCH($A38, '[1]Energy Savings by Material'!$B$6:$B$66, 0))</f>
        <v>36.464546483715836</v>
      </c>
      <c r="D38" s="209">
        <f>INDEX('[1]Energy Savings by Material'!$AI$6:$AI$66, MATCH($A38, '[1]Energy Savings by Material'!$B$6:$B$66, 0))</f>
        <v>22.287149285950804</v>
      </c>
      <c r="F38" s="46">
        <f t="shared" si="12"/>
        <v>0.77</v>
      </c>
      <c r="G38" s="44"/>
      <c r="H38" s="133">
        <f t="shared" si="13"/>
        <v>23</v>
      </c>
      <c r="J38" s="11">
        <f>'Input Sheet'!E76</f>
        <v>0</v>
      </c>
      <c r="K38" s="130">
        <f>IF(ISNUMBER('Input Sheet'!F44),'Input Sheet'!F44,'Data &amp; Calcs Sheet'!J38)</f>
        <v>0</v>
      </c>
      <c r="L38" s="132">
        <f t="shared" si="15"/>
        <v>40.699353438892402</v>
      </c>
      <c r="M38" s="101">
        <f t="shared" si="16"/>
        <v>40.699353438892402</v>
      </c>
      <c r="N38" s="181" t="s">
        <v>145</v>
      </c>
      <c r="O38" s="182" t="s">
        <v>145</v>
      </c>
      <c r="Q38" s="118">
        <f t="shared" si="14"/>
        <v>0</v>
      </c>
      <c r="R38" s="119">
        <f t="shared" si="14"/>
        <v>0</v>
      </c>
      <c r="S38" s="128">
        <f>INDEX('[1]Energy Savings by Material'!$T$6:$T$66, MATCH($A38, '[1]Energy Savings by Material'!$B$6:$B$66, 0))</f>
        <v>7.7691833154769602E-2</v>
      </c>
      <c r="T38" s="4">
        <f>INDEX('[1]Energy Savings by Material'!$AI$6:$AI$66, MATCH($A38, '[1]Energy Savings by Material'!$B$6:$B$66, 0))</f>
        <v>22.287149285950804</v>
      </c>
      <c r="U38" s="119">
        <f t="shared" si="17"/>
        <v>0</v>
      </c>
      <c r="V38" s="107">
        <f t="shared" si="18"/>
        <v>0</v>
      </c>
      <c r="X38" s="184"/>
      <c r="Y38" s="185"/>
    </row>
    <row r="39" spans="1:25" x14ac:dyDescent="0.2">
      <c r="A39" t="str">
        <f t="shared" si="11"/>
        <v>Office Paper</v>
      </c>
      <c r="B39" s="141">
        <f>INDEX('[1]Energy Savings by Material'!$AB$6:$AB$66, MATCH($A39, '[1]Energy Savings by Material'!$B$6:$B$66, 0))</f>
        <v>37.290868697497764</v>
      </c>
      <c r="C39" s="141">
        <f>INDEX('[1]Energy Savings by Material'!$AF$6:$AF$66, MATCH($A39, '[1]Energy Savings by Material'!$B$6:$B$66, 0))</f>
        <v>36.59821281517732</v>
      </c>
      <c r="D39" s="209">
        <f>INDEX('[1]Energy Savings by Material'!$AI$6:$AI$66, MATCH($A39, '[1]Energy Savings by Material'!$B$6:$B$66, 0))</f>
        <v>20.396822787243028</v>
      </c>
      <c r="F39" s="46">
        <f t="shared" si="12"/>
        <v>0.95899999999999996</v>
      </c>
      <c r="G39" s="44"/>
      <c r="H39" s="133">
        <f t="shared" si="13"/>
        <v>4.1000000000000032</v>
      </c>
      <c r="J39" s="11">
        <f>'Input Sheet'!E77</f>
        <v>0</v>
      </c>
      <c r="K39" s="130">
        <f>IF(ISNUMBER('Input Sheet'!F45),'Input Sheet'!F45,'Data &amp; Calcs Sheet'!J39)</f>
        <v>0</v>
      </c>
      <c r="L39" s="132">
        <f t="shared" si="15"/>
        <v>37.290868697497764</v>
      </c>
      <c r="M39" s="101">
        <f t="shared" si="16"/>
        <v>37.290868697497764</v>
      </c>
      <c r="N39" s="145" t="s">
        <v>145</v>
      </c>
      <c r="O39" s="148" t="s">
        <v>145</v>
      </c>
      <c r="Q39" s="118">
        <f t="shared" si="14"/>
        <v>0</v>
      </c>
      <c r="R39" s="119">
        <f t="shared" si="14"/>
        <v>0</v>
      </c>
      <c r="S39" s="128">
        <f>INDEX('[1]Energy Savings by Material'!$T$6:$T$66, MATCH($A39, '[1]Energy Savings by Material'!$B$6:$B$66, 0))</f>
        <v>-0.43141819354482713</v>
      </c>
      <c r="T39" s="4">
        <f>INDEX('[1]Energy Savings by Material'!$AI$6:$AI$66, MATCH($A39, '[1]Energy Savings by Material'!$B$6:$B$66, 0))</f>
        <v>20.396822787243028</v>
      </c>
      <c r="U39" s="119">
        <f t="shared" si="17"/>
        <v>0</v>
      </c>
      <c r="V39" s="107">
        <f t="shared" si="18"/>
        <v>0</v>
      </c>
      <c r="X39" s="184"/>
      <c r="Y39" s="185"/>
    </row>
    <row r="40" spans="1:25" x14ac:dyDescent="0.2">
      <c r="A40" t="str">
        <f t="shared" si="11"/>
        <v>Phonebooks</v>
      </c>
      <c r="B40" s="141">
        <f>INDEX('[1]Energy Savings by Material'!$AB$6:$AB$66, MATCH($A40, '[1]Energy Savings by Material'!$B$6:$B$66, 0))</f>
        <v>40.198908550451655</v>
      </c>
      <c r="C40" s="141">
        <f>INDEX('[1]Energy Savings by Material'!$AF$6:$AF$66, MATCH($A40, '[1]Energy Savings by Material'!$B$6:$B$66, 0))</f>
        <v>40.198908550451655</v>
      </c>
      <c r="D40" s="209">
        <f>INDEX('[1]Energy Savings by Material'!$AI$6:$AI$66, MATCH($A40, '[1]Energy Savings by Material'!$B$6:$B$66, 0))</f>
        <v>22.616372128603182</v>
      </c>
      <c r="F40" s="46">
        <f t="shared" si="12"/>
        <v>1</v>
      </c>
      <c r="G40" s="44"/>
      <c r="H40" s="133">
        <f t="shared" si="13"/>
        <v>0</v>
      </c>
      <c r="J40" s="11">
        <f>'Input Sheet'!E78</f>
        <v>0</v>
      </c>
      <c r="K40" s="130">
        <f>IF(ISNUMBER('Input Sheet'!F46),'Input Sheet'!F46,'Data &amp; Calcs Sheet'!J40)</f>
        <v>0</v>
      </c>
      <c r="L40" s="132">
        <f t="shared" si="15"/>
        <v>40.198908550451655</v>
      </c>
      <c r="M40" s="101">
        <f t="shared" si="16"/>
        <v>40.198908550451655</v>
      </c>
      <c r="N40" s="181" t="s">
        <v>145</v>
      </c>
      <c r="O40" s="182" t="s">
        <v>145</v>
      </c>
      <c r="Q40" s="118">
        <f t="shared" si="14"/>
        <v>0</v>
      </c>
      <c r="R40" s="119">
        <f t="shared" si="14"/>
        <v>0</v>
      </c>
      <c r="S40" s="128">
        <f>INDEX('[1]Energy Savings by Material'!$T$6:$T$66, MATCH($A40, '[1]Energy Savings by Material'!$B$6:$B$66, 0))</f>
        <v>7.7691833154769602E-2</v>
      </c>
      <c r="T40" s="4">
        <f>INDEX('[1]Energy Savings by Material'!$AI$6:$AI$66, MATCH($A40, '[1]Energy Savings by Material'!$B$6:$B$66, 0))</f>
        <v>22.616372128603182</v>
      </c>
      <c r="U40" s="119">
        <f t="shared" si="17"/>
        <v>0</v>
      </c>
      <c r="V40" s="107">
        <f t="shared" si="18"/>
        <v>0</v>
      </c>
      <c r="X40" s="184"/>
      <c r="Y40" s="185"/>
    </row>
    <row r="41" spans="1:25" x14ac:dyDescent="0.2">
      <c r="A41" t="str">
        <f t="shared" si="11"/>
        <v>Textbooks</v>
      </c>
      <c r="B41" s="141">
        <f>INDEX('[1]Energy Savings by Material'!$AB$6:$AB$66, MATCH($A41, '[1]Energy Savings by Material'!$B$6:$B$66, 0))</f>
        <v>35.663559250647594</v>
      </c>
      <c r="C41" s="141">
        <f>INDEX('[1]Energy Savings by Material'!$AF$6:$AF$66, MATCH($A41, '[1]Energy Savings by Material'!$B$6:$B$66, 0))</f>
        <v>35.599721766002347</v>
      </c>
      <c r="D41" s="209">
        <f>INDEX('[1]Energy Savings by Material'!$AI$6:$AI$66, MATCH($A41, '[1]Energy Savings by Material'!$B$6:$B$66, 0))</f>
        <v>34.10654743003181</v>
      </c>
      <c r="F41" s="46">
        <f t="shared" si="12"/>
        <v>0.95899999999999996</v>
      </c>
      <c r="G41" s="44"/>
      <c r="H41" s="133">
        <f t="shared" si="13"/>
        <v>4.1000000000000032</v>
      </c>
      <c r="J41" s="11">
        <f>'Input Sheet'!E79</f>
        <v>0</v>
      </c>
      <c r="K41" s="130">
        <f>IF(ISNUMBER('Input Sheet'!F47),'Input Sheet'!F47,'Data &amp; Calcs Sheet'!J41)</f>
        <v>0</v>
      </c>
      <c r="L41" s="132">
        <f t="shared" si="15"/>
        <v>35.663559250647594</v>
      </c>
      <c r="M41" s="101">
        <f t="shared" si="16"/>
        <v>35.663559250647594</v>
      </c>
      <c r="N41" s="145" t="s">
        <v>145</v>
      </c>
      <c r="O41" s="148" t="s">
        <v>145</v>
      </c>
      <c r="Q41" s="118">
        <f t="shared" si="14"/>
        <v>0</v>
      </c>
      <c r="R41" s="119">
        <f t="shared" si="14"/>
        <v>0</v>
      </c>
      <c r="S41" s="128">
        <f>INDEX('[1]Energy Savings by Material'!$T$6:$T$66, MATCH($A41, '[1]Energy Savings by Material'!$B$6:$B$66, 0))</f>
        <v>-0.43141819354482713</v>
      </c>
      <c r="T41" s="4">
        <f>INDEX('[1]Energy Savings by Material'!$AI$6:$AI$66, MATCH($A41, '[1]Energy Savings by Material'!$B$6:$B$66, 0))</f>
        <v>34.10654743003181</v>
      </c>
      <c r="U41" s="119">
        <f t="shared" si="17"/>
        <v>0</v>
      </c>
      <c r="V41" s="107">
        <f t="shared" si="18"/>
        <v>0</v>
      </c>
      <c r="X41" s="184"/>
      <c r="Y41" s="185"/>
    </row>
    <row r="42" spans="1:25" x14ac:dyDescent="0.2">
      <c r="A42" t="str">
        <f t="shared" si="11"/>
        <v>Dimensional Lumber</v>
      </c>
      <c r="B42" s="141">
        <f>INDEX('[1]Energy Savings by Material'!$AB$6:$AB$66, MATCH($A42, '[1]Energy Savings by Material'!$B$6:$B$66, 0))</f>
        <v>3.6749756764231494</v>
      </c>
      <c r="C42" s="141">
        <f>INDEX('[1]Energy Savings by Material'!$AF$6:$AF$66, MATCH($A42, '[1]Energy Savings by Material'!$B$6:$B$66, 0))</f>
        <v>3.6749756764231494</v>
      </c>
      <c r="D42" s="209">
        <f>INDEX('[1]Energy Savings by Material'!$AI$6:$AI$66, MATCH($A42, '[1]Energy Savings by Material'!$B$6:$B$66, 0))</f>
        <v>4.4099756764231497</v>
      </c>
      <c r="F42" s="46">
        <f t="shared" si="12"/>
        <v>1</v>
      </c>
      <c r="G42" s="44"/>
      <c r="H42" s="133">
        <f t="shared" si="13"/>
        <v>0</v>
      </c>
      <c r="J42" s="11">
        <f>'Input Sheet'!E80</f>
        <v>0</v>
      </c>
      <c r="K42" s="130">
        <f>IF(ISNUMBER('Input Sheet'!F48),'Input Sheet'!F48,'Data &amp; Calcs Sheet'!J42)</f>
        <v>0</v>
      </c>
      <c r="L42" s="132">
        <f t="shared" si="15"/>
        <v>3.6749756764231494</v>
      </c>
      <c r="M42" s="101">
        <f t="shared" si="16"/>
        <v>3.6749756764231494</v>
      </c>
      <c r="N42" s="181" t="s">
        <v>145</v>
      </c>
      <c r="O42" s="182" t="s">
        <v>145</v>
      </c>
      <c r="Q42" s="118">
        <f t="shared" si="14"/>
        <v>0</v>
      </c>
      <c r="R42" s="119">
        <f t="shared" si="14"/>
        <v>0</v>
      </c>
      <c r="S42" s="128">
        <f>INDEX('[1]Energy Savings by Material'!$T$6:$T$66, MATCH($A42, '[1]Energy Savings by Material'!$B$6:$B$66, 0))</f>
        <v>0.23878486768854182</v>
      </c>
      <c r="T42" s="4">
        <f>INDEX('[1]Energy Savings by Material'!$AI$6:$AI$66, MATCH($A42, '[1]Energy Savings by Material'!$B$6:$B$66, 0))</f>
        <v>4.4099756764231497</v>
      </c>
      <c r="U42" s="119">
        <f t="shared" si="17"/>
        <v>0</v>
      </c>
      <c r="V42" s="107">
        <f t="shared" si="18"/>
        <v>0</v>
      </c>
      <c r="X42" s="184"/>
      <c r="Y42" s="185"/>
    </row>
    <row r="43" spans="1:25" x14ac:dyDescent="0.2">
      <c r="A43" t="str">
        <f t="shared" si="11"/>
        <v>Medium-density Fiberboard</v>
      </c>
      <c r="B43" s="141">
        <f>INDEX('[1]Energy Savings by Material'!$AB$6:$AB$66, MATCH($A43, '[1]Energy Savings by Material'!$B$6:$B$66, 0))</f>
        <v>11.920555209697666</v>
      </c>
      <c r="C43" s="141">
        <f>INDEX('[1]Energy Savings by Material'!$AF$6:$AF$66, MATCH($A43, '[1]Energy Savings by Material'!$B$6:$B$66, 0))</f>
        <v>11.920555209697666</v>
      </c>
      <c r="D43" s="209">
        <f>INDEX('[1]Energy Savings by Material'!$AI$6:$AI$66, MATCH($A43, '[1]Energy Savings by Material'!$B$6:$B$66, 0))</f>
        <v>12.993555209697666</v>
      </c>
      <c r="F43" s="46">
        <f t="shared" si="12"/>
        <v>1</v>
      </c>
      <c r="G43" s="44"/>
      <c r="H43" s="133">
        <f t="shared" si="13"/>
        <v>0</v>
      </c>
      <c r="J43" s="11">
        <f>'Input Sheet'!E81</f>
        <v>0</v>
      </c>
      <c r="K43" s="130">
        <f>IF(ISNUMBER('Input Sheet'!F49),'Input Sheet'!F49,'Data &amp; Calcs Sheet'!J43)</f>
        <v>0</v>
      </c>
      <c r="L43" s="132">
        <f t="shared" si="15"/>
        <v>11.920555209697666</v>
      </c>
      <c r="M43" s="101">
        <f t="shared" si="16"/>
        <v>11.920555209697666</v>
      </c>
      <c r="N43" s="145" t="s">
        <v>145</v>
      </c>
      <c r="O43" s="148" t="s">
        <v>145</v>
      </c>
      <c r="Q43" s="118">
        <f t="shared" si="14"/>
        <v>0</v>
      </c>
      <c r="R43" s="119">
        <f t="shared" si="14"/>
        <v>0</v>
      </c>
      <c r="S43" s="128">
        <f>INDEX('[1]Energy Savings by Material'!$T$6:$T$66, MATCH($A43, '[1]Energy Savings by Material'!$B$6:$B$66, 0))</f>
        <v>0.25810475795754206</v>
      </c>
      <c r="T43" s="4">
        <f>INDEX('[1]Energy Savings by Material'!$AI$6:$AI$66, MATCH($A43, '[1]Energy Savings by Material'!$B$6:$B$66, 0))</f>
        <v>12.993555209697666</v>
      </c>
      <c r="U43" s="119">
        <f t="shared" si="17"/>
        <v>0</v>
      </c>
      <c r="V43" s="107">
        <f t="shared" si="18"/>
        <v>0</v>
      </c>
      <c r="X43" s="184"/>
      <c r="Y43" s="185"/>
    </row>
    <row r="44" spans="1:25" x14ac:dyDescent="0.2">
      <c r="A44" t="str">
        <f t="shared" si="11"/>
        <v>Mixed Paper (general)</v>
      </c>
      <c r="B44" s="141">
        <f>INDEX('[1]Energy Savings by Material'!$AB$6:$AB$66, MATCH($A44, '[1]Energy Savings by Material'!$B$6:$B$66, 0))</f>
        <v>32.931749087804263</v>
      </c>
      <c r="C44" s="141">
        <f>INDEX('[1]Energy Savings by Material'!$AF$6:$AF$66, MATCH($A44, '[1]Energy Savings by Material'!$B$6:$B$66, 0))</f>
        <v>29.443040282645512</v>
      </c>
      <c r="D44" s="209">
        <f>INDEX('[1]Energy Savings by Material'!$AI$6:$AI$66, MATCH($A44, '[1]Energy Savings by Material'!$B$6:$B$66, 0))</f>
        <v>18.374988316043545</v>
      </c>
      <c r="F44" s="46">
        <f t="shared" si="12"/>
        <v>0.76579999999999993</v>
      </c>
      <c r="G44" s="44"/>
      <c r="H44" s="133">
        <f t="shared" si="13"/>
        <v>23.420000000000009</v>
      </c>
      <c r="J44" s="11">
        <f>'Input Sheet'!E82</f>
        <v>0</v>
      </c>
      <c r="K44" s="130">
        <f>IF(ISNUMBER('Input Sheet'!F50),'Input Sheet'!F50,'Data &amp; Calcs Sheet'!J44)</f>
        <v>0</v>
      </c>
      <c r="L44" s="132">
        <f t="shared" si="15"/>
        <v>32.931749087804263</v>
      </c>
      <c r="M44" s="101">
        <f t="shared" si="16"/>
        <v>32.931749087804263</v>
      </c>
      <c r="N44" s="181" t="s">
        <v>145</v>
      </c>
      <c r="O44" s="182" t="s">
        <v>145</v>
      </c>
      <c r="Q44" s="118">
        <f>Q20</f>
        <v>0</v>
      </c>
      <c r="R44" s="119">
        <f t="shared" si="14"/>
        <v>0</v>
      </c>
      <c r="S44" s="128">
        <f>INDEX('[1]Energy Savings by Material'!$T$6:$T$66, MATCH($A44, '[1]Energy Savings by Material'!$B$6:$B$66, 0))</f>
        <v>-0.15047752631658473</v>
      </c>
      <c r="T44" s="4">
        <f>INDEX('[1]Energy Savings by Material'!$AI$6:$AI$66, MATCH($A44, '[1]Energy Savings by Material'!$B$6:$B$66, 0))</f>
        <v>18.374988316043545</v>
      </c>
      <c r="U44" s="119">
        <f t="shared" si="17"/>
        <v>0</v>
      </c>
      <c r="V44" s="107">
        <f t="shared" si="18"/>
        <v>0</v>
      </c>
      <c r="X44" s="184"/>
      <c r="Y44" s="185"/>
    </row>
    <row r="45" spans="1:25" x14ac:dyDescent="0.2">
      <c r="A45" t="str">
        <f t="shared" si="11"/>
        <v>Mixed Paper (primarily residential)</v>
      </c>
      <c r="B45" s="141">
        <f>INDEX('[1]Energy Savings by Material'!$AB$6:$AB$66, MATCH($A45, '[1]Energy Savings by Material'!$B$6:$B$66, 0))</f>
        <v>32.311437563331779</v>
      </c>
      <c r="C45" s="141">
        <f>INDEX('[1]Energy Savings by Material'!$AF$6:$AF$66, MATCH($A45, '[1]Energy Savings by Material'!$B$6:$B$66, 0))</f>
        <v>28.663042741731605</v>
      </c>
      <c r="D45" s="209">
        <f>INDEX('[1]Energy Savings by Material'!$AI$6:$AI$66, MATCH($A45, '[1]Energy Savings by Material'!$B$6:$B$66, 0))</f>
        <v>18.236504136973871</v>
      </c>
      <c r="F45" s="46">
        <f t="shared" si="12"/>
        <v>0.75229000000000001</v>
      </c>
      <c r="G45" s="44"/>
      <c r="H45" s="133">
        <f t="shared" si="13"/>
        <v>24.770999999999997</v>
      </c>
      <c r="J45" s="11">
        <f>'Input Sheet'!E83</f>
        <v>0</v>
      </c>
      <c r="K45" s="130">
        <f>IF(ISNUMBER('Input Sheet'!F51),'Input Sheet'!F51,'Data &amp; Calcs Sheet'!J45)</f>
        <v>0</v>
      </c>
      <c r="L45" s="132">
        <f t="shared" si="15"/>
        <v>32.311437563331779</v>
      </c>
      <c r="M45" s="101">
        <f t="shared" si="16"/>
        <v>32.311437563331779</v>
      </c>
      <c r="N45" s="145" t="s">
        <v>145</v>
      </c>
      <c r="O45" s="148" t="s">
        <v>145</v>
      </c>
      <c r="Q45" s="118">
        <f t="shared" si="14"/>
        <v>0</v>
      </c>
      <c r="R45" s="119">
        <f t="shared" si="14"/>
        <v>0</v>
      </c>
      <c r="S45" s="128">
        <f>INDEX('[1]Energy Savings by Material'!$T$6:$T$66, MATCH($A45, '[1]Energy Savings by Material'!$B$6:$B$66, 0))</f>
        <v>-0.13331055684033183</v>
      </c>
      <c r="T45" s="4">
        <f>INDEX('[1]Energy Savings by Material'!$AI$6:$AI$66, MATCH($A45, '[1]Energy Savings by Material'!$B$6:$B$66, 0))</f>
        <v>18.236504136973871</v>
      </c>
      <c r="U45" s="119">
        <f t="shared" si="17"/>
        <v>0</v>
      </c>
      <c r="V45" s="107">
        <f t="shared" si="18"/>
        <v>0</v>
      </c>
      <c r="X45" s="184"/>
      <c r="Y45" s="185"/>
    </row>
    <row r="46" spans="1:25" x14ac:dyDescent="0.2">
      <c r="A46" t="str">
        <f t="shared" si="11"/>
        <v>Mixed Paper (primarily from offices)</v>
      </c>
      <c r="B46" s="141">
        <f>INDEX('[1]Energy Savings by Material'!$AB$6:$AB$66, MATCH($A46, '[1]Energy Savings by Material'!$B$6:$B$66, 0))</f>
        <v>36.052469782868869</v>
      </c>
      <c r="C46" s="141">
        <f>INDEX('[1]Energy Savings by Material'!$AF$6:$AF$66, MATCH($A46, '[1]Energy Savings by Material'!$B$6:$B$66, 0))</f>
        <v>34.642171590374666</v>
      </c>
      <c r="D46" s="209">
        <f>INDEX('[1]Energy Savings by Material'!$AI$6:$AI$66, MATCH($A46, '[1]Energy Savings by Material'!$B$6:$B$66, 0))</f>
        <v>24.704230606967442</v>
      </c>
      <c r="F46" s="46">
        <f t="shared" si="12"/>
        <v>0.90390999999999999</v>
      </c>
      <c r="G46" s="44"/>
      <c r="H46" s="133">
        <f t="shared" si="13"/>
        <v>9.6090000000000018</v>
      </c>
      <c r="J46" s="11">
        <f>'Input Sheet'!E84</f>
        <v>0</v>
      </c>
      <c r="K46" s="130">
        <f>IF(ISNUMBER('Input Sheet'!F52),'Input Sheet'!F52,'Data &amp; Calcs Sheet'!J46)</f>
        <v>0</v>
      </c>
      <c r="L46" s="132">
        <f t="shared" si="15"/>
        <v>36.052469782868869</v>
      </c>
      <c r="M46" s="101">
        <f t="shared" si="16"/>
        <v>36.052469782868869</v>
      </c>
      <c r="N46" s="181" t="s">
        <v>145</v>
      </c>
      <c r="O46" s="182" t="s">
        <v>145</v>
      </c>
      <c r="Q46" s="118">
        <f t="shared" si="14"/>
        <v>0</v>
      </c>
      <c r="R46" s="119">
        <f t="shared" si="14"/>
        <v>0</v>
      </c>
      <c r="S46" s="128">
        <f>INDEX('[1]Energy Savings by Material'!$T$6:$T$66, MATCH($A46, '[1]Energy Savings by Material'!$B$6:$B$66, 0))</f>
        <v>-0.12592883395443411</v>
      </c>
      <c r="T46" s="4">
        <f>INDEX('[1]Energy Savings by Material'!$AI$6:$AI$66, MATCH($A46, '[1]Energy Savings by Material'!$B$6:$B$66, 0))</f>
        <v>24.704230606967442</v>
      </c>
      <c r="U46" s="119">
        <f t="shared" si="17"/>
        <v>0</v>
      </c>
      <c r="V46" s="107">
        <f t="shared" si="18"/>
        <v>0</v>
      </c>
      <c r="X46" s="184"/>
      <c r="Y46" s="185"/>
    </row>
    <row r="47" spans="1:25" x14ac:dyDescent="0.2">
      <c r="A47" t="str">
        <f t="shared" si="11"/>
        <v>Mixed Metals</v>
      </c>
      <c r="B47" s="141">
        <f>INDEX('[1]Energy Savings by Material'!$AB$6:$AB$66, MATCH($A47, '[1]Energy Savings by Material'!$B$6:$B$66, 0))</f>
        <v>94.080088778197748</v>
      </c>
      <c r="C47" s="141">
        <f>INDEX('[1]Energy Savings by Material'!$AF$6:$AF$66, MATCH($A47, '[1]Energy Savings by Material'!$B$6:$B$66, 0))</f>
        <v>50.86112561978711</v>
      </c>
      <c r="D47" s="209">
        <f>INDEX('[1]Energy Savings by Material'!$AI$6:$AI$66, MATCH($A47, '[1]Energy Savings by Material'!$B$6:$B$66, 0))</f>
        <v>23.487757052082813</v>
      </c>
      <c r="F47" s="46">
        <f t="shared" si="12"/>
        <v>0.54987434554973824</v>
      </c>
      <c r="G47" s="44"/>
      <c r="H47" s="133">
        <f t="shared" si="13"/>
        <v>45.012565445026176</v>
      </c>
      <c r="J47" s="11">
        <f>'Input Sheet'!E85</f>
        <v>0</v>
      </c>
      <c r="K47" s="130">
        <f>IF(ISNUMBER('Input Sheet'!F53),'Input Sheet'!F53,'Data &amp; Calcs Sheet'!J47)</f>
        <v>0</v>
      </c>
      <c r="L47" s="132">
        <f t="shared" si="15"/>
        <v>94.080088778197748</v>
      </c>
      <c r="M47" s="101">
        <f t="shared" si="16"/>
        <v>94.080088778197748</v>
      </c>
      <c r="N47" s="145" t="s">
        <v>145</v>
      </c>
      <c r="O47" s="148" t="s">
        <v>145</v>
      </c>
      <c r="Q47" s="118">
        <f t="shared" si="14"/>
        <v>0</v>
      </c>
      <c r="R47" s="119">
        <f t="shared" si="14"/>
        <v>0</v>
      </c>
      <c r="S47" s="128">
        <f>INDEX('[1]Energy Savings by Material'!$T$6:$T$66, MATCH($A47, '[1]Energy Savings by Material'!$B$6:$B$66, 0))</f>
        <v>0.26827304622443826</v>
      </c>
      <c r="T47" s="4">
        <f>INDEX('[1]Energy Savings by Material'!$AI$6:$AI$66, MATCH($A47, '[1]Energy Savings by Material'!$B$6:$B$66, 0))</f>
        <v>23.487757052082813</v>
      </c>
      <c r="U47" s="119">
        <f t="shared" si="17"/>
        <v>0</v>
      </c>
      <c r="V47" s="107">
        <f t="shared" si="18"/>
        <v>0</v>
      </c>
      <c r="X47" s="184"/>
      <c r="Y47" s="185"/>
    </row>
    <row r="48" spans="1:25" x14ac:dyDescent="0.2">
      <c r="A48" t="str">
        <f t="shared" si="11"/>
        <v>Mixed Plastics</v>
      </c>
      <c r="B48" s="141">
        <f>INDEX('[1]Energy Savings by Material'!$AB$6:$AB$66, MATCH($A48, '[1]Energy Savings by Material'!$B$6:$B$66, 0))</f>
        <v>57.433613053954382</v>
      </c>
      <c r="C48" s="141">
        <f>INDEX('[1]Energy Savings by Material'!$AF$6:$AF$66, MATCH($A48, '[1]Energy Savings by Material'!$B$6:$B$66, 0))</f>
        <v>54.453042402983236</v>
      </c>
      <c r="D48" s="209">
        <f>INDEX('[1]Energy Savings by Material'!$AI$6:$AI$66, MATCH($A48, '[1]Energy Savings by Material'!$B$6:$B$66, 0))</f>
        <v>12.532698704864346</v>
      </c>
      <c r="F48" s="46">
        <f t="shared" si="12"/>
        <v>0.94217948717948707</v>
      </c>
      <c r="G48" s="44"/>
      <c r="H48" s="133">
        <f t="shared" si="13"/>
        <v>5.7820512820512926</v>
      </c>
      <c r="J48" s="11">
        <f>'Input Sheet'!E86</f>
        <v>0</v>
      </c>
      <c r="K48" s="130">
        <f>IF(ISNUMBER('Input Sheet'!F54),'Input Sheet'!F54,'Data &amp; Calcs Sheet'!J48)</f>
        <v>0</v>
      </c>
      <c r="L48" s="132">
        <f t="shared" si="15"/>
        <v>57.433613053954382</v>
      </c>
      <c r="M48" s="101">
        <f t="shared" si="16"/>
        <v>57.433613053954382</v>
      </c>
      <c r="N48" s="181" t="s">
        <v>145</v>
      </c>
      <c r="O48" s="182" t="s">
        <v>145</v>
      </c>
      <c r="Q48" s="118">
        <f t="shared" si="14"/>
        <v>0</v>
      </c>
      <c r="R48" s="119">
        <f t="shared" si="14"/>
        <v>0</v>
      </c>
      <c r="S48" s="128">
        <f>INDEX('[1]Energy Savings by Material'!$T$6:$T$66, MATCH($A48, '[1]Energy Savings by Material'!$B$6:$B$66, 0))</f>
        <v>0.26827304622443826</v>
      </c>
      <c r="T48" s="4">
        <f>INDEX('[1]Energy Savings by Material'!$AI$6:$AI$66, MATCH($A48, '[1]Energy Savings by Material'!$B$6:$B$66, 0))</f>
        <v>12.532698704864346</v>
      </c>
      <c r="U48" s="119">
        <f t="shared" si="17"/>
        <v>0</v>
      </c>
      <c r="V48" s="107">
        <f t="shared" si="18"/>
        <v>0</v>
      </c>
      <c r="X48" s="184"/>
      <c r="Y48" s="185"/>
    </row>
    <row r="49" spans="1:25" x14ac:dyDescent="0.2">
      <c r="X49" s="9"/>
      <c r="Y49" s="9"/>
    </row>
    <row r="50" spans="1:25" ht="13.5" thickBot="1" x14ac:dyDescent="0.25"/>
    <row r="51" spans="1:25" x14ac:dyDescent="0.2">
      <c r="B51" s="111" t="s">
        <v>120</v>
      </c>
      <c r="C51" s="112"/>
    </row>
    <row r="52" spans="1:25" x14ac:dyDescent="0.2">
      <c r="B52" s="113" t="s">
        <v>198</v>
      </c>
      <c r="C52" s="114">
        <f>'[1]Conversion Factors'!$B$6</f>
        <v>4.71</v>
      </c>
    </row>
    <row r="53" spans="1:25" x14ac:dyDescent="0.2">
      <c r="B53" s="113" t="s">
        <v>199</v>
      </c>
      <c r="C53" s="162">
        <f>'[1]Conversion Factors'!$G$5</f>
        <v>112.52391133115786</v>
      </c>
    </row>
    <row r="54" spans="1:25" ht="13.5" thickBot="1" x14ac:dyDescent="0.25">
      <c r="B54" s="115" t="s">
        <v>136</v>
      </c>
      <c r="C54" s="122">
        <f>'[1]Conversion Factors'!$B$14</f>
        <v>0.12045238095238095</v>
      </c>
    </row>
    <row r="55" spans="1:25" x14ac:dyDescent="0.2">
      <c r="B55" t="s">
        <v>183</v>
      </c>
    </row>
    <row r="56" spans="1:25" ht="13.5" thickBot="1" x14ac:dyDescent="0.25"/>
    <row r="57" spans="1:25" x14ac:dyDescent="0.2">
      <c r="A57" s="111" t="s">
        <v>97</v>
      </c>
      <c r="B57" s="120"/>
      <c r="C57" s="112"/>
    </row>
    <row r="58" spans="1:25" x14ac:dyDescent="0.2">
      <c r="A58" s="113" t="s">
        <v>98</v>
      </c>
      <c r="B58" s="73">
        <f>(('Unit Converter'!C15*'Unit Converter'!E15)/(8.5*11))*('Unit Converter'!C17/20)*5</f>
        <v>0</v>
      </c>
      <c r="C58" s="121"/>
    </row>
    <row r="59" spans="1:25" x14ac:dyDescent="0.2">
      <c r="A59" s="113" t="s">
        <v>99</v>
      </c>
      <c r="B59" s="72">
        <f>'Unit Converter'!C20*'Unit Converter'!C22</f>
        <v>0</v>
      </c>
      <c r="C59" s="121"/>
    </row>
    <row r="60" spans="1:25" ht="13.5" thickBot="1" x14ac:dyDescent="0.25">
      <c r="A60" s="115"/>
      <c r="B60" s="117"/>
      <c r="C60" s="116"/>
    </row>
  </sheetData>
  <mergeCells count="8">
    <mergeCell ref="Q1:T1"/>
    <mergeCell ref="Q3:V3"/>
    <mergeCell ref="N27:O27"/>
    <mergeCell ref="Q27:V27"/>
    <mergeCell ref="F2:H2"/>
    <mergeCell ref="J3:M3"/>
    <mergeCell ref="J27:M27"/>
    <mergeCell ref="N3:O3"/>
  </mergeCells>
  <phoneticPr fontId="0"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57773ABDDE7F4086CAAAB8493B4110" ma:contentTypeVersion="8" ma:contentTypeDescription="Create a new document." ma:contentTypeScope="" ma:versionID="89e4e6c9371594c6ad04be055117a17a">
  <xsd:schema xmlns:xsd="http://www.w3.org/2001/XMLSchema" xmlns:xs="http://www.w3.org/2001/XMLSchema" xmlns:p="http://schemas.microsoft.com/office/2006/metadata/properties" xmlns:ns2="d5ff2821-f0cf-4ee1-bfb8-1dff40b4bb08" xmlns:ns3="b0350989-4d6d-4c22-8597-8ceb2b96026b" targetNamespace="http://schemas.microsoft.com/office/2006/metadata/properties" ma:root="true" ma:fieldsID="f92fbf552c64d8a8853277978daffd70" ns2:_="" ns3:_="">
    <xsd:import namespace="d5ff2821-f0cf-4ee1-bfb8-1dff40b4bb08"/>
    <xsd:import namespace="b0350989-4d6d-4c22-8597-8ceb2b96026b"/>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ff2821-f0cf-4ee1-bfb8-1dff40b4b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350989-4d6d-4c22-8597-8ceb2b96026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6CF-9808-4F79-BB85-0783D1DFC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ff2821-f0cf-4ee1-bfb8-1dff40b4bb08"/>
    <ds:schemaRef ds:uri="b0350989-4d6d-4c22-8597-8ceb2b9602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58080-A7BE-42DD-85AF-14BC9F392F50}">
  <ds:schemaRefs>
    <ds:schemaRef ds:uri="http://www.w3.org/XML/1998/namespace"/>
    <ds:schemaRef ds:uri="d5ff2821-f0cf-4ee1-bfb8-1dff40b4bb08"/>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b0350989-4d6d-4c22-8597-8ceb2b96026b"/>
  </ds:schemaRefs>
</ds:datastoreItem>
</file>

<file path=customXml/itemProps3.xml><?xml version="1.0" encoding="utf-8"?>
<ds:datastoreItem xmlns:ds="http://schemas.openxmlformats.org/officeDocument/2006/customXml" ds:itemID="{07DC2E50-CB42-4A76-8031-DB3A1A2992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User's Guide</vt:lpstr>
      <vt:lpstr>Input Sheet</vt:lpstr>
      <vt:lpstr>Unit Converter</vt:lpstr>
      <vt:lpstr>GHG Output Sheet</vt:lpstr>
      <vt:lpstr>Energy Output Sheet</vt:lpstr>
      <vt:lpstr>Data &amp; Calcs Sheet</vt:lpstr>
      <vt:lpstr>DefaultRC</vt:lpstr>
      <vt:lpstr>Factor</vt:lpstr>
      <vt:lpstr>Inputs</vt:lpstr>
      <vt:lpstr>Inputs2</vt:lpstr>
      <vt:lpstr>MaterialList</vt:lpstr>
      <vt:lpstr>MaterialUnitWeightTable</vt:lpstr>
      <vt:lpstr>PurchAltRC</vt:lpstr>
      <vt:lpstr>PurchBaseRC</vt:lpstr>
      <vt:lpstr>SelectedUnit</vt:lpstr>
    </vt:vector>
  </TitlesOfParts>
  <Company>ICF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14013</dc:creator>
  <cp:lastModifiedBy>Golla, Emily</cp:lastModifiedBy>
  <cp:lastPrinted>2003-11-25T20:15:17Z</cp:lastPrinted>
  <dcterms:created xsi:type="dcterms:W3CDTF">2003-03-04T13:53:24Z</dcterms:created>
  <dcterms:modified xsi:type="dcterms:W3CDTF">2020-10-12T15:23:54Z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-612273511</vt:i4>
  </property>
  <property fmtid="{D5CDD505-2E9C-101B-9397-08002B2CF9AE}" pid="3" name="_EmailSubject">
    <vt:lpwstr>RECON Tool_revised</vt:lpwstr>
  </property>
  <property fmtid="{D5CDD505-2E9C-101B-9397-08002B2CF9AE}" pid="4" name="_AuthorEmail">
    <vt:lpwstr>PGroth@icfconsulting.com</vt:lpwstr>
  </property>
  <property fmtid="{D5CDD505-2E9C-101B-9397-08002B2CF9AE}" pid="5" name="_AuthorEmailDisplayName">
    <vt:lpwstr>Groth, Philip</vt:lpwstr>
  </property>
  <property fmtid="{D5CDD505-2E9C-101B-9397-08002B2CF9AE}" pid="6" name="_ReviewingToolsShownOnce">
    <vt:lpwstr/>
  </property>
  <property fmtid="{D5CDD505-2E9C-101B-9397-08002B2CF9AE}" pid="7" name="ContentTypeId">
    <vt:lpwstr>0x0101008657773ABDDE7F4086CAAAB8493B4110</vt:lpwstr>
  </property>
</Properties>
</file>