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T:\Hao Li\EPA v6.17\508\"/>
    </mc:Choice>
  </mc:AlternateContent>
  <bookViews>
    <workbookView xWindow="0" yWindow="0" windowWidth="19200" windowHeight="10785"/>
  </bookViews>
  <sheets>
    <sheet name="Cost of Service" sheetId="1" r:id="rId1"/>
    <sheet name="Restructured" sheetId="5" r:id="rId2"/>
    <sheet name="State Estimate" sheetId="4" r:id="rId3"/>
    <sheet name="maps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4" i="1" l="1"/>
  <c r="H4" i="5"/>
  <c r="K5" i="1" l="1"/>
  <c r="K6" i="1"/>
  <c r="G5" i="4" l="1"/>
  <c r="G6" i="4"/>
  <c r="G4" i="4"/>
  <c r="K6" i="5" l="1"/>
  <c r="H6" i="5"/>
  <c r="M6" i="5" s="1"/>
  <c r="P6" i="5" s="1"/>
  <c r="R6" i="5" s="1"/>
  <c r="D6" i="4" s="1"/>
  <c r="K5" i="5"/>
  <c r="H5" i="5"/>
  <c r="K4" i="5"/>
  <c r="M4" i="5" s="1"/>
  <c r="P4" i="5" s="1"/>
  <c r="R4" i="5" s="1"/>
  <c r="D4" i="4" s="1"/>
  <c r="M5" i="5" l="1"/>
  <c r="P5" i="5" s="1"/>
  <c r="R5" i="5" s="1"/>
  <c r="D5" i="4" s="1"/>
  <c r="N5" i="1"/>
  <c r="N6" i="1"/>
  <c r="N4" i="1"/>
  <c r="O4" i="1" s="1"/>
  <c r="O6" i="1" l="1"/>
  <c r="O5" i="1"/>
  <c r="S4" i="1" l="1"/>
  <c r="U4" i="1" s="1"/>
  <c r="X4" i="1" s="1"/>
  <c r="Z4" i="1" s="1"/>
  <c r="C4" i="4" s="1"/>
  <c r="E4" i="4" s="1"/>
  <c r="S5" i="1"/>
  <c r="U5" i="1" s="1"/>
  <c r="X5" i="1" s="1"/>
  <c r="Z5" i="1" s="1"/>
  <c r="C5" i="4" s="1"/>
  <c r="E5" i="4" s="1"/>
  <c r="S6" i="1"/>
  <c r="U6" i="1" s="1"/>
  <c r="X6" i="1" s="1"/>
  <c r="Z6" i="1" s="1"/>
  <c r="C6" i="4" s="1"/>
  <c r="E6" i="4" s="1"/>
  <c r="B9" i="4" l="1"/>
</calcChain>
</file>

<file path=xl/sharedStrings.xml><?xml version="1.0" encoding="utf-8"?>
<sst xmlns="http://schemas.openxmlformats.org/spreadsheetml/2006/main" count="122" uniqueCount="58">
  <si>
    <t>Net Energy For Load (GWh)</t>
  </si>
  <si>
    <t>Fuel Cost (Millions$)</t>
  </si>
  <si>
    <t>VOM Cost (Millions$)</t>
  </si>
  <si>
    <t>FOM Cost (Millions$)</t>
  </si>
  <si>
    <t>REC transaction Cost (Millions$)</t>
  </si>
  <si>
    <t>Total Costs for Generation of  Power (Millions$)</t>
  </si>
  <si>
    <t>Sales (GWh)</t>
  </si>
  <si>
    <t>Utility Depreciation Costs  (mills/kWh)</t>
  </si>
  <si>
    <t>Generation Cost Before Taxes (mills/kWh)</t>
  </si>
  <si>
    <t>Generation Cost After Taxes (mills/kWh)</t>
  </si>
  <si>
    <t>EIA</t>
  </si>
  <si>
    <t>calc</t>
  </si>
  <si>
    <t>IPM</t>
  </si>
  <si>
    <t>IPM Region</t>
  </si>
  <si>
    <t>EIA Region</t>
  </si>
  <si>
    <t>Assumed Tax Rates for Cost-of Service</t>
  </si>
  <si>
    <t>COST OF SERVICE</t>
  </si>
  <si>
    <t>RESTRUCTURED</t>
  </si>
  <si>
    <t>ESTIMATES BY MODEL REGION</t>
  </si>
  <si>
    <t>Generation Share</t>
  </si>
  <si>
    <t>Wholesale Costs - interregional transactions (Millions$)</t>
  </si>
  <si>
    <t>Region A</t>
  </si>
  <si>
    <t>Region B</t>
  </si>
  <si>
    <t>Region 1</t>
  </si>
  <si>
    <t>Region 2</t>
  </si>
  <si>
    <t>Region 3</t>
  </si>
  <si>
    <t>Load Factor</t>
  </si>
  <si>
    <t>RPS Policy - REC Price (mills/kWh)</t>
  </si>
  <si>
    <t>Deregulated Share (%)</t>
  </si>
  <si>
    <t>Capital Cost (Millions$)</t>
  </si>
  <si>
    <t>Average Cost of Power Sales (mills/kWh)</t>
  </si>
  <si>
    <t>Final NUG Cost (mills/kWh)</t>
  </si>
  <si>
    <t>Distribution Loss Factor</t>
  </si>
  <si>
    <t>RPS Policy - Renewables Penetration as a Percentage of Sales (%)</t>
  </si>
  <si>
    <t>State/Local Taxes Rate (%)</t>
  </si>
  <si>
    <t>Energy Price (mills/kWh)</t>
  </si>
  <si>
    <t>Capacity Price ($/kW)</t>
  </si>
  <si>
    <t>Marginal Energy Cost and Capacity Cost (mills/kWh)</t>
  </si>
  <si>
    <t>Competitive Generation Cost (mills/kWh)</t>
  </si>
  <si>
    <t>Transmission Cost (mills/kWh)</t>
  </si>
  <si>
    <t>Distribution Cost (mills/kWh)</t>
  </si>
  <si>
    <t>Final Average Price after T&amp;D Addition (mills/kWh)</t>
  </si>
  <si>
    <t>Final Average Price Weighted for Deregulated Share (mills/kWh)</t>
  </si>
  <si>
    <t>Return (mills/kWh)</t>
  </si>
  <si>
    <t>Average Electricity Price (mills/kWh)</t>
  </si>
  <si>
    <t>Generation Total (GWh)</t>
  </si>
  <si>
    <t>data source:</t>
  </si>
  <si>
    <t>RPM</t>
  </si>
  <si>
    <t>State X</t>
  </si>
  <si>
    <t>CCS Cost (Millions$)</t>
  </si>
  <si>
    <t>Retail Rate (Generation + Transmission + Distribution) (mills/kWh)</t>
  </si>
  <si>
    <t>RPS REC Cost (mills/kWh)</t>
  </si>
  <si>
    <t>Cost of Service (mills/kWh)</t>
  </si>
  <si>
    <t>Restructured (mills/kWh)</t>
  </si>
  <si>
    <t>IPM input</t>
  </si>
  <si>
    <t>Allocated Allowance Costs (Millions$)</t>
  </si>
  <si>
    <t>Reserve Margin (%)</t>
  </si>
  <si>
    <t>STATE-LEVEL ESTIMATE (mills/kWh)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</si>
</sst>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.0"/>
    <numFmt numFmtId="165" formatCode="#,##0.0"/>
    <numFmt numFmtId="166" formatCode="0.0%"/>
    <numFmt numFmtId="167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 applyBorder="0" applyProtection="0"/>
    <xf numFmtId="43" fontId="2" fillId="0" borderId="0" applyFont="0" applyBorder="0" applyAlignment="0" applyProtection="0"/>
    <xf numFmtId="43" fontId="4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2" borderId="0" xfId="0" applyFill="1"/>
    <xf numFmtId="3" fontId="0" fillId="0" borderId="0" xfId="0" applyNumberFormat="1"/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0" fontId="0" fillId="0" borderId="0" xfId="0" applyFill="1" applyAlignment="1">
      <alignment wrapText="1"/>
    </xf>
    <xf numFmtId="0" fontId="0" fillId="0" borderId="0" xfId="0" applyFill="1"/>
    <xf numFmtId="0" fontId="1" fillId="0" borderId="0" xfId="0" applyFont="1" applyAlignment="1">
      <alignment wrapText="1"/>
    </xf>
    <xf numFmtId="0" fontId="1" fillId="0" borderId="0" xfId="0" applyFont="1" applyFill="1" applyAlignment="1">
      <alignment wrapText="1"/>
    </xf>
    <xf numFmtId="0" fontId="3" fillId="0" borderId="0" xfId="0" applyFont="1" applyAlignment="1">
      <alignment vertical="center"/>
    </xf>
    <xf numFmtId="3" fontId="0" fillId="0" borderId="0" xfId="0" applyNumberFormat="1" applyFill="1"/>
    <xf numFmtId="166" fontId="0" fillId="0" borderId="0" xfId="0" applyNumberFormat="1" applyFill="1"/>
    <xf numFmtId="166" fontId="0" fillId="0" borderId="0" xfId="0" applyNumberFormat="1"/>
    <xf numFmtId="10" fontId="0" fillId="0" borderId="0" xfId="0" applyNumberFormat="1"/>
    <xf numFmtId="9" fontId="0" fillId="0" borderId="0" xfId="0" applyNumberFormat="1"/>
    <xf numFmtId="166" fontId="0" fillId="0" borderId="0" xfId="0" applyNumberFormat="1" applyAlignment="1">
      <alignment wrapText="1"/>
    </xf>
    <xf numFmtId="0" fontId="0" fillId="0" borderId="0" xfId="0" applyAlignment="1">
      <alignment horizontal="left"/>
    </xf>
    <xf numFmtId="0" fontId="0" fillId="0" borderId="0" xfId="0" applyFont="1"/>
    <xf numFmtId="165" fontId="0" fillId="0" borderId="0" xfId="0" applyNumberFormat="1" applyFill="1"/>
    <xf numFmtId="167" fontId="0" fillId="0" borderId="0" xfId="3" applyNumberFormat="1" applyFont="1"/>
    <xf numFmtId="167" fontId="0" fillId="0" borderId="0" xfId="3" applyNumberFormat="1" applyFont="1" applyAlignment="1">
      <alignment wrapText="1"/>
    </xf>
    <xf numFmtId="164" fontId="0" fillId="2" borderId="0" xfId="0" applyNumberFormat="1" applyFill="1"/>
  </cellXfs>
  <cellStyles count="4">
    <cellStyle name="Comma" xfId="3" builtinId="3"/>
    <cellStyle name="Comma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0</xdr:row>
      <xdr:rowOff>180974</xdr:rowOff>
    </xdr:from>
    <xdr:to>
      <xdr:col>10</xdr:col>
      <xdr:colOff>99290</xdr:colOff>
      <xdr:row>26</xdr:row>
      <xdr:rowOff>76199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180974"/>
          <a:ext cx="6776314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85725</xdr:colOff>
      <xdr:row>0</xdr:row>
      <xdr:rowOff>106835</xdr:rowOff>
    </xdr:from>
    <xdr:to>
      <xdr:col>21</xdr:col>
      <xdr:colOff>561975</xdr:colOff>
      <xdr:row>26</xdr:row>
      <xdr:rowOff>114300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835"/>
          <a:ext cx="8020050" cy="4960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"/>
  <sheetViews>
    <sheetView tabSelected="1" workbookViewId="0"/>
  </sheetViews>
  <sheetFormatPr defaultRowHeight="15" x14ac:dyDescent="0.25"/>
  <cols>
    <col min="1" max="1" width="10.28515625" customWidth="1"/>
    <col min="2" max="2" width="10.85546875" customWidth="1"/>
    <col min="3" max="5" width="12.28515625" customWidth="1"/>
    <col min="6" max="6" width="12.42578125" customWidth="1"/>
    <col min="7" max="7" width="15.5703125" customWidth="1"/>
    <col min="8" max="10" width="12.28515625" customWidth="1"/>
    <col min="11" max="11" width="14.28515625" customWidth="1"/>
    <col min="12" max="12" width="11.5703125" bestFit="1" customWidth="1"/>
    <col min="13" max="13" width="12.140625" customWidth="1"/>
    <col min="14" max="14" width="10.28515625" customWidth="1"/>
    <col min="15" max="15" width="11.7109375" customWidth="1"/>
    <col min="16" max="16" width="13.140625" customWidth="1"/>
    <col min="17" max="17" width="16" customWidth="1"/>
    <col min="18" max="18" width="14.28515625" customWidth="1"/>
    <col min="19" max="19" width="11.7109375" customWidth="1"/>
    <col min="20" max="20" width="13" customWidth="1"/>
    <col min="21" max="21" width="14.140625" customWidth="1"/>
    <col min="22" max="22" width="13" customWidth="1"/>
    <col min="23" max="23" width="12.42578125" customWidth="1"/>
    <col min="24" max="24" width="14.5703125" customWidth="1"/>
    <col min="25" max="25" width="13.7109375" customWidth="1"/>
    <col min="26" max="26" width="18.140625" customWidth="1"/>
  </cols>
  <sheetData>
    <row r="1" spans="1:26" ht="25.5" customHeight="1" x14ac:dyDescent="0.25">
      <c r="A1" s="13" t="s">
        <v>16</v>
      </c>
    </row>
    <row r="2" spans="1:26" x14ac:dyDescent="0.25">
      <c r="A2" t="s">
        <v>46</v>
      </c>
      <c r="C2" t="s">
        <v>12</v>
      </c>
      <c r="D2" t="s">
        <v>12</v>
      </c>
      <c r="E2" t="s">
        <v>12</v>
      </c>
      <c r="F2" t="s">
        <v>12</v>
      </c>
      <c r="G2" t="s">
        <v>12</v>
      </c>
      <c r="H2" t="s">
        <v>12</v>
      </c>
      <c r="I2" t="s">
        <v>12</v>
      </c>
      <c r="J2" t="s">
        <v>12</v>
      </c>
      <c r="K2" t="s">
        <v>11</v>
      </c>
      <c r="L2" t="s">
        <v>12</v>
      </c>
      <c r="M2" t="s">
        <v>10</v>
      </c>
      <c r="N2" t="s">
        <v>11</v>
      </c>
      <c r="O2" t="s">
        <v>11</v>
      </c>
      <c r="P2" t="s">
        <v>10</v>
      </c>
      <c r="Q2" t="s">
        <v>10</v>
      </c>
      <c r="R2" t="s">
        <v>10</v>
      </c>
      <c r="S2" t="s">
        <v>11</v>
      </c>
      <c r="T2" t="s">
        <v>10</v>
      </c>
      <c r="U2" t="s">
        <v>11</v>
      </c>
      <c r="V2" t="s">
        <v>10</v>
      </c>
      <c r="W2" t="s">
        <v>10</v>
      </c>
      <c r="X2" t="s">
        <v>11</v>
      </c>
      <c r="Y2" t="s">
        <v>10</v>
      </c>
      <c r="Z2" t="s">
        <v>11</v>
      </c>
    </row>
    <row r="3" spans="1:26" ht="90" x14ac:dyDescent="0.25">
      <c r="A3" s="2" t="s">
        <v>14</v>
      </c>
      <c r="B3" s="2" t="s">
        <v>13</v>
      </c>
      <c r="C3" s="11" t="s">
        <v>1</v>
      </c>
      <c r="D3" s="11" t="s">
        <v>2</v>
      </c>
      <c r="E3" s="11" t="s">
        <v>3</v>
      </c>
      <c r="F3" s="11" t="s">
        <v>29</v>
      </c>
      <c r="G3" s="11" t="s">
        <v>49</v>
      </c>
      <c r="H3" s="11" t="s">
        <v>20</v>
      </c>
      <c r="I3" s="11" t="s">
        <v>4</v>
      </c>
      <c r="J3" s="11" t="s">
        <v>55</v>
      </c>
      <c r="K3" s="11" t="s">
        <v>5</v>
      </c>
      <c r="L3" s="11" t="s">
        <v>0</v>
      </c>
      <c r="M3" s="11" t="s">
        <v>32</v>
      </c>
      <c r="N3" s="11" t="s">
        <v>6</v>
      </c>
      <c r="O3" s="12" t="s">
        <v>30</v>
      </c>
      <c r="P3" s="12" t="s">
        <v>7</v>
      </c>
      <c r="Q3" s="12" t="s">
        <v>43</v>
      </c>
      <c r="R3" s="12" t="s">
        <v>31</v>
      </c>
      <c r="S3" s="12" t="s">
        <v>8</v>
      </c>
      <c r="T3" s="11" t="s">
        <v>15</v>
      </c>
      <c r="U3" s="11" t="s">
        <v>9</v>
      </c>
      <c r="V3" s="11" t="s">
        <v>39</v>
      </c>
      <c r="W3" s="11" t="s">
        <v>40</v>
      </c>
      <c r="X3" s="11" t="s">
        <v>50</v>
      </c>
      <c r="Y3" s="11" t="s">
        <v>28</v>
      </c>
      <c r="Z3" s="11" t="s">
        <v>42</v>
      </c>
    </row>
    <row r="4" spans="1:26" x14ac:dyDescent="0.25">
      <c r="A4" t="s">
        <v>21</v>
      </c>
      <c r="B4" t="s">
        <v>23</v>
      </c>
      <c r="C4" s="24">
        <v>1400</v>
      </c>
      <c r="D4" s="24">
        <v>255</v>
      </c>
      <c r="E4" s="24">
        <v>457</v>
      </c>
      <c r="F4" s="24">
        <v>203</v>
      </c>
      <c r="G4" s="1">
        <v>0</v>
      </c>
      <c r="H4" s="1">
        <v>-361</v>
      </c>
      <c r="I4" s="1">
        <v>-8</v>
      </c>
      <c r="J4" s="1">
        <v>0</v>
      </c>
      <c r="K4" s="23">
        <f>C4+D4+E4+F4+H4+I4+G4+J4</f>
        <v>1946</v>
      </c>
      <c r="L4" s="24">
        <v>48050</v>
      </c>
      <c r="M4" s="19">
        <v>6.7000000000000004E-2</v>
      </c>
      <c r="N4" s="4">
        <f>L4*(1-M4)</f>
        <v>44830.65</v>
      </c>
      <c r="O4" s="22">
        <f>IF(N4=0, 0, K4/N4*1000)</f>
        <v>43.407802474423193</v>
      </c>
      <c r="P4" s="9">
        <v>4</v>
      </c>
      <c r="Q4" s="9">
        <v>7</v>
      </c>
      <c r="R4" s="9">
        <v>37</v>
      </c>
      <c r="S4" s="14">
        <f>O4+P4+Q4+R4</f>
        <v>91.407802474423193</v>
      </c>
      <c r="T4" s="1">
        <v>7.0000000000000007E-2</v>
      </c>
      <c r="U4" s="7">
        <f>S4*(1+T4)</f>
        <v>97.806348647632817</v>
      </c>
      <c r="V4" s="1">
        <v>9</v>
      </c>
      <c r="W4" s="1">
        <v>18</v>
      </c>
      <c r="X4" s="5">
        <f>MAX(U4,0)+V4+W4</f>
        <v>124.80634864763282</v>
      </c>
      <c r="Y4" s="18">
        <v>0.63</v>
      </c>
      <c r="Z4" s="6">
        <f>(1-Y4)*X4</f>
        <v>46.178348999624141</v>
      </c>
    </row>
    <row r="5" spans="1:26" x14ac:dyDescent="0.25">
      <c r="A5" t="s">
        <v>22</v>
      </c>
      <c r="B5" t="s">
        <v>24</v>
      </c>
      <c r="C5" s="23">
        <v>1610</v>
      </c>
      <c r="D5" s="23">
        <v>211</v>
      </c>
      <c r="E5" s="23">
        <v>1092</v>
      </c>
      <c r="F5" s="23">
        <v>297</v>
      </c>
      <c r="G5">
        <v>0</v>
      </c>
      <c r="H5">
        <v>644</v>
      </c>
      <c r="I5">
        <v>-51</v>
      </c>
      <c r="J5">
        <v>0</v>
      </c>
      <c r="K5" s="23">
        <f t="shared" ref="K5:K6" si="0">C5+D5+E5+F5+H5+I5+G5+J5</f>
        <v>3803</v>
      </c>
      <c r="L5" s="23">
        <v>95980</v>
      </c>
      <c r="M5" s="16">
        <v>5.8999999999999997E-2</v>
      </c>
      <c r="N5" s="4">
        <f>L5*(1-M5)</f>
        <v>90317.180000000008</v>
      </c>
      <c r="O5" s="22">
        <f t="shared" ref="O5:O6" si="1">IF(N5=0, 0, K5/N5*1000)</f>
        <v>42.107160564579182</v>
      </c>
      <c r="P5" s="10">
        <v>7</v>
      </c>
      <c r="Q5" s="10">
        <v>9</v>
      </c>
      <c r="R5" s="10">
        <v>0.15</v>
      </c>
      <c r="S5" s="14">
        <f>O5+P5+Q5+R5</f>
        <v>58.257160564579181</v>
      </c>
      <c r="T5">
        <v>9.8000000000000004E-2</v>
      </c>
      <c r="U5" s="7">
        <f t="shared" ref="U5:U6" si="2">S5*(1+T5)</f>
        <v>63.966362299907942</v>
      </c>
      <c r="V5">
        <v>6</v>
      </c>
      <c r="W5">
        <v>20</v>
      </c>
      <c r="X5" s="5">
        <f t="shared" ref="X5:X6" si="3">MAX(U5,0)+V5+W5</f>
        <v>89.966362299907942</v>
      </c>
      <c r="Y5" s="18">
        <v>0</v>
      </c>
      <c r="Z5" s="6">
        <f t="shared" ref="Z5:Z6" si="4">(1-Y5)*X5</f>
        <v>89.966362299907942</v>
      </c>
    </row>
    <row r="6" spans="1:26" x14ac:dyDescent="0.25">
      <c r="A6" t="s">
        <v>21</v>
      </c>
      <c r="B6" t="s">
        <v>25</v>
      </c>
      <c r="C6" s="23">
        <v>4686</v>
      </c>
      <c r="D6" s="23">
        <v>848</v>
      </c>
      <c r="E6" s="23">
        <v>2595</v>
      </c>
      <c r="F6" s="23">
        <v>296</v>
      </c>
      <c r="G6">
        <v>0</v>
      </c>
      <c r="H6">
        <v>-109</v>
      </c>
      <c r="I6">
        <v>77</v>
      </c>
      <c r="J6">
        <v>0</v>
      </c>
      <c r="K6" s="23">
        <f t="shared" si="0"/>
        <v>8393</v>
      </c>
      <c r="L6" s="23">
        <v>203600</v>
      </c>
      <c r="M6" s="16">
        <v>6.7000000000000004E-2</v>
      </c>
      <c r="N6" s="4">
        <f>L6*(1-M6)</f>
        <v>189958.80000000002</v>
      </c>
      <c r="O6" s="22">
        <f t="shared" si="1"/>
        <v>44.183265002726898</v>
      </c>
      <c r="P6" s="10">
        <v>4</v>
      </c>
      <c r="Q6" s="10">
        <v>7</v>
      </c>
      <c r="R6" s="10">
        <v>37</v>
      </c>
      <c r="S6" s="14">
        <f>O6+P6+Q6+R6</f>
        <v>92.183265002726898</v>
      </c>
      <c r="T6">
        <v>7.0000000000000007E-2</v>
      </c>
      <c r="U6" s="7">
        <f t="shared" si="2"/>
        <v>98.636093552917785</v>
      </c>
      <c r="V6">
        <v>9</v>
      </c>
      <c r="W6">
        <v>18</v>
      </c>
      <c r="X6" s="5">
        <f t="shared" si="3"/>
        <v>125.63609355291779</v>
      </c>
      <c r="Y6" s="18">
        <v>0.63</v>
      </c>
      <c r="Z6" s="6">
        <f t="shared" si="4"/>
        <v>46.485354614579578</v>
      </c>
    </row>
    <row r="9" spans="1:26" x14ac:dyDescent="0.25">
      <c r="A9" s="2"/>
    </row>
    <row r="11" spans="1:26" s="1" customFormat="1" x14ac:dyDescent="0.25">
      <c r="D11" s="9"/>
      <c r="E11" s="9"/>
      <c r="N11" s="9"/>
      <c r="O11" s="9"/>
    </row>
    <row r="12" spans="1:26" x14ac:dyDescent="0.25">
      <c r="D12" s="10"/>
      <c r="E12" s="10"/>
      <c r="M12" s="7"/>
      <c r="N12" s="10"/>
      <c r="O12" s="10"/>
      <c r="S12" s="8"/>
    </row>
    <row r="13" spans="1:26" x14ac:dyDescent="0.25">
      <c r="D13" s="10"/>
      <c r="E13" s="10"/>
      <c r="M13" s="7"/>
      <c r="N13" s="10"/>
      <c r="O13" s="10"/>
      <c r="S13" s="8"/>
    </row>
    <row r="14" spans="1:26" x14ac:dyDescent="0.25">
      <c r="D14" s="10"/>
      <c r="E14" s="10"/>
      <c r="M14" s="7"/>
      <c r="N14" s="10"/>
      <c r="O14" s="10"/>
      <c r="S14" s="8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"/>
  <sheetViews>
    <sheetView workbookViewId="0">
      <selection activeCell="E3" sqref="E3"/>
    </sheetView>
  </sheetViews>
  <sheetFormatPr defaultRowHeight="15" x14ac:dyDescent="0.25"/>
  <cols>
    <col min="1" max="1" width="14.85546875" bestFit="1" customWidth="1"/>
    <col min="2" max="2" width="8.5703125" bestFit="1" customWidth="1"/>
    <col min="3" max="3" width="12" customWidth="1"/>
    <col min="4" max="4" width="11.42578125" customWidth="1"/>
    <col min="5" max="5" width="12.85546875" customWidth="1"/>
    <col min="6" max="6" width="9" customWidth="1"/>
    <col min="7" max="7" width="13.140625" customWidth="1"/>
    <col min="8" max="8" width="15.5703125" customWidth="1"/>
    <col min="9" max="9" width="14.28515625" customWidth="1"/>
    <col min="10" max="10" width="14" customWidth="1"/>
    <col min="11" max="12" width="12.28515625" customWidth="1"/>
    <col min="13" max="13" width="12" bestFit="1" customWidth="1"/>
    <col min="14" max="14" width="13.85546875" customWidth="1"/>
    <col min="15" max="15" width="12.5703125" customWidth="1"/>
    <col min="16" max="16" width="13.7109375" customWidth="1"/>
    <col min="17" max="17" width="12.42578125" customWidth="1"/>
    <col min="18" max="18" width="17.42578125" customWidth="1"/>
  </cols>
  <sheetData>
    <row r="1" spans="1:18" ht="30" customHeight="1" x14ac:dyDescent="0.25">
      <c r="A1" s="13" t="s">
        <v>17</v>
      </c>
    </row>
    <row r="2" spans="1:18" x14ac:dyDescent="0.25">
      <c r="A2" t="s">
        <v>46</v>
      </c>
      <c r="C2" t="s">
        <v>12</v>
      </c>
      <c r="D2" t="s">
        <v>12</v>
      </c>
      <c r="E2" t="s">
        <v>54</v>
      </c>
      <c r="F2" t="s">
        <v>12</v>
      </c>
      <c r="G2" t="s">
        <v>10</v>
      </c>
      <c r="H2" t="s">
        <v>11</v>
      </c>
      <c r="I2" t="s">
        <v>54</v>
      </c>
      <c r="J2" t="s">
        <v>12</v>
      </c>
      <c r="K2" t="s">
        <v>11</v>
      </c>
      <c r="L2" t="s">
        <v>10</v>
      </c>
      <c r="M2" t="s">
        <v>11</v>
      </c>
      <c r="N2" t="s">
        <v>10</v>
      </c>
      <c r="O2" t="s">
        <v>10</v>
      </c>
      <c r="P2" t="s">
        <v>11</v>
      </c>
      <c r="Q2" t="s">
        <v>10</v>
      </c>
      <c r="R2" t="s">
        <v>11</v>
      </c>
    </row>
    <row r="3" spans="1:18" ht="75" x14ac:dyDescent="0.25">
      <c r="A3" s="11" t="s">
        <v>14</v>
      </c>
      <c r="B3" s="11" t="s">
        <v>13</v>
      </c>
      <c r="C3" s="11" t="s">
        <v>35</v>
      </c>
      <c r="D3" s="11" t="s">
        <v>36</v>
      </c>
      <c r="E3" s="12" t="s">
        <v>56</v>
      </c>
      <c r="F3" s="11" t="s">
        <v>26</v>
      </c>
      <c r="G3" s="11" t="s">
        <v>32</v>
      </c>
      <c r="H3" s="11" t="s">
        <v>37</v>
      </c>
      <c r="I3" s="11" t="s">
        <v>33</v>
      </c>
      <c r="J3" s="11" t="s">
        <v>27</v>
      </c>
      <c r="K3" s="11" t="s">
        <v>51</v>
      </c>
      <c r="L3" s="11" t="s">
        <v>34</v>
      </c>
      <c r="M3" s="11" t="s">
        <v>38</v>
      </c>
      <c r="N3" s="11" t="s">
        <v>39</v>
      </c>
      <c r="O3" s="11" t="s">
        <v>40</v>
      </c>
      <c r="P3" s="11" t="s">
        <v>41</v>
      </c>
      <c r="Q3" s="11" t="s">
        <v>28</v>
      </c>
      <c r="R3" s="11" t="s">
        <v>42</v>
      </c>
    </row>
    <row r="4" spans="1:18" x14ac:dyDescent="0.25">
      <c r="A4" t="s">
        <v>21</v>
      </c>
      <c r="B4" t="s">
        <v>23</v>
      </c>
      <c r="C4">
        <v>38</v>
      </c>
      <c r="D4">
        <v>21</v>
      </c>
      <c r="E4" s="15">
        <v>0.154</v>
      </c>
      <c r="F4">
        <v>0.65</v>
      </c>
      <c r="G4">
        <v>6.7000000000000004E-2</v>
      </c>
      <c r="H4" s="6">
        <f>(C4+(D4*(1+E4)/(8.76*F4)))/(1-G4)</f>
        <v>45.290524125920321</v>
      </c>
      <c r="I4" s="16">
        <v>5.1999999999999998E-2</v>
      </c>
      <c r="J4" s="6">
        <v>49.53</v>
      </c>
      <c r="K4" s="7">
        <f>I4*J4</f>
        <v>2.5755599999999998</v>
      </c>
      <c r="L4" s="17">
        <v>2.8000000000000001E-2</v>
      </c>
      <c r="M4" s="6">
        <f>(H4+K4)*(1+L4)</f>
        <v>49.206334481446092</v>
      </c>
      <c r="N4" s="6">
        <v>9.11</v>
      </c>
      <c r="O4" s="6">
        <v>17.86</v>
      </c>
      <c r="P4" s="6">
        <f>M4+N4+O4</f>
        <v>76.176334481446091</v>
      </c>
      <c r="Q4" s="18">
        <v>0.63</v>
      </c>
      <c r="R4" s="6">
        <f>Q4*P4</f>
        <v>47.991090723311039</v>
      </c>
    </row>
    <row r="5" spans="1:18" x14ac:dyDescent="0.25">
      <c r="A5" t="s">
        <v>22</v>
      </c>
      <c r="B5" t="s">
        <v>24</v>
      </c>
      <c r="C5">
        <v>40</v>
      </c>
      <c r="D5">
        <v>17</v>
      </c>
      <c r="E5" s="15">
        <v>0.154</v>
      </c>
      <c r="F5">
        <v>0.62</v>
      </c>
      <c r="G5">
        <v>5.8999999999999997E-2</v>
      </c>
      <c r="H5" s="6">
        <f>(C5+(D5*(1+E5)/(8.76*F5)))/(1-G5)</f>
        <v>46.346538886042602</v>
      </c>
      <c r="I5" s="16">
        <v>3.5000000000000003E-2</v>
      </c>
      <c r="J5" s="6">
        <v>117.49</v>
      </c>
      <c r="K5" s="7">
        <f t="shared" ref="K5:K6" si="0">I5*J5</f>
        <v>4.1121500000000006</v>
      </c>
      <c r="L5" s="17">
        <v>1.44E-2</v>
      </c>
      <c r="M5" s="6">
        <f>(H5+K5)*(1+L5)</f>
        <v>51.185294006001612</v>
      </c>
      <c r="N5" s="6">
        <v>6.03</v>
      </c>
      <c r="O5" s="6">
        <v>19.850000000000001</v>
      </c>
      <c r="P5" s="6">
        <f t="shared" ref="P5:P6" si="1">M5+N5+O5</f>
        <v>77.065294006001608</v>
      </c>
      <c r="Q5" s="18">
        <v>0</v>
      </c>
      <c r="R5" s="6">
        <f t="shared" ref="R5:R6" si="2">Q5*P5</f>
        <v>0</v>
      </c>
    </row>
    <row r="6" spans="1:18" x14ac:dyDescent="0.25">
      <c r="A6" t="s">
        <v>21</v>
      </c>
      <c r="B6" t="s">
        <v>25</v>
      </c>
      <c r="C6">
        <v>39</v>
      </c>
      <c r="D6">
        <v>20</v>
      </c>
      <c r="E6" s="15">
        <v>0.154</v>
      </c>
      <c r="F6">
        <v>0.65</v>
      </c>
      <c r="G6">
        <v>6.7000000000000004E-2</v>
      </c>
      <c r="H6" s="6">
        <f>(C6+(D6*(1+E6)/(8.76*F6)))/(1-G6)</f>
        <v>46.145112039487231</v>
      </c>
      <c r="I6" s="16">
        <v>5.1999999999999998E-2</v>
      </c>
      <c r="J6" s="6">
        <v>49.53</v>
      </c>
      <c r="K6" s="7">
        <f t="shared" si="0"/>
        <v>2.5755599999999998</v>
      </c>
      <c r="L6" s="17">
        <v>2.8000000000000001E-2</v>
      </c>
      <c r="M6" s="6">
        <f>(H6+K6)*(1+L6)</f>
        <v>50.08485085659288</v>
      </c>
      <c r="N6" s="6">
        <v>9.11</v>
      </c>
      <c r="O6" s="6">
        <v>17.86</v>
      </c>
      <c r="P6" s="6">
        <f t="shared" si="1"/>
        <v>77.054850856592878</v>
      </c>
      <c r="Q6" s="18">
        <v>0.63</v>
      </c>
      <c r="R6" s="6">
        <f t="shared" si="2"/>
        <v>48.544556039653514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A9" sqref="A9"/>
    </sheetView>
  </sheetViews>
  <sheetFormatPr defaultRowHeight="15" x14ac:dyDescent="0.25"/>
  <cols>
    <col min="1" max="1" width="11.85546875" customWidth="1"/>
    <col min="2" max="2" width="11.28515625" customWidth="1"/>
    <col min="3" max="3" width="12.28515625" customWidth="1"/>
    <col min="4" max="4" width="12.42578125" customWidth="1"/>
    <col min="5" max="5" width="14.28515625" customWidth="1"/>
    <col min="6" max="6" width="12.140625" customWidth="1"/>
    <col min="7" max="7" width="12" customWidth="1"/>
  </cols>
  <sheetData>
    <row r="1" spans="1:7" x14ac:dyDescent="0.25">
      <c r="A1" s="2" t="s">
        <v>18</v>
      </c>
    </row>
    <row r="2" spans="1:7" x14ac:dyDescent="0.25">
      <c r="A2" s="21" t="s">
        <v>46</v>
      </c>
      <c r="C2" t="s">
        <v>47</v>
      </c>
      <c r="D2" t="s">
        <v>47</v>
      </c>
      <c r="E2" t="s">
        <v>47</v>
      </c>
      <c r="F2" t="s">
        <v>12</v>
      </c>
      <c r="G2" t="s">
        <v>12</v>
      </c>
    </row>
    <row r="3" spans="1:7" ht="60" x14ac:dyDescent="0.25">
      <c r="A3" s="11" t="s">
        <v>14</v>
      </c>
      <c r="B3" s="11" t="s">
        <v>13</v>
      </c>
      <c r="C3" s="11" t="s">
        <v>52</v>
      </c>
      <c r="D3" s="11" t="s">
        <v>53</v>
      </c>
      <c r="E3" s="11" t="s">
        <v>44</v>
      </c>
      <c r="F3" s="11" t="s">
        <v>45</v>
      </c>
      <c r="G3" s="11" t="s">
        <v>19</v>
      </c>
    </row>
    <row r="4" spans="1:7" x14ac:dyDescent="0.25">
      <c r="A4" t="s">
        <v>21</v>
      </c>
      <c r="B4" t="s">
        <v>23</v>
      </c>
      <c r="C4" s="6">
        <f>'Cost of Service'!Z4</f>
        <v>46.178348999624141</v>
      </c>
      <c r="D4" s="6">
        <f>Restructured!R4</f>
        <v>47.991090723311039</v>
      </c>
      <c r="E4" s="6">
        <f>C4+D4</f>
        <v>94.169439722935181</v>
      </c>
      <c r="F4">
        <v>9842</v>
      </c>
      <c r="G4" s="16">
        <f>F4/SUM($F$4:$F$6)</f>
        <v>0.12405778102705019</v>
      </c>
    </row>
    <row r="5" spans="1:7" x14ac:dyDescent="0.25">
      <c r="A5" t="s">
        <v>22</v>
      </c>
      <c r="B5" t="s">
        <v>24</v>
      </c>
      <c r="C5" s="6">
        <f>'Cost of Service'!Z5</f>
        <v>89.966362299907942</v>
      </c>
      <c r="D5" s="6">
        <f>Restructured!R5</f>
        <v>0</v>
      </c>
      <c r="E5" s="6">
        <f t="shared" ref="E5:E6" si="0">C5+D5</f>
        <v>89.966362299907942</v>
      </c>
      <c r="F5">
        <v>64063</v>
      </c>
      <c r="G5" s="16">
        <f>F5/SUM($F$4:$F$6)</f>
        <v>0.80751002092419388</v>
      </c>
    </row>
    <row r="6" spans="1:7" x14ac:dyDescent="0.25">
      <c r="A6" t="s">
        <v>21</v>
      </c>
      <c r="B6" t="s">
        <v>25</v>
      </c>
      <c r="C6" s="6">
        <f>'Cost of Service'!Z6</f>
        <v>46.485354614579578</v>
      </c>
      <c r="D6" s="6">
        <f>Restructured!R6</f>
        <v>48.544556039653514</v>
      </c>
      <c r="E6" s="6">
        <f t="shared" si="0"/>
        <v>95.029910654233092</v>
      </c>
      <c r="F6">
        <v>5429</v>
      </c>
      <c r="G6" s="16">
        <f>F6/SUM($F$4:$F$6)</f>
        <v>6.8432198048755888E-2</v>
      </c>
    </row>
    <row r="8" spans="1:7" x14ac:dyDescent="0.25">
      <c r="A8" s="2" t="s">
        <v>57</v>
      </c>
    </row>
    <row r="9" spans="1:7" x14ac:dyDescent="0.25">
      <c r="A9" s="3" t="s">
        <v>48</v>
      </c>
      <c r="B9" s="25">
        <f>E4*G4+E5*G5+E6*G6</f>
        <v>90.834296502306231</v>
      </c>
    </row>
    <row r="12" spans="1:7" x14ac:dyDescent="0.25">
      <c r="B12" s="20"/>
    </row>
    <row r="13" spans="1:7" x14ac:dyDescent="0.25">
      <c r="B13" s="20"/>
    </row>
    <row r="14" spans="1:7" x14ac:dyDescent="0.25">
      <c r="B14" s="20"/>
    </row>
    <row r="16" spans="1:7" x14ac:dyDescent="0.25">
      <c r="A16" s="1"/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1" sqref="O1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Cost of Service</vt:lpstr>
      <vt:lpstr>Restructured</vt:lpstr>
      <vt:lpstr>State Estimate</vt:lpstr>
      <vt:lpstr>maps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RPM_state_template_June2019</dc:title>
  <dc:subject>RPM_state_template_June2019</dc:subject>
  <dc:creator>U.S. Environmental Protection Agency</dc:creator>
  <cp:lastModifiedBy>power3</cp:lastModifiedBy>
  <dcterms:created xsi:type="dcterms:W3CDTF">2019-06-18T20:38:13Z</dcterms:created>
  <dcterms:modified xsi:type="dcterms:W3CDTF">2019-07-03T18:55:51Z</dcterms:modified>
</cp:coreProperties>
</file>