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4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5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6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7280" windowHeight="8670" tabRatio="786" activeTab="6"/>
  </bookViews>
  <sheets>
    <sheet name="notes" sheetId="9" r:id="rId1"/>
    <sheet name="ACI" sheetId="7" r:id="rId2"/>
    <sheet name="DSI SO2" sheetId="5" r:id="rId3"/>
    <sheet name="SDA FGD" sheetId="4" r:id="rId4"/>
    <sheet name="Wet FGD" sheetId="3" r:id="rId5"/>
    <sheet name="SNCR" sheetId="2" r:id="rId6"/>
    <sheet name="SCR" sheetId="1" r:id="rId7"/>
  </sheets>
  <definedNames>
    <definedName name="auxpower">#REF!</definedName>
    <definedName name="Capcosts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3" i="7" l="1"/>
  <c r="J53" i="3"/>
  <c r="J55" i="2"/>
  <c r="J56" i="1"/>
  <c r="J51" i="4"/>
  <c r="F126" i="5" l="1"/>
  <c r="G103" i="7"/>
  <c r="G95" i="5" l="1"/>
  <c r="M12" i="5" s="1"/>
  <c r="I21" i="5" l="1"/>
  <c r="J57" i="7" l="1"/>
  <c r="I22" i="7"/>
  <c r="B134" i="7"/>
  <c r="H129" i="7"/>
  <c r="H128" i="7"/>
  <c r="D126" i="7"/>
  <c r="I21" i="7" s="1"/>
  <c r="J67" i="7" s="1"/>
  <c r="B121" i="7"/>
  <c r="B122" i="7" s="1"/>
  <c r="B124" i="7" s="1"/>
  <c r="I11" i="7" s="1"/>
  <c r="J70" i="7" s="1"/>
  <c r="D108" i="7"/>
  <c r="I16" i="7"/>
  <c r="G128" i="7" s="1"/>
  <c r="J68" i="7" s="1"/>
  <c r="E103" i="7"/>
  <c r="D103" i="7"/>
  <c r="C103" i="7"/>
  <c r="H81" i="7"/>
  <c r="H73" i="7"/>
  <c r="H74" i="7" s="1"/>
  <c r="H75" i="7" s="1"/>
  <c r="I15" i="7"/>
  <c r="I73" i="5"/>
  <c r="H69" i="5"/>
  <c r="J53" i="5"/>
  <c r="E126" i="5"/>
  <c r="D126" i="5"/>
  <c r="C126" i="5"/>
  <c r="E112" i="5"/>
  <c r="D112" i="5"/>
  <c r="C112" i="5"/>
  <c r="E111" i="5"/>
  <c r="D111" i="5"/>
  <c r="C111" i="5"/>
  <c r="E103" i="5"/>
  <c r="D103" i="5"/>
  <c r="C103" i="5"/>
  <c r="E102" i="5"/>
  <c r="D102" i="5"/>
  <c r="C102" i="5"/>
  <c r="I16" i="5" l="1"/>
  <c r="J34" i="7"/>
  <c r="J35" i="7"/>
  <c r="J36" i="7"/>
  <c r="J51" i="7"/>
  <c r="J11" i="7"/>
  <c r="J69" i="7"/>
  <c r="I17" i="7"/>
  <c r="J33" i="7" s="1"/>
  <c r="J37" i="7" s="1"/>
  <c r="J58" i="7" s="1"/>
  <c r="I14" i="5"/>
  <c r="E107" i="5" s="1"/>
  <c r="I18" i="5"/>
  <c r="G129" i="7"/>
  <c r="I10" i="7"/>
  <c r="J10" i="7" s="1"/>
  <c r="I19" i="7"/>
  <c r="H70" i="5"/>
  <c r="H71" i="5" s="1"/>
  <c r="H72" i="5" s="1"/>
  <c r="H73" i="5" s="1"/>
  <c r="I13" i="5"/>
  <c r="H77" i="5"/>
  <c r="J65" i="7" l="1"/>
  <c r="I18" i="7"/>
  <c r="I20" i="7" s="1"/>
  <c r="J66" i="7" s="1"/>
  <c r="J71" i="7" s="1"/>
  <c r="I84" i="7" s="1"/>
  <c r="I89" i="7" s="1"/>
  <c r="J43" i="7"/>
  <c r="J42" i="7"/>
  <c r="C107" i="5"/>
  <c r="I15" i="5" s="1"/>
  <c r="I19" i="5" s="1"/>
  <c r="J63" i="5" s="1"/>
  <c r="D107" i="5"/>
  <c r="H74" i="5"/>
  <c r="H75" i="5" s="1"/>
  <c r="I75" i="5" s="1"/>
  <c r="J55" i="4"/>
  <c r="J61" i="5" l="1"/>
  <c r="E116" i="5"/>
  <c r="C116" i="5"/>
  <c r="D120" i="5"/>
  <c r="E120" i="5" s="1"/>
  <c r="C120" i="5"/>
  <c r="D116" i="5"/>
  <c r="H76" i="5"/>
  <c r="I17" i="5"/>
  <c r="J62" i="5" s="1"/>
  <c r="J41" i="7"/>
  <c r="J38" i="7"/>
  <c r="J59" i="7"/>
  <c r="H79" i="4"/>
  <c r="I75" i="4"/>
  <c r="H71" i="4"/>
  <c r="H72" i="4" s="1"/>
  <c r="H73" i="4" s="1"/>
  <c r="H74" i="4" s="1"/>
  <c r="I12" i="4"/>
  <c r="I11" i="4"/>
  <c r="I16" i="4" s="1"/>
  <c r="J64" i="4" s="1"/>
  <c r="I10" i="4"/>
  <c r="J69" i="3"/>
  <c r="J57" i="3"/>
  <c r="J34" i="3"/>
  <c r="H73" i="3"/>
  <c r="H81" i="3"/>
  <c r="I77" i="3"/>
  <c r="H74" i="3"/>
  <c r="H75" i="3" s="1"/>
  <c r="H76" i="3" s="1"/>
  <c r="I12" i="3"/>
  <c r="I11" i="3"/>
  <c r="J32" i="3" s="1"/>
  <c r="I10" i="3"/>
  <c r="J69" i="2"/>
  <c r="J59" i="2"/>
  <c r="J33" i="3" l="1"/>
  <c r="J30" i="4"/>
  <c r="J62" i="7"/>
  <c r="I83" i="7" s="1"/>
  <c r="I88" i="7" s="1"/>
  <c r="J31" i="5"/>
  <c r="J54" i="5" s="1"/>
  <c r="J55" i="5" s="1"/>
  <c r="J58" i="5" s="1"/>
  <c r="I79" i="5" s="1"/>
  <c r="J45" i="7"/>
  <c r="J67" i="5"/>
  <c r="I80" i="5" s="1"/>
  <c r="I85" i="5" s="1"/>
  <c r="J31" i="4"/>
  <c r="J32" i="4"/>
  <c r="I15" i="4"/>
  <c r="J63" i="4" s="1"/>
  <c r="I18" i="4"/>
  <c r="J66" i="4" s="1"/>
  <c r="I17" i="4"/>
  <c r="J65" i="4" s="1"/>
  <c r="H75" i="4"/>
  <c r="H76" i="4" s="1"/>
  <c r="H77" i="4" s="1"/>
  <c r="I77" i="4" s="1"/>
  <c r="I17" i="3"/>
  <c r="J67" i="3" s="1"/>
  <c r="J30" i="3"/>
  <c r="J31" i="3"/>
  <c r="I15" i="3"/>
  <c r="I18" i="3"/>
  <c r="J68" i="3" s="1"/>
  <c r="H77" i="3"/>
  <c r="H78" i="3" s="1"/>
  <c r="H79" i="3" s="1"/>
  <c r="I79" i="3" s="1"/>
  <c r="I13" i="2"/>
  <c r="J35" i="3" l="1"/>
  <c r="J58" i="3" s="1"/>
  <c r="I16" i="3"/>
  <c r="J66" i="3" s="1"/>
  <c r="J65" i="3"/>
  <c r="J71" i="3" s="1"/>
  <c r="J37" i="5"/>
  <c r="J48" i="7"/>
  <c r="J50" i="7" s="1"/>
  <c r="J36" i="5"/>
  <c r="J35" i="5"/>
  <c r="J32" i="5"/>
  <c r="J69" i="4"/>
  <c r="J46" i="7"/>
  <c r="I90" i="5"/>
  <c r="I89" i="5"/>
  <c r="I84" i="5"/>
  <c r="J33" i="4"/>
  <c r="J39" i="4" s="1"/>
  <c r="I82" i="4"/>
  <c r="J41" i="3"/>
  <c r="J40" i="3"/>
  <c r="J36" i="3"/>
  <c r="I84" i="3"/>
  <c r="H83" i="2"/>
  <c r="I79" i="2"/>
  <c r="H75" i="2"/>
  <c r="H76" i="2" s="1"/>
  <c r="H77" i="2" s="1"/>
  <c r="H78" i="2" s="1"/>
  <c r="I16" i="2"/>
  <c r="I12" i="2"/>
  <c r="I11" i="2"/>
  <c r="D101" i="1"/>
  <c r="I11" i="1"/>
  <c r="J33" i="2" l="1"/>
  <c r="J39" i="5"/>
  <c r="J49" i="7"/>
  <c r="J54" i="7"/>
  <c r="J56" i="4"/>
  <c r="J37" i="4"/>
  <c r="J41" i="4" s="1"/>
  <c r="J42" i="4" s="1"/>
  <c r="J38" i="4"/>
  <c r="J34" i="4"/>
  <c r="I17" i="2"/>
  <c r="I18" i="2" s="1"/>
  <c r="J35" i="2"/>
  <c r="I82" i="7"/>
  <c r="I92" i="4"/>
  <c r="I87" i="4"/>
  <c r="J57" i="4"/>
  <c r="J60" i="4" s="1"/>
  <c r="J39" i="3"/>
  <c r="J43" i="3" s="1"/>
  <c r="J59" i="3"/>
  <c r="I94" i="3"/>
  <c r="I89" i="3"/>
  <c r="J34" i="2"/>
  <c r="J36" i="2" s="1"/>
  <c r="J60" i="2" s="1"/>
  <c r="H79" i="2"/>
  <c r="H80" i="2" s="1"/>
  <c r="H81" i="2" s="1"/>
  <c r="J42" i="5" l="1"/>
  <c r="J43" i="5" s="1"/>
  <c r="J46" i="5" s="1"/>
  <c r="J40" i="5"/>
  <c r="J67" i="2"/>
  <c r="J70" i="2"/>
  <c r="I19" i="2"/>
  <c r="I21" i="2"/>
  <c r="J68" i="2" s="1"/>
  <c r="J73" i="2" s="1"/>
  <c r="I87" i="7"/>
  <c r="I90" i="7" s="1"/>
  <c r="I85" i="7"/>
  <c r="I81" i="4"/>
  <c r="J44" i="4"/>
  <c r="J45" i="4" s="1"/>
  <c r="J62" i="3"/>
  <c r="I83" i="3" s="1"/>
  <c r="J44" i="3"/>
  <c r="J46" i="3"/>
  <c r="J47" i="3" s="1"/>
  <c r="J50" i="3" s="1"/>
  <c r="J51" i="3" s="1"/>
  <c r="J42" i="2"/>
  <c r="J41" i="2"/>
  <c r="J40" i="2"/>
  <c r="J37" i="2"/>
  <c r="J47" i="5" l="1"/>
  <c r="J49" i="5" s="1"/>
  <c r="I78" i="5" s="1"/>
  <c r="I81" i="5" s="1"/>
  <c r="J44" i="5"/>
  <c r="I91" i="4"/>
  <c r="I86" i="4"/>
  <c r="J46" i="4"/>
  <c r="J48" i="4"/>
  <c r="J49" i="4"/>
  <c r="I88" i="3"/>
  <c r="I93" i="3"/>
  <c r="I82" i="3"/>
  <c r="J48" i="3"/>
  <c r="J54" i="3"/>
  <c r="J44" i="2"/>
  <c r="J47" i="2" s="1"/>
  <c r="J48" i="2" s="1"/>
  <c r="I86" i="2"/>
  <c r="J61" i="2"/>
  <c r="J64" i="2" s="1"/>
  <c r="I85" i="2" s="1"/>
  <c r="I83" i="5" l="1"/>
  <c r="I86" i="5" s="1"/>
  <c r="J50" i="5"/>
  <c r="I88" i="5"/>
  <c r="I91" i="5" s="1"/>
  <c r="J52" i="4"/>
  <c r="I80" i="4"/>
  <c r="I90" i="4" s="1"/>
  <c r="I93" i="4" s="1"/>
  <c r="I83" i="4"/>
  <c r="I85" i="3"/>
  <c r="I92" i="3"/>
  <c r="I95" i="3" s="1"/>
  <c r="I87" i="3"/>
  <c r="I90" i="3" s="1"/>
  <c r="J45" i="2"/>
  <c r="J53" i="2" s="1"/>
  <c r="I95" i="2"/>
  <c r="I90" i="2"/>
  <c r="I96" i="2"/>
  <c r="I91" i="2"/>
  <c r="J49" i="2"/>
  <c r="I85" i="4" l="1"/>
  <c r="I88" i="4" s="1"/>
  <c r="J56" i="2"/>
  <c r="I84" i="2"/>
  <c r="I94" i="2" l="1"/>
  <c r="I97" i="2" s="1"/>
  <c r="I87" i="2"/>
  <c r="I89" i="2"/>
  <c r="I92" i="2" s="1"/>
  <c r="H84" i="1" l="1"/>
  <c r="I80" i="1"/>
  <c r="H76" i="1"/>
  <c r="H77" i="1" s="1"/>
  <c r="J71" i="1"/>
  <c r="J60" i="1"/>
  <c r="I16" i="1"/>
  <c r="J33" i="1" s="1"/>
  <c r="I13" i="1"/>
  <c r="I17" i="1" s="1"/>
  <c r="I18" i="1" s="1"/>
  <c r="I19" i="1" s="1"/>
  <c r="I12" i="1"/>
  <c r="I20" i="1" s="1"/>
  <c r="J70" i="1" s="1"/>
  <c r="J69" i="1" l="1"/>
  <c r="J68" i="1"/>
  <c r="J74" i="1" s="1"/>
  <c r="I87" i="1" s="1"/>
  <c r="H78" i="1"/>
  <c r="H79" i="1" s="1"/>
  <c r="J34" i="1"/>
  <c r="J35" i="1"/>
  <c r="J36" i="1"/>
  <c r="I92" i="1" l="1"/>
  <c r="J37" i="1"/>
  <c r="J61" i="1" s="1"/>
  <c r="J62" i="1" s="1"/>
  <c r="J65" i="1" s="1"/>
  <c r="I86" i="1" s="1"/>
  <c r="H80" i="1"/>
  <c r="H81" i="1" s="1"/>
  <c r="H82" i="1" s="1"/>
  <c r="I82" i="1" s="1"/>
  <c r="J41" i="1"/>
  <c r="I96" i="1" l="1"/>
  <c r="I91" i="1"/>
  <c r="J42" i="1"/>
  <c r="J45" i="1" s="1"/>
  <c r="J38" i="1"/>
  <c r="I97" i="1"/>
  <c r="J43" i="1"/>
  <c r="J46" i="1" l="1"/>
  <c r="J48" i="1"/>
  <c r="J49" i="1" s="1"/>
  <c r="J53" i="1" l="1"/>
  <c r="J50" i="1"/>
  <c r="J52" i="1"/>
  <c r="J57" i="1" l="1"/>
  <c r="I85" i="1"/>
  <c r="I95" i="1" l="1"/>
  <c r="I98" i="1" s="1"/>
  <c r="I90" i="1"/>
  <c r="I93" i="1" s="1"/>
  <c r="I88" i="1"/>
</calcChain>
</file>

<file path=xl/sharedStrings.xml><?xml version="1.0" encoding="utf-8"?>
<sst xmlns="http://schemas.openxmlformats.org/spreadsheetml/2006/main" count="1171" uniqueCount="420">
  <si>
    <t>Variable</t>
  </si>
  <si>
    <t>Designation</t>
  </si>
  <si>
    <t>Units</t>
  </si>
  <si>
    <t>Value</t>
  </si>
  <si>
    <t>Calculation</t>
  </si>
  <si>
    <t>EPC Project?</t>
  </si>
  <si>
    <t>Unit Size</t>
  </si>
  <si>
    <t>A</t>
  </si>
  <si>
    <t>(MW)</t>
  </si>
  <si>
    <t>&lt;--- User Input</t>
  </si>
  <si>
    <t>Retrofit Factor</t>
  </si>
  <si>
    <t>Heat Rate</t>
  </si>
  <si>
    <t>NOx Rate</t>
  </si>
  <si>
    <t>SO2 Rate</t>
  </si>
  <si>
    <t>Type of Coal</t>
  </si>
  <si>
    <t>Coal Factor</t>
  </si>
  <si>
    <t>Heat Rate Factor</t>
  </si>
  <si>
    <t>Heat Input</t>
  </si>
  <si>
    <t>Capacity Factor</t>
  </si>
  <si>
    <t>NOx Removal Efficiency</t>
  </si>
  <si>
    <t>NOx Removal Factor</t>
  </si>
  <si>
    <t>NOx Removed</t>
  </si>
  <si>
    <t>Urea Rate (100%)</t>
  </si>
  <si>
    <t>Steam Required</t>
  </si>
  <si>
    <t>Urea Cost (50% wt solution)</t>
  </si>
  <si>
    <t>Catalyst Cost</t>
  </si>
  <si>
    <t>Aux Power Cost</t>
  </si>
  <si>
    <t>Steam Cost</t>
  </si>
  <si>
    <t>Operating Labor Rate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</si>
  <si>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</si>
  <si>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</si>
  <si>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</si>
  <si>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</si>
  <si>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</si>
  <si>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</si>
  <si>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</si>
  <si>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</si>
  <si>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</si>
  <si>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</si>
  <si>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</si>
  <si>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</si>
  <si>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</si>
  <si>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</si>
  <si>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</si>
  <si>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</si>
  <si>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</si>
  <si>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</si>
  <si>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</si>
  <si>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</si>
  <si>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(Btu/kWh)</t>
  </si>
  <si>
    <t>(lb/MMBtu)</t>
  </si>
  <si>
    <t>(Btu/hr)</t>
  </si>
  <si>
    <t>(%)</t>
  </si>
  <si>
    <t>(lb/hr)</t>
  </si>
  <si>
    <t>($/ton)</t>
  </si>
  <si>
    <t>($/m3)</t>
  </si>
  <si>
    <t>($/kWh)</t>
  </si>
  <si>
    <t>($/klb)</t>
  </si>
  <si>
    <t>($/hr)</t>
  </si>
  <si>
    <t>&lt;--- User Input (An "average" retrofit has a factor = 1.0)</t>
  </si>
  <si>
    <t>Bit = 1.0, PRB = 1.05, Lig = 1.07</t>
  </si>
  <si>
    <t>C/10000</t>
  </si>
  <si>
    <t>A*C*1000</t>
  </si>
  <si>
    <t>K/80</t>
  </si>
  <si>
    <t>D*I/10^6*K/100</t>
  </si>
  <si>
    <t>M*0.525*60/46*1.01/0.99</t>
  </si>
  <si>
    <t>N*1.1315</t>
  </si>
  <si>
    <t>0.56*(G*H)^0.43</t>
  </si>
  <si>
    <t>Capital Cost Calcuation</t>
  </si>
  <si>
    <t>Includes - Equipment, intallation, buildings, foundations, electrical, and retrofit difficulty.</t>
  </si>
  <si>
    <t>Example</t>
  </si>
  <si>
    <t>Comments</t>
  </si>
  <si>
    <t>&lt;--- User Input (includes removal and disposal of existing catalyst and installation of new catalyst)</t>
  </si>
  <si>
    <t>&lt;--- User Input (Labor cost including all benefits)</t>
  </si>
  <si>
    <t>BM ($/kW) =</t>
  </si>
  <si>
    <t>BMR ($) =</t>
  </si>
  <si>
    <t>BMF ($) =</t>
  </si>
  <si>
    <t>BMA ($) =</t>
  </si>
  <si>
    <t>BMB ($) =</t>
  </si>
  <si>
    <t>BM ($) =</t>
  </si>
  <si>
    <t>BMR + BMF + BMA + BMB</t>
  </si>
  <si>
    <t>310000*(B)*(L)^0.2*(A*G*H)^0.92</t>
  </si>
  <si>
    <t>IF E&gt;= 3 and F = Bituminous, THEN 69000*(B)*(A*G*H)^0.78, ELSE 0</t>
  </si>
  <si>
    <t>529000*(B)*(A*G*H)^0.42</t>
  </si>
  <si>
    <t>Total Project Cost</t>
  </si>
  <si>
    <t>A1 = 10% of BM</t>
  </si>
  <si>
    <t>A2= 10% of BM</t>
  </si>
  <si>
    <t>A3 = 10% of BM</t>
  </si>
  <si>
    <t>CECC ($) = BM + A1 + A2 + A3</t>
  </si>
  <si>
    <t xml:space="preserve">CECC ($/kW) = </t>
  </si>
  <si>
    <t>B1 = 5% of CECC</t>
  </si>
  <si>
    <t>TPC' ($) - Includes Owner's Costs = CECC + B1</t>
  </si>
  <si>
    <t>TPC' ($/kW) - Includes Owner's Costs</t>
  </si>
  <si>
    <t>Fixed O&amp;M Cost</t>
  </si>
  <si>
    <t>B2 = 6% of (CECC + B1)</t>
  </si>
  <si>
    <t xml:space="preserve">TPC ($/kW) = </t>
  </si>
  <si>
    <t>FOMO ($/kW yr) = 1/2 operator time assumed)*2080*V/(A*1000)</t>
  </si>
  <si>
    <t>FOMM ($/kW yr) =(IF A &lt; 300 then 0.005*BM ELSE 0.003*BM)/(B*A*1000)</t>
  </si>
  <si>
    <t>FOMA ($/kW yr) = 0.03*(FOMO + 0.4*FOMM)</t>
  </si>
  <si>
    <t>FOM ($/kW yr) = FOMO +FOMM+FOMA</t>
  </si>
  <si>
    <t>Variable O&amp;M Cost</t>
  </si>
  <si>
    <t>VOMR ($/MWh) = N*R/(A*1000)</t>
  </si>
  <si>
    <t>VOMP ($/MWh) = P*T*10</t>
  </si>
  <si>
    <t>VOMM ($/MWh) = O*U/A/1000</t>
  </si>
  <si>
    <t>VOM ($/MWh) = VOMR + VOMW + VOMP + VOMM</t>
  </si>
  <si>
    <t>564000*(M)^0.25</t>
  </si>
  <si>
    <t>Q</t>
  </si>
  <si>
    <t>Makeup Water Rate</t>
  </si>
  <si>
    <t>(1000 gph)</t>
  </si>
  <si>
    <t>VOMW ($/MWh) = (0.4*(G^2.9)*(L^0.71)*S)/(8760)</t>
  </si>
  <si>
    <t xml:space="preserve">Annual Capacity Factor = </t>
  </si>
  <si>
    <t xml:space="preserve">Annual MWhs = </t>
  </si>
  <si>
    <t xml:space="preserve">Annual Heat Input MMBtu = </t>
  </si>
  <si>
    <t xml:space="preserve">Annual Tons NOx Created = </t>
  </si>
  <si>
    <t xml:space="preserve">Annual Tons NOx Removed = </t>
  </si>
  <si>
    <t xml:space="preserve">Annual Tons NOx Emission = </t>
  </si>
  <si>
    <t xml:space="preserve">Annual Avg NOx Emission Rate, lb/MMBtu = </t>
  </si>
  <si>
    <t xml:space="preserve">Annual Capital Recovery Factor = </t>
  </si>
  <si>
    <t xml:space="preserve">Annual Capital Cost (Including AFUDC), $ = </t>
  </si>
  <si>
    <t xml:space="preserve">Annual FOM Cost, $ = </t>
  </si>
  <si>
    <t xml:space="preserve">Annual VOM Cost, $ = </t>
  </si>
  <si>
    <t xml:space="preserve">Total Annual SCR Cost, $ = </t>
  </si>
  <si>
    <t>Capital Cost, $/MWh =</t>
  </si>
  <si>
    <t>FOM Cost, $/MWh =</t>
  </si>
  <si>
    <t>VOM Cost, $/MWh =</t>
  </si>
  <si>
    <t>Total SCR Cost, $/MWh =</t>
  </si>
  <si>
    <t>Capital Cost, $/ton =</t>
  </si>
  <si>
    <t>FOM Cost, $/ton =</t>
  </si>
  <si>
    <t>VOM Cost, $/ton =</t>
  </si>
  <si>
    <t>Total SCR Cost, $/ton =</t>
  </si>
  <si>
    <t>current NOx Emission</t>
  </si>
  <si>
    <t>Lookup Table</t>
  </si>
  <si>
    <t>SCR</t>
  </si>
  <si>
    <t>SCR (ductwork modifications and strengthening, reactor, bypass) island cost</t>
  </si>
  <si>
    <t>Base reagent preparation cost</t>
  </si>
  <si>
    <t>Air heater modifications /SO3 control (Bituminous only and &gt;= 3 lb/MMBtu)</t>
  </si>
  <si>
    <t>ID or booster fans and auxiliary power modification costs</t>
  </si>
  <si>
    <t>Base cost per kW</t>
  </si>
  <si>
    <t>Engineering and Construction Management costs</t>
  </si>
  <si>
    <t>Labor adjustment for 6 x 10 hour shift premium, per diem, etc…</t>
  </si>
  <si>
    <t>Contractor profit and fees</t>
  </si>
  <si>
    <t>Capital, engineering and construction cost subtotal</t>
  </si>
  <si>
    <t>Capital, engineering and construction cost subtotal per kW</t>
  </si>
  <si>
    <t>Owners costs including all "home office" costs (owners engineering, management, and procuement activities)</t>
  </si>
  <si>
    <t>Total project cost without AFUDC</t>
  </si>
  <si>
    <t>Total project cost per kW without AFUDC</t>
  </si>
  <si>
    <t>AFUDC (Based on a 2 year engineering and construction cycle)</t>
  </si>
  <si>
    <t>Total project cost</t>
  </si>
  <si>
    <t>Total project cost per kW</t>
  </si>
  <si>
    <t>Fixed O&amp;M additional operating labor costs</t>
  </si>
  <si>
    <t>Fixed O&amp;M additional maintenance material and labor costs</t>
  </si>
  <si>
    <t>Fixed O&amp;M additional administrative labor costs</t>
  </si>
  <si>
    <t>Total Fixed O&amp;M costs</t>
  </si>
  <si>
    <t>Variable O&amp;M costs for Urea</t>
  </si>
  <si>
    <t>Variable O&amp;M costs for catalyst: replacement &amp; disposal</t>
  </si>
  <si>
    <t>Variable O&amp;M costs for additional auxiliary power required including additional fan power</t>
  </si>
  <si>
    <t>Variable O&amp;M costs for steam</t>
  </si>
  <si>
    <t>Total Variable O&amp;M costs</t>
  </si>
  <si>
    <t>Coal</t>
  </si>
  <si>
    <t>NOx Floor Limit</t>
  </si>
  <si>
    <t>PRB</t>
  </si>
  <si>
    <t>Lignite</t>
  </si>
  <si>
    <t>Bituminous</t>
  </si>
  <si>
    <t>Aux Power</t>
  </si>
  <si>
    <t>Aux Power
Include in VOM?</t>
  </si>
  <si>
    <t>Fill in the yellow cells with the known data inputs.  The resulting costs are tabulated below.  Variable names are defined as outlined in the table.</t>
  </si>
  <si>
    <t>Boiler Type</t>
  </si>
  <si>
    <t>BT</t>
  </si>
  <si>
    <t>Wastewater Treatment</t>
  </si>
  <si>
    <t>L/UF/46*30; If Boiler Type = CFB or D&gt;0.3 THEN UF = 0.25 ELSE UF = 0.15</t>
  </si>
  <si>
    <t>CFB</t>
  </si>
  <si>
    <t>Tangential</t>
  </si>
  <si>
    <t>Wall</t>
  </si>
  <si>
    <t>Cyclone</t>
  </si>
  <si>
    <t>Heat Rate Penalty</t>
  </si>
  <si>
    <t>M*19</t>
  </si>
  <si>
    <t>1175*N/I*100</t>
  </si>
  <si>
    <t>Dilution Water Rate</t>
  </si>
  <si>
    <t>0.05 default value</t>
  </si>
  <si>
    <t>N*0.1199/1000</t>
  </si>
  <si>
    <t>BMS ($) =</t>
  </si>
  <si>
    <t>SNCR (injectors, blowers, DCS, reagent system) cost</t>
  </si>
  <si>
    <t>BT*B*G*220000*(A*H)^0.42; IF CFB then BT = 0.75, ELSE BT = 1)</t>
  </si>
  <si>
    <t>BT*(L^0.12)*320000*(A)^0.33; (IF CFB then BT = 0.75, ELSE BT = 1)</t>
  </si>
  <si>
    <t>B2 = 0% of (CECC + B1)</t>
  </si>
  <si>
    <t>AFUDC (Zero for less than 1 year engineering and construction cycle)</t>
  </si>
  <si>
    <t>Balance of plant costs (piping, site upgrades, water treatment for the dilution water, etc…)</t>
  </si>
  <si>
    <t>Total base module cost including retrofit factor</t>
  </si>
  <si>
    <t>FOMO ($/kW yr) = (No operator time assumed)*2080*T/(A*1000)</t>
  </si>
  <si>
    <t>Replacement Coal Cost</t>
  </si>
  <si>
    <t>FOMM ($/kW yr) =(0.012*BM)/(B*A*1000)</t>
  </si>
  <si>
    <t>VOMR ($/MWh) = M*Q/(A*1000)</t>
  </si>
  <si>
    <t>Variable O&amp;M costs for dilution water</t>
  </si>
  <si>
    <t>VOMM ($/MWh) = P*S/A</t>
  </si>
  <si>
    <t>Dilution Water Cost</t>
  </si>
  <si>
    <t>VOMP ($/MWh) = O*R*10</t>
  </si>
  <si>
    <t>Variable O&amp;M costs for additional auxiliary power required.</t>
  </si>
  <si>
    <t>Variable O&amp;M costs for heat rate increase due to water injected into the boiler</t>
  </si>
  <si>
    <t>VOMB ($/MWh) = 0.001175*N*U/A</t>
  </si>
  <si>
    <t>SNCR</t>
  </si>
  <si>
    <t>Wastewater</t>
  </si>
  <si>
    <t>Minor physical/chemical</t>
  </si>
  <si>
    <t>Phys Chem-Biological</t>
  </si>
  <si>
    <t>TBD</t>
  </si>
  <si>
    <t>Operating SO2 Removal</t>
  </si>
  <si>
    <t>&lt;--- User Input (Greater than 100 MW)</t>
  </si>
  <si>
    <t>&lt;--- User Input (Used to adjust actual operating costs)</t>
  </si>
  <si>
    <t>Limestone Cost</t>
  </si>
  <si>
    <t>Waste Disposal Cost</t>
  </si>
  <si>
    <t>Makeup Water Cost</t>
  </si>
  <si>
    <t>($/kgal)</t>
  </si>
  <si>
    <t>Design Limestone Rate</t>
  </si>
  <si>
    <t>Design Waste Rate</t>
  </si>
  <si>
    <t>(ton/hr)</t>
  </si>
  <si>
    <t>17.52*A*D*G/2000 (Based on 98% removal)</t>
  </si>
  <si>
    <t>1.811*K (Based on 98% removal)</t>
  </si>
  <si>
    <t>(1.674*D+74.68)*A*F*G/1000</t>
  </si>
  <si>
    <t>(1.12e^(0.155*D))*F*G</t>
  </si>
  <si>
    <t>Base absorber island cost</t>
  </si>
  <si>
    <t>Base waste handling cost</t>
  </si>
  <si>
    <t>584000*(B)*((F*G)^0.6)*((D/2)^0.02)*(A^0.716)</t>
  </si>
  <si>
    <t>202000*(B)*((D*G)^0.3)*(A^0.716)</t>
  </si>
  <si>
    <t>BMW ($) =</t>
  </si>
  <si>
    <t>106000*(B)*((D*G)^0.45)*(A^0.716)</t>
  </si>
  <si>
    <t>1070000*(B)*((F*G)^0.4)*(A^0.716)</t>
  </si>
  <si>
    <t>BMWW ($) =</t>
  </si>
  <si>
    <t>If type is Bio-Chem, then 10600000*(B)*A/500^0.6), else 0</t>
  </si>
  <si>
    <t>Base balance of plant costs including: ID or booster fans, new wet chimney, piping, ductwork modifications and strengthening, minor WWT, etc...</t>
  </si>
  <si>
    <t>Base wastewater treatment facility, beyond minor physical/chemical treatment</t>
  </si>
  <si>
    <t>B2 = 10% of (CECC + B1)</t>
  </si>
  <si>
    <t>AFUDC (Based on a 3 year engineering and construction cycle)</t>
  </si>
  <si>
    <t>EPC fees of 15%</t>
  </si>
  <si>
    <t>C1 = 15% of CECC+B1</t>
  </si>
  <si>
    <t>TPC ($/kW) =  Includes Owner's Costs and AFUDC</t>
  </si>
  <si>
    <t>Fixed O&amp;M costs for wastewater treatment facility</t>
  </si>
  <si>
    <t xml:space="preserve">FOMWW ($/kW yr) = </t>
  </si>
  <si>
    <t>FOMO ($/kW yr) = (if MW&gt;500 then 16 additional operators, else 12 operators)*2080*T/(A*1000)</t>
  </si>
  <si>
    <t>FOMM ($/kW yr) =(BM*0.015)/(B*A*1000)</t>
  </si>
  <si>
    <t>FOM ($/kW yr) = FOMO +FOMM+FOMA+ FOMWW</t>
  </si>
  <si>
    <t>VOMR ($/MWh) = K*P/(A*J)/98</t>
  </si>
  <si>
    <t xml:space="preserve">VOMWW ($/MWh) = </t>
  </si>
  <si>
    <t>VOMW ($/MWh) = L*Q/(A*J)/98</t>
  </si>
  <si>
    <t>VOMP ($/MWh) = M*R*10</t>
  </si>
  <si>
    <t>Variable O&amp;M costs for limestone reagent</t>
  </si>
  <si>
    <t>Variable O&amp;M costs for waste disposal</t>
  </si>
  <si>
    <t>Variable O&amp;M costs for additional auxiliary power required including additional fan power (Refer to Aux Power % above)</t>
  </si>
  <si>
    <t>VOMM ($/MWh) = N*S/A</t>
  </si>
  <si>
    <t>Variable O&amp;M costs for makeup water</t>
  </si>
  <si>
    <t>Variable O&amp;M costs for wastewater treatment facility</t>
  </si>
  <si>
    <t>VOM ($/MWh) = VOMR + VOMW + VOMP + VOMM + VOMWW</t>
  </si>
  <si>
    <t xml:space="preserve">Annual Tons SO2 Created = </t>
  </si>
  <si>
    <t xml:space="preserve">Annual Tons SO2 Removed = </t>
  </si>
  <si>
    <t xml:space="preserve">Annual Tons SO2 Emission = </t>
  </si>
  <si>
    <t>at 100% S conversion</t>
  </si>
  <si>
    <t>Wet FGD</t>
  </si>
  <si>
    <t>Design Lime Rate</t>
  </si>
  <si>
    <t>Lime Cost</t>
  </si>
  <si>
    <t>(0.6702*(D^2)+13.42*D)*A*G/2000 (Based on 95% SO2 removal)</t>
  </si>
  <si>
    <t>(0.8016*(D^2)+31.1917*D)*A*G/2000 (Based on 95% SO2 removal)</t>
  </si>
  <si>
    <t>(0.000547*D^2+0.00649*D+1.3)*F*G</t>
  </si>
  <si>
    <t>(0.04898*D^2+0.5925*D+55.11)*A*F*G/1000</t>
  </si>
  <si>
    <t>Base module absorber island cost</t>
  </si>
  <si>
    <t>Base module reagent preparation and waste recycle/handling cost</t>
  </si>
  <si>
    <t>Base balance of plant costs including: ID or booster fans, piping, ductwork modifications and strengthening, electrical, etc...</t>
  </si>
  <si>
    <t>if (A&gt;600 then (A*52000) else 338000*(A^0.716))*B*(G*D)^0.2</t>
  </si>
  <si>
    <t>if (A&gt;600 then (A*138000) else 899000*(A^0.716))*B*(G*F)^0.4</t>
  </si>
  <si>
    <t>BMR + BMF +  BMB</t>
  </si>
  <si>
    <t>C1 = if EPC = TRUE, 15% of (CECC+B1), else 0</t>
  </si>
  <si>
    <t>B1 = 2% of CECC if EPC TRUE, else 5% of CECC</t>
  </si>
  <si>
    <t>FOMO ($/kW yr) = (8 operators)*2080*T/(A*1000)</t>
  </si>
  <si>
    <t>Removal target</t>
  </si>
  <si>
    <t>Max Removal</t>
  </si>
  <si>
    <t>Particulate</t>
  </si>
  <si>
    <t>Milled Trona</t>
  </si>
  <si>
    <t>Unmilled Trona</t>
  </si>
  <si>
    <t>Hydrated Lime</t>
  </si>
  <si>
    <t>ESP</t>
  </si>
  <si>
    <t>Baghouse</t>
  </si>
  <si>
    <t>NSR</t>
  </si>
  <si>
    <t>Sorbent Feed Rate</t>
  </si>
  <si>
    <t>Estimated HCL Removal</t>
  </si>
  <si>
    <t>Sorbent Waste Rate</t>
  </si>
  <si>
    <t>BM</t>
  </si>
  <si>
    <t>% of Ash</t>
  </si>
  <si>
    <t>Boiler Removal %</t>
  </si>
  <si>
    <t>HHV</t>
  </si>
  <si>
    <t>Fly Ash Waste</t>
  </si>
  <si>
    <t>A2= 5% of BM</t>
  </si>
  <si>
    <t>A3 = 5% of BM</t>
  </si>
  <si>
    <t>Particulate Capture</t>
  </si>
  <si>
    <t>Sorbent Cost</t>
  </si>
  <si>
    <t>Removal Target</t>
  </si>
  <si>
    <t>Sorbent</t>
  </si>
  <si>
    <t xml:space="preserve">Sorbent Waste Rate </t>
  </si>
  <si>
    <t>Fly Ash Waste Rate
Include in VOM?</t>
  </si>
  <si>
    <t>Maximum Removal Targets:
Unmilled Trona with an ESP = 65%
Milled Trona with an ESP = 80%
Unmilled Trona with a BGH = 80%
Milled Trona with a BGH = 90%
Hydrated Lime with an ESP = 30%
Hydrated Lime with a BGH = 50%</t>
  </si>
  <si>
    <t>Unmilled Trona with an ESP = if (H&lt;40,0.0350*H,0.352e^(0.0345*H))
Milled Trona with an ESP = if (H&lt;40,0.0270*H,0.353e^(0.0280*H))
Unmilled Trona with an BGH = if (H&lt;40,0.0215*H,0.295e^(0.0267*H))
Milled Trona with an BGH = if (H&lt;40,0.0160*H,0.208e^(0.0281*H))
Hydrated Lime with an ESP = 0.504*H^0.3905
Hydrated Lime with a BGH =  0.0087*H+0.6505</t>
  </si>
  <si>
    <t>&lt;--- User Input (Trona = $170, Hydrated Lime = $150).  In example, unmilled trona = $225</t>
  </si>
  <si>
    <t>&lt;--- User Input (Disposal cost with fly ash = $50.  Without fly ash, the sorbent waste alone
                                                                           will be more dificult to dispose = $100)</t>
  </si>
  <si>
    <t>For Trona (0.7387+0.00185*H/K)*M, Lime = (1.00 + 0.00777*H/K)*M.   Waste product adjusted for a maximum of 5% inert in the Trona sorbent and 2% for Hydrated Lime.</t>
  </si>
  <si>
    <t>(A*C)*Ash in Coal*(1-Boiler Ash Removal)/(2*HHV)
For Bituminous Coal: Ash in Coal = 0.12; Boiler Ash Removal = 0.2; HHV = 11000
For PRB Coal: Ash in Coal = 0.06; Boiler Ash Removal = 0.2; HHV = 8400
For Lignite Coal: Ash in Coal = 0.08; Boiler Ash Removal = 0.2; HHV = 7200</t>
  </si>
  <si>
    <t>=if Milled Trona M*20/A else M*18/A</t>
  </si>
  <si>
    <t>Unmilled Trona or hydrated lime if (M&gt;25 then (745,000*B*M) else 7,500,000*B*(M^0.284) Milled Trona if (M&gt;25 then (820,000*B*M) else 8,300,000*B*(M^0.284)</t>
  </si>
  <si>
    <t>Base module for unmilled sorbent includes all equipment from unloading to injection, including dehumidification system</t>
  </si>
  <si>
    <t>CECC ($/kW) =  Excludes Owner's Costs =</t>
  </si>
  <si>
    <t>AFUDC (Zero for less than 1  year engineering and construction cycle)</t>
  </si>
  <si>
    <t>FOMO ($/kW yr) = (2 additional operators)*2080*U/(A*1000)</t>
  </si>
  <si>
    <t>FOMM ($/kW yr) =(BM*0.01)/(B*A*1000)</t>
  </si>
  <si>
    <t>VOMR ($/MWh) = M*R/A</t>
  </si>
  <si>
    <t>Variable O&amp;M costs for Trona reagent</t>
  </si>
  <si>
    <t>VOMW ($/MWh) = (N+P)*S/A</t>
  </si>
  <si>
    <t>VOMP ($/MWh) = Q*T*10</t>
  </si>
  <si>
    <t>Variable O&amp;M costs for waste disposal that includes both the sorbent and the fly ash waste not removed prior to the sorbent injection</t>
  </si>
  <si>
    <t xml:space="preserve">Annual Avg SO2 Emission Rate, lb/MMBtu = </t>
  </si>
  <si>
    <t>Trona MMtpy per 1.0 MMtpy SO2 Reduction =</t>
  </si>
  <si>
    <t>DSI</t>
  </si>
  <si>
    <t>Existing FGD System</t>
  </si>
  <si>
    <t>Existing SCR</t>
  </si>
  <si>
    <t>Existing PM Control</t>
  </si>
  <si>
    <t>Flue Gas Rate</t>
  </si>
  <si>
    <t>Fly Ash Waste Rate</t>
  </si>
  <si>
    <t>Total Waste Rate</t>
  </si>
  <si>
    <t>Sorbent Cost - Delivered</t>
  </si>
  <si>
    <t>Bag Cost</t>
  </si>
  <si>
    <t>Cage Cost</t>
  </si>
  <si>
    <t>W</t>
  </si>
  <si>
    <t>X</t>
  </si>
  <si>
    <t>Y</t>
  </si>
  <si>
    <t>($/cage)</t>
  </si>
  <si>
    <t>($/bag)</t>
  </si>
  <si>
    <t>(acfm)</t>
  </si>
  <si>
    <t>Flow Rate Multiplier</t>
  </si>
  <si>
    <t>Feed Rate Multiplier</t>
  </si>
  <si>
    <t>Std Carbon</t>
  </si>
  <si>
    <t>Halogen Carbon</t>
  </si>
  <si>
    <t>Non-Carbon</t>
  </si>
  <si>
    <t>BGH</t>
  </si>
  <si>
    <t>N/A</t>
  </si>
  <si>
    <t>FGD System</t>
  </si>
  <si>
    <t>None</t>
  </si>
  <si>
    <t>Dry FGD</t>
  </si>
  <si>
    <t>Other</t>
  </si>
  <si>
    <t>Existing</t>
  </si>
  <si>
    <t>FGD?</t>
  </si>
  <si>
    <t>Removal</t>
  </si>
  <si>
    <t>6.0 Air-to-Cloth</t>
  </si>
  <si>
    <t>4.0 Air-to-Cloth</t>
  </si>
  <si>
    <t>Type of Sorbent</t>
  </si>
  <si>
    <t>Standard PAC</t>
  </si>
  <si>
    <t>Halogenated PAC</t>
  </si>
  <si>
    <t>&lt;--- User Input for retrofit of an additional baghouse after the existing PM control</t>
  </si>
  <si>
    <t>Downstream of an air preheater
For Bituminous Coal = A*C*0.362
For PRB Coal = A*C*0.400
For Lignite Coal = A*C*0.435</t>
  </si>
  <si>
    <t>(A*C)* Ash in Coal*(1-Boiler Ash Removal)/(2*HHV)
For Bituminous Coal: Ash in Coal = 0.12; Boiler Ash Removal = 0.2; HHV = 11000
For PRB Coal: Ash in Coal = 0.06; Boiler Ash Removal = 0.2; HHV = 8400
For Lignite Coal: Ash in Coal = 0.08; Boiler Ash Removal = 0.2; HHV = 7200</t>
  </si>
  <si>
    <t>Based on no beneficial uses for fly ash with activated carbon without an additional baghouse. The use of a the non-carbon sorbent should maintain the current fly ash disposal method.  Therefore, only the sorbent waste rate is included for the non-carbon sorbent.
if (J = True or G = True or Non-carbon sorbent then 0 else P) + N/2000</t>
  </si>
  <si>
    <t>Base module for an additional PJFF including: Duct work modifications and reinforcement, foundations, structural steel, ID or booster fans, piping, electrical, etc…</t>
  </si>
  <si>
    <t>Base sorbent injection module includes all equipment from unloading to injection</t>
  </si>
  <si>
    <t>Total Base module cost including retrofit factor</t>
  </si>
  <si>
    <t>Base module cost per kW</t>
  </si>
  <si>
    <t>AFUDC:  For ACI systems only : 0% for less than 1 year engineering and construction cycle.  For additional baghouse: 6% for a 2 year engineering and construction cycle.</t>
  </si>
  <si>
    <t>Variable O&amp;M costs for bags and cages.</t>
  </si>
  <si>
    <t>Variable O&amp;M costs for waste disposal that includes both the sorbent and the fly ash waste as applicable</t>
  </si>
  <si>
    <t>Variable O&amp;M costs for additional auxiliary power required</t>
  </si>
  <si>
    <t>n/a</t>
  </si>
  <si>
    <t>Notes for example results:</t>
  </si>
  <si>
    <t>2. Capital Charge Rate = 14.3% (avg of utility and merchant owned at 15-yr book life)</t>
  </si>
  <si>
    <t>3. VOM Cost includes Aux Power at $60/MWh and waste disposal at various $/ton rates</t>
  </si>
  <si>
    <t>Removal Less than 80%</t>
  </si>
  <si>
    <t>Baghouse Addition</t>
  </si>
  <si>
    <t>=M</t>
  </si>
  <si>
    <t>J= True, then 0.6, else 0 + (0.02)</t>
  </si>
  <si>
    <t>&lt;--- User Input (Standard PAC = $1700, Halogenated PAC = $2100, Non-Carbon Sorbent = $2500)</t>
  </si>
  <si>
    <t>B2 = if baghouse addition then 6%, else 0% of CECC +B1</t>
  </si>
  <si>
    <t>C2 = if there is an FGD, SCR, the coal is PRB or Lignite, and capture is less than 80% or the coal is PRB or Lignite and the sorbent in standard PAC then 2500*A else 0</t>
  </si>
  <si>
    <t>Not Added</t>
  </si>
  <si>
    <t>= If Existing FGD, SCR, and if mercury removal is less than 80% then 0 
    else L*60/1000000* 2 lb/MMacf for baghouse applications with carbon
                               * 3.5 lb/MMacf for baghouse applications with non-carbn sorbent
                               * 5 lb/MMacf for ESP applications with carbon
                               Not applicable for ESP applications with non-carbn sorbent
                              (Flow determined downstream of an air preheater)</t>
  </si>
  <si>
    <t>BMC($) =</t>
  </si>
  <si>
    <t>1600000*B*(M^0.15)</t>
  </si>
  <si>
    <t>Base module for wet FGD additive addition (as applicable)</t>
  </si>
  <si>
    <t>Base module for coal additive addition (as applicable)</t>
  </si>
  <si>
    <t>if (J = Not Added then 0, J = 6.0 Air-to-Cloth then 530, J = 4.0 Air-to-Cloth then 600)
*B*L^0.81</t>
  </si>
  <si>
    <t>if there is a wet FGD, SCR, and capture is less than 80% then $500,000 else 0</t>
  </si>
  <si>
    <t>if there is an FGD, SCR, the coal is PRB or Lignite, and capture is less than 80% or
the coal is PRB or Lignite and the sorbent is standard PAC then $1,000,000 else 0</t>
  </si>
  <si>
    <t>BMC+BMB + BMF +BMA</t>
  </si>
  <si>
    <t>A2= if baghouse addition, then 10%, else 5% of BM</t>
  </si>
  <si>
    <t>A3 = if baghouse addition, then 10%, else 5% of BM</t>
  </si>
  <si>
    <t>One time coal additive royalty fee (as applicable)</t>
  </si>
  <si>
    <t>FOMO ($/kW yr) =  (0 additional operators)*2080*X/(A*1000)</t>
  </si>
  <si>
    <t>FOMM ($/kW yr) =(BM/(B*A*1000)*(0.01 for a sorbent system only or 0.005 when a baghouse is added)</t>
  </si>
  <si>
    <t>VOMR ($/MWh) = M*S/(2000*A)</t>
  </si>
  <si>
    <t>VOMW ($/MWh) = Q*T/A</t>
  </si>
  <si>
    <t>VOMP ($/MWh) = U*R*10</t>
  </si>
  <si>
    <t>VOMB ($/MWh) = if a baghouse is added then L/(J*A*341640)*
                                                                    if(E = 6.0 Air-to-Cloth then (V/3+W/9) else
                                                                       E = 4.0 Air-to-Cloth then (V/5+W/10))</t>
  </si>
  <si>
    <t>VOMF ($/MWh) = if there is a wet FGD, SCR, and capture is less then 80%, then 230/A else 0</t>
  </si>
  <si>
    <t>VOMA ($/MWh) = if there is an FGD, SCR, the coal is PRB or Lignite, and capture is less than 80% or
the coal is PRB or Lignite and the sorbent is standard PAC then 0.0298*C/1000 else 0</t>
  </si>
  <si>
    <t>Variable O&amp;M costs for sorbent</t>
  </si>
  <si>
    <t>Variable O&amp;M costs for wet FGD additive addition</t>
  </si>
  <si>
    <t>Variable O&amp;M costs for coal additive addition</t>
  </si>
  <si>
    <t xml:space="preserve">Annual lbs Hg in Coal = </t>
  </si>
  <si>
    <t xml:space="preserve">Annual lbs Hg Removed = </t>
  </si>
  <si>
    <t xml:space="preserve">Annual lbs Hg Emission = </t>
  </si>
  <si>
    <t xml:space="preserve">Annual Avg Hg Emission Rate, lb/MMBtu = </t>
  </si>
  <si>
    <t>Mercury Sorbent Injection</t>
  </si>
  <si>
    <t>Water Required</t>
  </si>
  <si>
    <t>Heat Rate Penalty Include in VOM?</t>
  </si>
  <si>
    <t>BMS + BMA + BMB</t>
  </si>
  <si>
    <t>BMR + BMF + BMW + BMB + BMWW</t>
  </si>
  <si>
    <t>&lt;--- User Input (Greater than 50 MW)</t>
  </si>
  <si>
    <t>&lt;--- User Input (SDA FGD Estimation only valid up to 3 lb/MMBtu SO2 Rate)</t>
  </si>
  <si>
    <t>Trona = (1.2011x10^-06)*K*A*C*D
Hydrated Lime =(6.055*(10^-7))*K*A*C*D</t>
  </si>
  <si>
    <t>FOM ($/kW yr) = FOMO + FOMM + FOMA</t>
  </si>
  <si>
    <t>VOM ($/MWh) = VOMR + VOMW + VOMP</t>
  </si>
  <si>
    <t>Unmilled Trona with an ESP = 60.86*H^0.1081, or 0.002 lb/MMBtu 
Milled Trona with an ESP = 60.86*H^0.1081, or 0.002 lb/MMBtu
Unmilled Trona with an BGH = 0.005*H+97.574, or 0.002 lb/MMBtu
Milled Trona with an BGH =  0.005*H+97.574, or 0.002 lb/MMBtu
Hydrated Lime with an ESP = 54.92*H^0.197, or 0.002 lb/MMBtu
Hydrated Lime with a BGH = 0.0085*H+99.12, or 0.002 lb/MMBtu</t>
  </si>
  <si>
    <t>VOM ($/MWh) = VOMR + VOMW + VOMB + VOMP + VOMF + VOMA</t>
  </si>
  <si>
    <t>TPC ($) = CECC + B1 + B2 + C1</t>
  </si>
  <si>
    <t>Costs are all based on 2016 dollars</t>
  </si>
  <si>
    <t>1.  All costs are 2016$; Capital Costs include Owners Costs and AFUDC</t>
  </si>
  <si>
    <t>HCl content (lb/mmBtu), average from Table 7-4 Coal Quality Characteristics….in the IPM v6 documentation.</t>
  </si>
  <si>
    <t>if (A&gt;600 then (A*98000) else 637000*(A^0.716))*B*(F*G)^0.6*(D/4)^0.01</t>
  </si>
  <si>
    <t>TPC ($) = Includes Owner's Costs and AFUDC = CECC + B1 + B2 + C1 + C2</t>
  </si>
  <si>
    <t>TPC ($) = Includes Owner's Costs and AFUDC = CECC + B1 + B2 + 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</si>
</sst>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_(&quot;$&quot;* #,##0_);_(&quot;$&quot;* \(#,##0\);_(&quot;$&quot;* &quot;-&quot;??_);_(@_)"/>
    <numFmt numFmtId="167" formatCode="_(* #,##0_);_(* \(#,##0\);_(* &quot;-&quot;??_);_(@_)"/>
    <numFmt numFmtId="168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52">
    <xf numFmtId="0" fontId="0" fillId="0" borderId="0" xfId="0"/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2" xfId="0" applyBorder="1"/>
    <xf numFmtId="0" fontId="4" fillId="0" borderId="0" xfId="0" applyFont="1"/>
    <xf numFmtId="0" fontId="4" fillId="0" borderId="4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 applyProtection="1">
      <alignment horizontal="center"/>
    </xf>
    <xf numFmtId="0" fontId="5" fillId="0" borderId="0" xfId="0" applyFont="1"/>
    <xf numFmtId="166" fontId="4" fillId="0" borderId="0" xfId="2" applyNumberFormat="1" applyFont="1"/>
    <xf numFmtId="166" fontId="4" fillId="0" borderId="0" xfId="0" applyNumberFormat="1" applyFont="1"/>
    <xf numFmtId="1" fontId="4" fillId="0" borderId="0" xfId="0" applyNumberFormat="1" applyFont="1"/>
    <xf numFmtId="166" fontId="5" fillId="0" borderId="0" xfId="0" applyNumberFormat="1" applyFont="1"/>
    <xf numFmtId="1" fontId="5" fillId="0" borderId="0" xfId="0" applyNumberFormat="1" applyFont="1"/>
    <xf numFmtId="44" fontId="4" fillId="0" borderId="0" xfId="2" applyNumberFormat="1" applyFont="1"/>
    <xf numFmtId="44" fontId="5" fillId="0" borderId="0" xfId="0" applyNumberFormat="1" applyFont="1"/>
    <xf numFmtId="44" fontId="4" fillId="0" borderId="0" xfId="2" applyFont="1"/>
    <xf numFmtId="0" fontId="4" fillId="0" borderId="0" xfId="0" applyFont="1" applyAlignment="1">
      <alignment horizontal="right"/>
    </xf>
    <xf numFmtId="167" fontId="4" fillId="0" borderId="0" xfId="1" applyNumberFormat="1" applyFont="1"/>
    <xf numFmtId="167" fontId="4" fillId="0" borderId="0" xfId="0" applyNumberFormat="1" applyFont="1"/>
    <xf numFmtId="2" fontId="4" fillId="0" borderId="0" xfId="0" applyNumberFormat="1" applyFont="1"/>
    <xf numFmtId="0" fontId="4" fillId="3" borderId="0" xfId="0" applyFont="1" applyFill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0" xfId="0" applyFont="1"/>
    <xf numFmtId="9" fontId="5" fillId="5" borderId="0" xfId="3" applyFont="1" applyFill="1"/>
    <xf numFmtId="164" fontId="5" fillId="5" borderId="0" xfId="0" applyNumberFormat="1" applyFont="1" applyFill="1"/>
    <xf numFmtId="0" fontId="4" fillId="0" borderId="3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1" fontId="4" fillId="0" borderId="3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0" xfId="0" applyProtection="1"/>
    <xf numFmtId="2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left"/>
    </xf>
    <xf numFmtId="0" fontId="2" fillId="0" borderId="5" xfId="0" applyFont="1" applyBorder="1" applyAlignment="1" applyProtection="1">
      <alignment horizontal="center"/>
    </xf>
    <xf numFmtId="0" fontId="2" fillId="4" borderId="6" xfId="0" applyFont="1" applyFill="1" applyBorder="1" applyAlignment="1" applyProtection="1">
      <alignment horizontal="center"/>
      <protection locked="0"/>
    </xf>
    <xf numFmtId="0" fontId="0" fillId="0" borderId="1" xfId="0" applyBorder="1" applyProtection="1"/>
    <xf numFmtId="0" fontId="0" fillId="0" borderId="4" xfId="0" applyBorder="1" applyProtection="1"/>
    <xf numFmtId="0" fontId="0" fillId="0" borderId="2" xfId="0" applyBorder="1" applyProtection="1"/>
    <xf numFmtId="2" fontId="5" fillId="5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167" fontId="4" fillId="0" borderId="7" xfId="0" applyNumberFormat="1" applyFont="1" applyBorder="1"/>
    <xf numFmtId="2" fontId="4" fillId="0" borderId="7" xfId="0" applyNumberFormat="1" applyFont="1" applyBorder="1"/>
    <xf numFmtId="0" fontId="4" fillId="0" borderId="8" xfId="0" applyFont="1" applyBorder="1"/>
    <xf numFmtId="0" fontId="4" fillId="0" borderId="8" xfId="0" applyFont="1" applyBorder="1" applyAlignment="1">
      <alignment horizontal="right"/>
    </xf>
    <xf numFmtId="167" fontId="4" fillId="0" borderId="8" xfId="1" applyNumberFormat="1" applyFont="1" applyBorder="1"/>
    <xf numFmtId="2" fontId="4" fillId="0" borderId="8" xfId="0" applyNumberFormat="1" applyFont="1" applyBorder="1"/>
    <xf numFmtId="0" fontId="2" fillId="0" borderId="6" xfId="0" applyFont="1" applyBorder="1" applyAlignment="1" applyProtection="1">
      <alignment horizontal="center"/>
      <protection locked="0"/>
    </xf>
    <xf numFmtId="164" fontId="4" fillId="0" borderId="0" xfId="0" applyNumberFormat="1" applyFont="1"/>
    <xf numFmtId="0" fontId="6" fillId="0" borderId="0" xfId="0" applyFont="1"/>
    <xf numFmtId="0" fontId="0" fillId="0" borderId="0" xfId="0" applyAlignment="1">
      <alignment horizontal="right"/>
    </xf>
    <xf numFmtId="1" fontId="0" fillId="0" borderId="0" xfId="0" applyNumberFormat="1"/>
    <xf numFmtId="0" fontId="0" fillId="0" borderId="0" xfId="0" applyAlignment="1">
      <alignment horizontal="center"/>
    </xf>
    <xf numFmtId="168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/>
    <xf numFmtId="2" fontId="0" fillId="0" borderId="0" xfId="0" quotePrefix="1" applyNumberFormat="1" applyAlignment="1">
      <alignment horizont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7" fontId="0" fillId="0" borderId="0" xfId="1" applyNumberFormat="1" applyFont="1" applyFill="1" applyAlignment="1">
      <alignment horizontal="right"/>
    </xf>
    <xf numFmtId="167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9" xfId="0" applyBorder="1"/>
    <xf numFmtId="0" fontId="0" fillId="0" borderId="4" xfId="0" applyBorder="1" applyAlignment="1">
      <alignment horizontal="left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1" fontId="4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/>
    </xf>
    <xf numFmtId="2" fontId="4" fillId="0" borderId="3" xfId="0" applyNumberFormat="1" applyFont="1" applyFill="1" applyBorder="1" applyAlignment="1">
      <alignment horizontal="center" vertical="center"/>
    </xf>
    <xf numFmtId="0" fontId="0" fillId="0" borderId="4" xfId="0" quotePrefix="1" applyBorder="1" applyAlignment="1">
      <alignment horizontal="left" vertical="top"/>
    </xf>
    <xf numFmtId="168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43" fontId="4" fillId="0" borderId="0" xfId="0" applyNumberFormat="1" applyFont="1"/>
    <xf numFmtId="0" fontId="0" fillId="0" borderId="0" xfId="0" applyFill="1" applyAlignment="1">
      <alignment vertical="center"/>
    </xf>
    <xf numFmtId="0" fontId="6" fillId="0" borderId="0" xfId="0" applyFont="1" applyFill="1" applyAlignment="1" applyProtection="1">
      <alignment horizontal="right"/>
    </xf>
    <xf numFmtId="2" fontId="6" fillId="0" borderId="0" xfId="0" applyNumberFormat="1" applyFont="1" applyFill="1" applyProtection="1"/>
    <xf numFmtId="1" fontId="6" fillId="0" borderId="0" xfId="0" applyNumberFormat="1" applyFont="1" applyAlignment="1"/>
    <xf numFmtId="0" fontId="0" fillId="0" borderId="0" xfId="0" applyAlignment="1"/>
    <xf numFmtId="1" fontId="6" fillId="0" borderId="0" xfId="0" applyNumberFormat="1" applyFont="1" applyAlignment="1">
      <alignment horizontal="left"/>
    </xf>
    <xf numFmtId="164" fontId="0" fillId="0" borderId="0" xfId="0" applyNumberFormat="1"/>
    <xf numFmtId="0" fontId="3" fillId="4" borderId="6" xfId="0" applyFont="1" applyFill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0" fillId="0" borderId="4" xfId="0" applyBorder="1"/>
    <xf numFmtId="3" fontId="6" fillId="0" borderId="0" xfId="0" applyNumberFormat="1" applyFont="1" applyFill="1" applyAlignment="1" applyProtection="1">
      <alignment horizontal="right"/>
    </xf>
    <xf numFmtId="3" fontId="6" fillId="0" borderId="6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left" vertical="center"/>
    </xf>
    <xf numFmtId="0" fontId="4" fillId="0" borderId="0" xfId="0" quotePrefix="1" applyFont="1"/>
    <xf numFmtId="0" fontId="4" fillId="0" borderId="0" xfId="0" applyFont="1" applyBorder="1"/>
    <xf numFmtId="0" fontId="4" fillId="0" borderId="3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2" fontId="5" fillId="2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Fill="1"/>
    <xf numFmtId="0" fontId="6" fillId="0" borderId="0" xfId="0" applyFont="1" applyFill="1"/>
    <xf numFmtId="1" fontId="4" fillId="0" borderId="3" xfId="0" applyNumberFormat="1" applyFont="1" applyFill="1" applyBorder="1" applyAlignment="1">
      <alignment horizontal="center" vertical="center"/>
    </xf>
    <xf numFmtId="0" fontId="6" fillId="0" borderId="4" xfId="0" quotePrefix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  <xf numFmtId="0" fontId="0" fillId="0" borderId="2" xfId="0" applyBorder="1" applyAlignment="1" applyProtection="1">
      <alignment horizontal="left" wrapText="1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</cellXfs>
  <cellStyles count="7">
    <cellStyle name="Comma" xfId="1" builtinId="3"/>
    <cellStyle name="Currency" xfId="2" builtinId="4"/>
    <cellStyle name="Currency 2" xfId="5"/>
    <cellStyle name="Normal" xfId="0" builtinId="0"/>
    <cellStyle name="Normal 2" xfId="4"/>
    <cellStyle name="Percent" xfId="3" builtinId="5"/>
    <cellStyle name="Percent 2" xfId="6"/>
  </cellStyles>
  <dxfs count="3"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auto="1"/>
      </font>
    </dxf>
    <dxf>
      <font>
        <b/>
        <i val="0"/>
        <strike val="0"/>
        <condense val="0"/>
        <extend val="0"/>
        <color auto="1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I$3" lockText="1" noThreeD="1"/>
</file>

<file path=xl/ctrlProps/ctrlProp10.xml><?xml version="1.0" encoding="utf-8"?>
<formControlPr xmlns="http://schemas.microsoft.com/office/spreadsheetml/2009/9/main" objectType="CheckBox" checked="Checked" fmlaLink="$B$137" lockText="1" noThreeD="1"/>
</file>

<file path=xl/ctrlProps/ctrlProp11.xml><?xml version="1.0" encoding="utf-8"?>
<formControlPr xmlns="http://schemas.microsoft.com/office/spreadsheetml/2009/9/main" objectType="CheckBox" checked="Checked" fmlaLink="$B$101" lockText="1" noThreeD="1"/>
</file>

<file path=xl/ctrlProps/ctrlProp12.xml><?xml version="1.0" encoding="utf-8"?>
<formControlPr xmlns="http://schemas.microsoft.com/office/spreadsheetml/2009/9/main" objectType="Drop" dropLines="95" dropStyle="combo" dx="16" fmlaLink="$I$9" fmlaRange="#REF!" noThreeD="1" sel="0" val="0"/>
</file>

<file path=xl/ctrlProps/ctrlProp13.xml><?xml version="1.0" encoding="utf-8"?>
<formControlPr xmlns="http://schemas.microsoft.com/office/spreadsheetml/2009/9/main" objectType="CheckBox" fmlaLink="$I$3" lockText="1" noThreeD="1"/>
</file>

<file path=xl/ctrlProps/ctrlProp14.xml><?xml version="1.0" encoding="utf-8"?>
<formControlPr xmlns="http://schemas.microsoft.com/office/spreadsheetml/2009/9/main" objectType="CheckBox" fmlaLink="$I$3" lockText="1" noThreeD="1"/>
</file>

<file path=xl/ctrlProps/ctrlProp15.xml><?xml version="1.0" encoding="utf-8"?>
<formControlPr xmlns="http://schemas.microsoft.com/office/spreadsheetml/2009/9/main" objectType="Drop" dropLines="95" dropStyle="combo" dx="16" fmlaLink="$I$9" fmlaRange="$B$123:$B$125" noThreeD="1" sel="3" val="0"/>
</file>

<file path=xl/ctrlProps/ctrlProp16.xml><?xml version="1.0" encoding="utf-8"?>
<formControlPr xmlns="http://schemas.microsoft.com/office/spreadsheetml/2009/9/main" objectType="Drop" dropLines="95" dropStyle="combo" dx="16" fmlaLink="$I$10" fmlaRange="$B$97:$B$98" noThreeD="1" val="0"/>
</file>

<file path=xl/ctrlProps/ctrlProp17.xml><?xml version="1.0" encoding="utf-8"?>
<formControlPr xmlns="http://schemas.microsoft.com/office/spreadsheetml/2009/9/main" objectType="CheckBox" fmlaLink="$B$133" lockText="1" noThreeD="1"/>
</file>

<file path=xl/ctrlProps/ctrlProp18.xml><?xml version="1.0" encoding="utf-8"?>
<formControlPr xmlns="http://schemas.microsoft.com/office/spreadsheetml/2009/9/main" objectType="CheckBox" checked="Checked" fmlaLink="$B$129" lockText="1" noThreeD="1"/>
</file>

<file path=xl/ctrlProps/ctrlProp19.xml><?xml version="1.0" encoding="utf-8"?>
<formControlPr xmlns="http://schemas.microsoft.com/office/spreadsheetml/2009/9/main" objectType="CheckBox" checked="Checked" fmlaLink="$B$132" lockText="1" noThreeD="1"/>
</file>

<file path=xl/ctrlProps/ctrlProp2.xml><?xml version="1.0" encoding="utf-8"?>
<formControlPr xmlns="http://schemas.microsoft.com/office/spreadsheetml/2009/9/main" objectType="CheckBox" fmlaLink="$I$3" lockText="1" noThreeD="1"/>
</file>

<file path=xl/ctrlProps/ctrlProp20.xml><?xml version="1.0" encoding="utf-8"?>
<formControlPr xmlns="http://schemas.microsoft.com/office/spreadsheetml/2009/9/main" objectType="Drop" dropLines="95" dropStyle="combo" dx="16" fmlaLink="$I$10" fmlaRange="$B$97:$B$98" noThreeD="1" val="0"/>
</file>

<file path=xl/ctrlProps/ctrlProp21.xml><?xml version="1.0" encoding="utf-8"?>
<formControlPr xmlns="http://schemas.microsoft.com/office/spreadsheetml/2009/9/main" objectType="Drop" dropLines="95" dropStyle="combo" dx="16" fmlaLink="$I$9" fmlaRange="$B$123:$B$125" noThreeD="1" sel="3" val="0"/>
</file>

<file path=xl/ctrlProps/ctrlProp22.xml><?xml version="1.0" encoding="utf-8"?>
<formControlPr xmlns="http://schemas.microsoft.com/office/spreadsheetml/2009/9/main" objectType="Drop" dropLines="95" dropStyle="combo" dx="16" fmlaLink="$I$11" fmlaRange="#REF!" noThreeD="1" sel="0" val="0"/>
</file>

<file path=xl/ctrlProps/ctrlProp23.xml><?xml version="1.0" encoding="utf-8"?>
<formControlPr xmlns="http://schemas.microsoft.com/office/spreadsheetml/2009/9/main" objectType="Drop" dropLines="95" dropStyle="combo" dx="16" fmlaLink="$I$11" fmlaRange="$B$135:$B$137" noThreeD="1" val="0"/>
</file>

<file path=xl/ctrlProps/ctrlProp24.xml><?xml version="1.0" encoding="utf-8"?>
<formControlPr xmlns="http://schemas.microsoft.com/office/spreadsheetml/2009/9/main" objectType="Drop" dropLines="95" dropStyle="combo" dx="16" fmlaLink="$I$11" fmlaRange="$B$135:$B$137" noThreeD="1" val="0"/>
</file>

<file path=xl/ctrlProps/ctrlProp25.xml><?xml version="1.0" encoding="utf-8"?>
<formControlPr xmlns="http://schemas.microsoft.com/office/spreadsheetml/2009/9/main" objectType="CheckBox" checked="Checked" fmlaLink="$B$108" lockText="1" noThreeD="1"/>
</file>

<file path=xl/ctrlProps/ctrlProp26.xml><?xml version="1.0" encoding="utf-8"?>
<formControlPr xmlns="http://schemas.microsoft.com/office/spreadsheetml/2009/9/main" objectType="Drop" dropLines="95" dropStyle="combo" dx="16" fmlaLink="$I$9" fmlaRange="$B$98:$B$100" noThreeD="1" val="0"/>
</file>

<file path=xl/ctrlProps/ctrlProp27.xml><?xml version="1.0" encoding="utf-8"?>
<formControlPr xmlns="http://schemas.microsoft.com/office/spreadsheetml/2009/9/main" objectType="CheckBox" fmlaLink="$I$3" lockText="1" noThreeD="1"/>
</file>

<file path=xl/ctrlProps/ctrlProp28.xml><?xml version="1.0" encoding="utf-8"?>
<formControlPr xmlns="http://schemas.microsoft.com/office/spreadsheetml/2009/9/main" objectType="CheckBox" fmlaLink="$I$3" lockText="1" noThreeD="1"/>
</file>

<file path=xl/ctrlProps/ctrlProp29.xml><?xml version="1.0" encoding="utf-8"?>
<formControlPr xmlns="http://schemas.microsoft.com/office/spreadsheetml/2009/9/main" objectType="CheckBox" checked="Checked" fmlaLink="$B$110" lockText="1" noThreeD="1"/>
</file>

<file path=xl/ctrlProps/ctrlProp3.xml><?xml version="1.0" encoding="utf-8"?>
<formControlPr xmlns="http://schemas.microsoft.com/office/spreadsheetml/2009/9/main" objectType="Drop" dropLines="3" dropStyle="combo" dx="16" fmlaLink="$I$8" fmlaRange="$B$100:$B$102" noThreeD="1" sel="3" val="0"/>
</file>

<file path=xl/ctrlProps/ctrlProp30.xml><?xml version="1.0" encoding="utf-8"?>
<formControlPr xmlns="http://schemas.microsoft.com/office/spreadsheetml/2009/9/main" objectType="Drop" dropLines="95" dropStyle="combo" dx="16" fmlaLink="$I$9" fmlaRange="$B$100:$B$102" noThreeD="1" sel="3" val="0"/>
</file>

<file path=xl/ctrlProps/ctrlProp31.xml><?xml version="1.0" encoding="utf-8"?>
<formControlPr xmlns="http://schemas.microsoft.com/office/spreadsheetml/2009/9/main" objectType="CheckBox" fmlaLink="$I$3" lockText="1" noThreeD="1"/>
</file>

<file path=xl/ctrlProps/ctrlProp32.xml><?xml version="1.0" encoding="utf-8"?>
<formControlPr xmlns="http://schemas.microsoft.com/office/spreadsheetml/2009/9/main" objectType="CheckBox" fmlaLink="$I$3" lockText="1" noThreeD="1"/>
</file>

<file path=xl/ctrlProps/ctrlProp33.xml><?xml version="1.0" encoding="utf-8"?>
<formControlPr xmlns="http://schemas.microsoft.com/office/spreadsheetml/2009/9/main" objectType="Drop" dropLines="3" dropStyle="combo" dx="16" fmlaLink="$I$4" fmlaRange="$B$105:$B$107" noThreeD="1" sel="2" val="0"/>
</file>

<file path=xl/ctrlProps/ctrlProp34.xml><?xml version="1.0" encoding="utf-8"?>
<formControlPr xmlns="http://schemas.microsoft.com/office/spreadsheetml/2009/9/main" objectType="Drop" dropLines="95" dropStyle="combo" dx="16" fmlaLink="$I$10" fmlaRange="$B$102:$B$104" noThreeD="1" sel="3" val="0"/>
</file>

<file path=xl/ctrlProps/ctrlProp35.xml><?xml version="1.0" encoding="utf-8"?>
<formControlPr xmlns="http://schemas.microsoft.com/office/spreadsheetml/2009/9/main" objectType="Drop" dropLines="4" dropStyle="combo" dx="16" fmlaLink="$I$3" fmlaRange="$B$108:$B$111" noThreeD="1" sel="2" val="0"/>
</file>

<file path=xl/ctrlProps/ctrlProp36.xml><?xml version="1.0" encoding="utf-8"?>
<formControlPr xmlns="http://schemas.microsoft.com/office/spreadsheetml/2009/9/main" objectType="CheckBox" checked="Checked" fmlaLink="$B$114" lockText="1" noThreeD="1"/>
</file>

<file path=xl/ctrlProps/ctrlProp37.xml><?xml version="1.0" encoding="utf-8"?>
<formControlPr xmlns="http://schemas.microsoft.com/office/spreadsheetml/2009/9/main" objectType="CheckBox" checked="Checked" fmlaLink="$B$117" lockText="1" noThreeD="1"/>
</file>

<file path=xl/ctrlProps/ctrlProp38.xml><?xml version="1.0" encoding="utf-8"?>
<formControlPr xmlns="http://schemas.microsoft.com/office/spreadsheetml/2009/9/main" objectType="CheckBox" fmlaLink="$I$4" lockText="1" noThreeD="1"/>
</file>

<file path=xl/ctrlProps/ctrlProp39.xml><?xml version="1.0" encoding="utf-8"?>
<formControlPr xmlns="http://schemas.microsoft.com/office/spreadsheetml/2009/9/main" objectType="CheckBox" checked="Checked" fmlaLink="$B$113" lockText="1" noThreeD="1"/>
</file>

<file path=xl/ctrlProps/ctrlProp4.xml><?xml version="1.0" encoding="utf-8"?>
<formControlPr xmlns="http://schemas.microsoft.com/office/spreadsheetml/2009/9/main" objectType="Drop" dropLines="95" dropStyle="combo" dx="16" fmlaLink="$I$12" fmlaRange="$B$105:$B$106" noThreeD="1" sel="2" val="0"/>
</file>

<file path=xl/ctrlProps/ctrlProp40.xml><?xml version="1.0" encoding="utf-8"?>
<formControlPr xmlns="http://schemas.microsoft.com/office/spreadsheetml/2009/9/main" objectType="Drop" dropLines="95" dropStyle="combo" dx="16" fmlaLink="$I$10" fmlaRange="$B$103:$B$105" noThreeD="1" sel="3" val="0"/>
</file>

<file path=xl/ctrlProps/ctrlProp41.xml><?xml version="1.0" encoding="utf-8"?>
<formControlPr xmlns="http://schemas.microsoft.com/office/spreadsheetml/2009/9/main" objectType="CheckBox" fmlaLink="$I$3" lockText="1" noThreeD="1"/>
</file>

<file path=xl/ctrlProps/ctrlProp42.xml><?xml version="1.0" encoding="utf-8"?>
<formControlPr xmlns="http://schemas.microsoft.com/office/spreadsheetml/2009/9/main" objectType="CheckBox" fmlaLink="$I$3" lockText="1" noThreeD="1"/>
</file>

<file path=xl/ctrlProps/ctrlProp5.xml><?xml version="1.0" encoding="utf-8"?>
<formControlPr xmlns="http://schemas.microsoft.com/office/spreadsheetml/2009/9/main" objectType="Drop" dropLines="95" dropStyle="combo" dx="16" fmlaLink="$I$9" fmlaRange="$B$114:$B$117" noThreeD="1" sel="2" val="0"/>
</file>

<file path=xl/ctrlProps/ctrlProp6.xml><?xml version="1.0" encoding="utf-8"?>
<formControlPr xmlns="http://schemas.microsoft.com/office/spreadsheetml/2009/9/main" objectType="CheckBox" checked="Checked" fmlaLink="$B$120" lockText="1" noThreeD="1"/>
</file>

<file path=xl/ctrlProps/ctrlProp7.xml><?xml version="1.0" encoding="utf-8"?>
<formControlPr xmlns="http://schemas.microsoft.com/office/spreadsheetml/2009/9/main" objectType="CheckBox" fmlaLink="$B$123" lockText="1" noThreeD="1"/>
</file>

<file path=xl/ctrlProps/ctrlProp8.xml><?xml version="1.0" encoding="utf-8"?>
<formControlPr xmlns="http://schemas.microsoft.com/office/spreadsheetml/2009/9/main" objectType="Drop" dropLines="95" dropStyle="combo" dx="16" fmlaLink="$I$13" fmlaRange="$B$127:$B$129" noThreeD="1" val="0"/>
</file>

<file path=xl/ctrlProps/ctrlProp9.xml><?xml version="1.0" encoding="utf-8"?>
<formControlPr xmlns="http://schemas.microsoft.com/office/spreadsheetml/2009/9/main" objectType="Drop" dropLines="95" dropStyle="combo" dx="16" fmlaLink="$I$14" fmlaRange="$B$132:$B$13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171450</xdr:rowOff>
        </xdr:from>
        <xdr:to>
          <xdr:col>8</xdr:col>
          <xdr:colOff>400050</xdr:colOff>
          <xdr:row>3</xdr:row>
          <xdr:rowOff>38100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171450</xdr:rowOff>
        </xdr:from>
        <xdr:to>
          <xdr:col>8</xdr:col>
          <xdr:colOff>400050</xdr:colOff>
          <xdr:row>3</xdr:row>
          <xdr:rowOff>38100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</xdr:row>
          <xdr:rowOff>19050</xdr:rowOff>
        </xdr:from>
        <xdr:to>
          <xdr:col>9</xdr:col>
          <xdr:colOff>9525</xdr:colOff>
          <xdr:row>7</xdr:row>
          <xdr:rowOff>266700</xdr:rowOff>
        </xdr:to>
        <xdr:sp macro="" textlink="">
          <xdr:nvSpPr>
            <xdr:cNvPr id="10251" name="Drop Down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19050</xdr:rowOff>
        </xdr:from>
        <xdr:to>
          <xdr:col>9</xdr:col>
          <xdr:colOff>0</xdr:colOff>
          <xdr:row>12</xdr:row>
          <xdr:rowOff>38100</xdr:rowOff>
        </xdr:to>
        <xdr:sp macro="" textlink="">
          <xdr:nvSpPr>
            <xdr:cNvPr id="10252" name="Drop Down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19050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10253" name="Drop Down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8</xdr:row>
          <xdr:rowOff>238125</xdr:rowOff>
        </xdr:from>
        <xdr:to>
          <xdr:col>8</xdr:col>
          <xdr:colOff>647700</xdr:colOff>
          <xdr:row>9</xdr:row>
          <xdr:rowOff>247650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9</xdr:row>
          <xdr:rowOff>257175</xdr:rowOff>
        </xdr:from>
        <xdr:to>
          <xdr:col>8</xdr:col>
          <xdr:colOff>647700</xdr:colOff>
          <xdr:row>11</xdr:row>
          <xdr:rowOff>9525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38100</xdr:rowOff>
        </xdr:from>
        <xdr:to>
          <xdr:col>9</xdr:col>
          <xdr:colOff>9525</xdr:colOff>
          <xdr:row>12</xdr:row>
          <xdr:rowOff>228600</xdr:rowOff>
        </xdr:to>
        <xdr:sp macro="" textlink="">
          <xdr:nvSpPr>
            <xdr:cNvPr id="10256" name="Drop Down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38100</xdr:rowOff>
        </xdr:from>
        <xdr:to>
          <xdr:col>8</xdr:col>
          <xdr:colOff>1857375</xdr:colOff>
          <xdr:row>14</xdr:row>
          <xdr:rowOff>0</xdr:rowOff>
        </xdr:to>
        <xdr:sp macro="" textlink="">
          <xdr:nvSpPr>
            <xdr:cNvPr id="10257" name="Drop Down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20</xdr:row>
          <xdr:rowOff>171450</xdr:rowOff>
        </xdr:from>
        <xdr:to>
          <xdr:col>5</xdr:col>
          <xdr:colOff>209550</xdr:colOff>
          <xdr:row>20</xdr:row>
          <xdr:rowOff>361950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18</xdr:row>
          <xdr:rowOff>171450</xdr:rowOff>
        </xdr:from>
        <xdr:to>
          <xdr:col>4</xdr:col>
          <xdr:colOff>781050</xdr:colOff>
          <xdr:row>18</xdr:row>
          <xdr:rowOff>342900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19050</xdr:rowOff>
        </xdr:from>
        <xdr:to>
          <xdr:col>8</xdr:col>
          <xdr:colOff>914400</xdr:colOff>
          <xdr:row>9</xdr:row>
          <xdr:rowOff>0</xdr:rowOff>
        </xdr:to>
        <xdr:sp macro="" textlink="">
          <xdr:nvSpPr>
            <xdr:cNvPr id="8194" name="Drop Dow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171450</xdr:rowOff>
        </xdr:from>
        <xdr:to>
          <xdr:col>8</xdr:col>
          <xdr:colOff>400050</xdr:colOff>
          <xdr:row>3</xdr:row>
          <xdr:rowOff>38100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171450</xdr:rowOff>
        </xdr:from>
        <xdr:to>
          <xdr:col>8</xdr:col>
          <xdr:colOff>400050</xdr:colOff>
          <xdr:row>3</xdr:row>
          <xdr:rowOff>38100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19050</xdr:rowOff>
        </xdr:from>
        <xdr:to>
          <xdr:col>8</xdr:col>
          <xdr:colOff>914400</xdr:colOff>
          <xdr:row>9</xdr:row>
          <xdr:rowOff>0</xdr:rowOff>
        </xdr:to>
        <xdr:sp macro="" textlink="">
          <xdr:nvSpPr>
            <xdr:cNvPr id="8209" name="Drop Down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19050</xdr:rowOff>
        </xdr:from>
        <xdr:to>
          <xdr:col>8</xdr:col>
          <xdr:colOff>914400</xdr:colOff>
          <xdr:row>10</xdr:row>
          <xdr:rowOff>0</xdr:rowOff>
        </xdr:to>
        <xdr:sp macro="" textlink="">
          <xdr:nvSpPr>
            <xdr:cNvPr id="8210" name="Drop Down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17</xdr:row>
          <xdr:rowOff>381000</xdr:rowOff>
        </xdr:from>
        <xdr:to>
          <xdr:col>4</xdr:col>
          <xdr:colOff>781050</xdr:colOff>
          <xdr:row>17</xdr:row>
          <xdr:rowOff>647700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18</xdr:row>
          <xdr:rowOff>171450</xdr:rowOff>
        </xdr:from>
        <xdr:to>
          <xdr:col>4</xdr:col>
          <xdr:colOff>781050</xdr:colOff>
          <xdr:row>18</xdr:row>
          <xdr:rowOff>342900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17</xdr:row>
          <xdr:rowOff>381000</xdr:rowOff>
        </xdr:from>
        <xdr:to>
          <xdr:col>4</xdr:col>
          <xdr:colOff>781050</xdr:colOff>
          <xdr:row>17</xdr:row>
          <xdr:rowOff>647700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19050</xdr:rowOff>
        </xdr:from>
        <xdr:to>
          <xdr:col>9</xdr:col>
          <xdr:colOff>0</xdr:colOff>
          <xdr:row>9</xdr:row>
          <xdr:rowOff>228600</xdr:rowOff>
        </xdr:to>
        <xdr:sp macro="" textlink="">
          <xdr:nvSpPr>
            <xdr:cNvPr id="8216" name="Drop Down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19050</xdr:rowOff>
        </xdr:from>
        <xdr:to>
          <xdr:col>8</xdr:col>
          <xdr:colOff>1133475</xdr:colOff>
          <xdr:row>8</xdr:row>
          <xdr:rowOff>228600</xdr:rowOff>
        </xdr:to>
        <xdr:sp macro="" textlink="">
          <xdr:nvSpPr>
            <xdr:cNvPr id="8217" name="Drop Down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</xdr:row>
          <xdr:rowOff>19050</xdr:rowOff>
        </xdr:from>
        <xdr:to>
          <xdr:col>8</xdr:col>
          <xdr:colOff>914400</xdr:colOff>
          <xdr:row>11</xdr:row>
          <xdr:rowOff>0</xdr:rowOff>
        </xdr:to>
        <xdr:sp macro="" textlink="">
          <xdr:nvSpPr>
            <xdr:cNvPr id="8220" name="Drop Down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</xdr:row>
          <xdr:rowOff>19050</xdr:rowOff>
        </xdr:from>
        <xdr:to>
          <xdr:col>8</xdr:col>
          <xdr:colOff>914400</xdr:colOff>
          <xdr:row>11</xdr:row>
          <xdr:rowOff>0</xdr:rowOff>
        </xdr:to>
        <xdr:sp macro="" textlink="">
          <xdr:nvSpPr>
            <xdr:cNvPr id="8221" name="Drop Down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</xdr:row>
          <xdr:rowOff>19050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8222" name="Drop Down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16</xdr:row>
          <xdr:rowOff>171450</xdr:rowOff>
        </xdr:from>
        <xdr:to>
          <xdr:col>5</xdr:col>
          <xdr:colOff>171450</xdr:colOff>
          <xdr:row>16</xdr:row>
          <xdr:rowOff>342900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885825</xdr:colOff>
          <xdr:row>7</xdr:row>
          <xdr:rowOff>180975</xdr:rowOff>
        </xdr:from>
        <xdr:to>
          <xdr:col>9</xdr:col>
          <xdr:colOff>47625</xdr:colOff>
          <xdr:row>9</xdr:row>
          <xdr:rowOff>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171450</xdr:rowOff>
        </xdr:from>
        <xdr:to>
          <xdr:col>8</xdr:col>
          <xdr:colOff>400050</xdr:colOff>
          <xdr:row>3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171450</xdr:rowOff>
        </xdr:from>
        <xdr:to>
          <xdr:col>8</xdr:col>
          <xdr:colOff>400050</xdr:colOff>
          <xdr:row>3</xdr:row>
          <xdr:rowOff>38100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16</xdr:row>
          <xdr:rowOff>171450</xdr:rowOff>
        </xdr:from>
        <xdr:to>
          <xdr:col>5</xdr:col>
          <xdr:colOff>171450</xdr:colOff>
          <xdr:row>16</xdr:row>
          <xdr:rowOff>342900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19050</xdr:rowOff>
        </xdr:from>
        <xdr:to>
          <xdr:col>9</xdr:col>
          <xdr:colOff>66675</xdr:colOff>
          <xdr:row>9</xdr:row>
          <xdr:rowOff>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171450</xdr:rowOff>
        </xdr:from>
        <xdr:to>
          <xdr:col>8</xdr:col>
          <xdr:colOff>400050</xdr:colOff>
          <xdr:row>3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171450</xdr:rowOff>
        </xdr:from>
        <xdr:to>
          <xdr:col>8</xdr:col>
          <xdr:colOff>400050</xdr:colOff>
          <xdr:row>3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</xdr:row>
          <xdr:rowOff>19050</xdr:rowOff>
        </xdr:from>
        <xdr:to>
          <xdr:col>9</xdr:col>
          <xdr:colOff>133350</xdr:colOff>
          <xdr:row>3</xdr:row>
          <xdr:rowOff>238125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19050</xdr:rowOff>
        </xdr:from>
        <xdr:to>
          <xdr:col>9</xdr:col>
          <xdr:colOff>66675</xdr:colOff>
          <xdr:row>10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</xdr:row>
          <xdr:rowOff>0</xdr:rowOff>
        </xdr:from>
        <xdr:to>
          <xdr:col>9</xdr:col>
          <xdr:colOff>9525</xdr:colOff>
          <xdr:row>3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123825</xdr:rowOff>
        </xdr:from>
        <xdr:to>
          <xdr:col>5</xdr:col>
          <xdr:colOff>228600</xdr:colOff>
          <xdr:row>19</xdr:row>
          <xdr:rowOff>295275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18</xdr:row>
          <xdr:rowOff>9525</xdr:rowOff>
        </xdr:from>
        <xdr:to>
          <xdr:col>5</xdr:col>
          <xdr:colOff>190500</xdr:colOff>
          <xdr:row>18</xdr:row>
          <xdr:rowOff>200025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</xdr:row>
          <xdr:rowOff>171450</xdr:rowOff>
        </xdr:from>
        <xdr:to>
          <xdr:col>8</xdr:col>
          <xdr:colOff>400050</xdr:colOff>
          <xdr:row>4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19</xdr:row>
          <xdr:rowOff>171450</xdr:rowOff>
        </xdr:from>
        <xdr:to>
          <xdr:col>5</xdr:col>
          <xdr:colOff>171450</xdr:colOff>
          <xdr:row>19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19050</xdr:rowOff>
        </xdr:from>
        <xdr:to>
          <xdr:col>9</xdr:col>
          <xdr:colOff>66675</xdr:colOff>
          <xdr:row>10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171450</xdr:rowOff>
        </xdr:from>
        <xdr:to>
          <xdr:col>8</xdr:col>
          <xdr:colOff>400050</xdr:colOff>
          <xdr:row>3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171450</xdr:rowOff>
        </xdr:from>
        <xdr:to>
          <xdr:col>8</xdr:col>
          <xdr:colOff>400050</xdr:colOff>
          <xdr:row>3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17" Type="http://schemas.openxmlformats.org/officeDocument/2006/relationships/ctrlProp" Target="../ctrlProps/ctrlProp2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5" Type="http://schemas.openxmlformats.org/officeDocument/2006/relationships/ctrlProp" Target="../ctrlProps/ctrlProp2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trlProp" Target="../ctrlProps/ctrlProp2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6.xml"/><Relationship Id="rId5" Type="http://schemas.openxmlformats.org/officeDocument/2006/relationships/ctrlProp" Target="../ctrlProps/ctrlProp35.xml"/><Relationship Id="rId4" Type="http://schemas.openxmlformats.org/officeDocument/2006/relationships/ctrlProp" Target="../ctrlProps/ctrlProp3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42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1.xml"/><Relationship Id="rId5" Type="http://schemas.openxmlformats.org/officeDocument/2006/relationships/ctrlProp" Target="../ctrlProps/ctrlProp40.xml"/><Relationship Id="rId4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2"/>
  <sheetViews>
    <sheetView workbookViewId="0">
      <selection activeCell="B11" sqref="B11"/>
    </sheetView>
  </sheetViews>
  <sheetFormatPr defaultRowHeight="15" x14ac:dyDescent="0.25"/>
  <sheetData>
    <row r="3" spans="1:1" x14ac:dyDescent="0.25">
      <c r="A3" s="58" t="s">
        <v>363</v>
      </c>
    </row>
    <row r="4" spans="1:1" x14ac:dyDescent="0.25">
      <c r="A4" s="58" t="s">
        <v>415</v>
      </c>
    </row>
    <row r="5" spans="1:1" x14ac:dyDescent="0.25">
      <c r="A5" s="58" t="s">
        <v>364</v>
      </c>
    </row>
    <row r="6" spans="1:1" x14ac:dyDescent="0.25">
      <c r="A6" s="58" t="s">
        <v>365</v>
      </c>
    </row>
    <row r="8" spans="1:1" x14ac:dyDescent="0.25">
      <c r="A8" s="123"/>
    </row>
    <row r="9" spans="1:1" x14ac:dyDescent="0.25">
      <c r="A9" s="58"/>
    </row>
    <row r="10" spans="1:1" x14ac:dyDescent="0.25">
      <c r="A10" s="58"/>
    </row>
    <row r="12" spans="1:1" x14ac:dyDescent="0.25">
      <c r="A12" s="5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47"/>
  <sheetViews>
    <sheetView topLeftCell="A37" zoomScale="85" zoomScaleNormal="85" workbookViewId="0">
      <selection activeCell="J53" sqref="J53"/>
    </sheetView>
  </sheetViews>
  <sheetFormatPr defaultRowHeight="15" x14ac:dyDescent="0.25"/>
  <cols>
    <col min="3" max="3" width="13.140625" customWidth="1"/>
    <col min="6" max="6" width="6.28515625" customWidth="1"/>
    <col min="7" max="7" width="12.7109375" customWidth="1"/>
    <col min="8" max="8" width="13.28515625" bestFit="1" customWidth="1"/>
    <col min="9" max="9" width="28" customWidth="1"/>
    <col min="10" max="10" width="15.28515625" customWidth="1"/>
    <col min="12" max="12" width="56.140625" customWidth="1"/>
  </cols>
  <sheetData>
    <row r="1" spans="1:16" x14ac:dyDescent="0.25">
      <c r="A1" s="5" t="s">
        <v>165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5"/>
      <c r="B2" s="5"/>
      <c r="C2" s="5"/>
      <c r="D2" s="24" t="s">
        <v>0</v>
      </c>
      <c r="E2" s="25"/>
      <c r="F2" s="26"/>
      <c r="G2" s="27" t="s">
        <v>1</v>
      </c>
      <c r="H2" s="27" t="s">
        <v>2</v>
      </c>
      <c r="I2" s="27" t="s">
        <v>3</v>
      </c>
      <c r="J2" s="24" t="s">
        <v>4</v>
      </c>
      <c r="K2" s="7"/>
      <c r="L2" s="8"/>
      <c r="M2" s="5"/>
      <c r="N2" s="5"/>
      <c r="O2" s="5"/>
      <c r="P2" s="5"/>
    </row>
    <row r="3" spans="1:16" x14ac:dyDescent="0.25">
      <c r="A3" s="5"/>
      <c r="B3" s="5"/>
      <c r="C3" s="5"/>
      <c r="D3" s="74" t="s">
        <v>5</v>
      </c>
      <c r="E3" s="75"/>
      <c r="F3" s="76"/>
      <c r="G3" s="77"/>
      <c r="H3" s="77"/>
      <c r="I3" s="108" t="b">
        <v>0</v>
      </c>
      <c r="J3" s="6"/>
      <c r="K3" s="7"/>
      <c r="L3" s="8"/>
      <c r="M3" s="5"/>
      <c r="N3" s="5"/>
      <c r="O3" s="5"/>
      <c r="P3" s="5"/>
    </row>
    <row r="4" spans="1:16" ht="19.5" customHeight="1" x14ac:dyDescent="0.25">
      <c r="A4" s="5"/>
      <c r="B4" s="5"/>
      <c r="C4" s="5"/>
      <c r="D4" s="74" t="s">
        <v>18</v>
      </c>
      <c r="E4" s="75"/>
      <c r="F4" s="76"/>
      <c r="G4" s="109"/>
      <c r="H4" s="109"/>
      <c r="I4" s="117">
        <v>85</v>
      </c>
      <c r="J4" s="6" t="s">
        <v>9</v>
      </c>
      <c r="K4" s="7"/>
      <c r="L4" s="8"/>
      <c r="M4" s="5"/>
      <c r="N4" s="5"/>
      <c r="O4" s="5"/>
      <c r="P4" s="5"/>
    </row>
    <row r="5" spans="1:16" x14ac:dyDescent="0.25">
      <c r="A5" s="5"/>
      <c r="B5" s="5"/>
      <c r="C5" s="5"/>
      <c r="D5" s="74" t="s">
        <v>6</v>
      </c>
      <c r="E5" s="75"/>
      <c r="F5" s="76"/>
      <c r="G5" s="77" t="s">
        <v>7</v>
      </c>
      <c r="H5" s="77" t="s">
        <v>8</v>
      </c>
      <c r="I5" s="82">
        <v>500</v>
      </c>
      <c r="J5" s="6" t="s">
        <v>9</v>
      </c>
      <c r="K5" s="7"/>
      <c r="L5" s="8"/>
      <c r="M5" s="5"/>
      <c r="N5" s="5"/>
      <c r="O5" s="5"/>
      <c r="P5" s="5"/>
    </row>
    <row r="6" spans="1:16" x14ac:dyDescent="0.25">
      <c r="A6" s="5"/>
      <c r="B6" s="5"/>
      <c r="C6" s="5"/>
      <c r="D6" s="74" t="s">
        <v>10</v>
      </c>
      <c r="E6" s="75"/>
      <c r="F6" s="76"/>
      <c r="G6" s="77" t="s">
        <v>29</v>
      </c>
      <c r="H6" s="77"/>
      <c r="I6" s="118">
        <v>1</v>
      </c>
      <c r="J6" s="6" t="s">
        <v>59</v>
      </c>
      <c r="K6" s="7"/>
      <c r="L6" s="8"/>
      <c r="M6" s="5"/>
      <c r="N6" s="5"/>
      <c r="O6" s="5"/>
      <c r="P6" s="5"/>
    </row>
    <row r="7" spans="1:16" x14ac:dyDescent="0.25">
      <c r="A7" s="5"/>
      <c r="B7" s="5"/>
      <c r="C7" s="5"/>
      <c r="D7" s="74" t="s">
        <v>11</v>
      </c>
      <c r="E7" s="75"/>
      <c r="F7" s="76"/>
      <c r="G7" s="77" t="s">
        <v>30</v>
      </c>
      <c r="H7" s="77" t="s">
        <v>49</v>
      </c>
      <c r="I7" s="82">
        <v>9500</v>
      </c>
      <c r="J7" s="6" t="s">
        <v>9</v>
      </c>
      <c r="K7" s="7"/>
      <c r="L7" s="8"/>
      <c r="M7" s="5"/>
      <c r="N7" s="5"/>
      <c r="O7" s="5"/>
      <c r="P7" s="5"/>
    </row>
    <row r="8" spans="1:16" ht="21.75" customHeight="1" x14ac:dyDescent="0.25">
      <c r="A8" s="5"/>
      <c r="B8" s="5"/>
      <c r="C8" s="5"/>
      <c r="D8" s="74" t="s">
        <v>14</v>
      </c>
      <c r="E8" s="75"/>
      <c r="F8" s="76"/>
      <c r="G8" s="77" t="s">
        <v>31</v>
      </c>
      <c r="H8" s="72"/>
      <c r="I8" s="1">
        <v>3</v>
      </c>
      <c r="J8" s="6" t="s">
        <v>9</v>
      </c>
      <c r="K8" s="7"/>
      <c r="L8" s="8"/>
      <c r="M8" s="5"/>
      <c r="N8" s="5"/>
      <c r="O8" s="5"/>
      <c r="P8" s="5"/>
    </row>
    <row r="9" spans="1:16" ht="19.5" customHeight="1" x14ac:dyDescent="0.25">
      <c r="A9" s="5"/>
      <c r="B9" s="5"/>
      <c r="C9" s="5"/>
      <c r="D9" s="74" t="s">
        <v>316</v>
      </c>
      <c r="E9" s="84"/>
      <c r="F9" s="84"/>
      <c r="G9" s="73" t="s">
        <v>32</v>
      </c>
      <c r="H9" s="72"/>
      <c r="I9" s="105">
        <v>2</v>
      </c>
      <c r="J9" s="6" t="s">
        <v>9</v>
      </c>
      <c r="K9" s="7"/>
      <c r="L9" s="8"/>
      <c r="M9" s="5"/>
      <c r="N9" s="5"/>
      <c r="O9" s="5"/>
      <c r="P9" s="5"/>
    </row>
    <row r="10" spans="1:16" ht="20.25" customHeight="1" x14ac:dyDescent="0.25">
      <c r="A10" s="5"/>
      <c r="B10" s="5"/>
      <c r="C10" s="5"/>
      <c r="D10" s="74" t="s">
        <v>317</v>
      </c>
      <c r="E10" s="84"/>
      <c r="F10" s="84"/>
      <c r="G10" s="73" t="s">
        <v>33</v>
      </c>
      <c r="H10" s="73"/>
      <c r="I10" s="106" t="b">
        <f>B122</f>
        <v>1</v>
      </c>
      <c r="J10" s="6" t="str">
        <f>"&lt;--- User Input"&amp;IF(I10," (Sorbent injection may not be required.  Co-benefit of SCR and FGD system should achieve 80% removal.)","")</f>
        <v>&lt;--- User Input (Sorbent injection may not be required.  Co-benefit of SCR and FGD system should achieve 80% removal.)</v>
      </c>
      <c r="K10" s="7"/>
      <c r="L10" s="8"/>
      <c r="M10" s="5"/>
      <c r="N10" s="5"/>
      <c r="O10" s="5"/>
      <c r="P10" s="5"/>
    </row>
    <row r="11" spans="1:16" ht="20.25" customHeight="1" x14ac:dyDescent="0.25">
      <c r="A11" s="5"/>
      <c r="B11" s="5"/>
      <c r="C11" s="5"/>
      <c r="D11" s="74" t="s">
        <v>366</v>
      </c>
      <c r="E11" s="84"/>
      <c r="F11" s="84"/>
      <c r="G11" s="73" t="s">
        <v>34</v>
      </c>
      <c r="H11" s="73"/>
      <c r="I11" s="106" t="b">
        <f>B124</f>
        <v>0</v>
      </c>
      <c r="J11" s="6" t="str">
        <f>"&lt;--- User Input"&amp;IF(I11," (Sorbent injection is not required for caputre less than 80%.)","")</f>
        <v>&lt;--- User Input</v>
      </c>
      <c r="K11" s="7"/>
      <c r="L11" s="8"/>
      <c r="M11" s="5"/>
      <c r="N11" s="5"/>
      <c r="O11" s="5"/>
      <c r="P11" s="5"/>
    </row>
    <row r="12" spans="1:16" ht="18.75" customHeight="1" x14ac:dyDescent="0.25">
      <c r="A12" s="5"/>
      <c r="B12" s="5"/>
      <c r="C12" s="5"/>
      <c r="D12" s="74" t="s">
        <v>318</v>
      </c>
      <c r="E12" s="84"/>
      <c r="F12" s="84"/>
      <c r="G12" s="73" t="s">
        <v>35</v>
      </c>
      <c r="H12" s="72"/>
      <c r="I12" s="105">
        <v>2</v>
      </c>
      <c r="J12" s="6" t="s">
        <v>9</v>
      </c>
      <c r="K12" s="7"/>
      <c r="L12" s="8"/>
      <c r="M12" s="5"/>
      <c r="N12" s="5"/>
      <c r="O12" s="5"/>
      <c r="P12" s="5"/>
    </row>
    <row r="13" spans="1:16" ht="18.75" customHeight="1" x14ac:dyDescent="0.25">
      <c r="A13" s="5"/>
      <c r="B13" s="5"/>
      <c r="C13" s="5"/>
      <c r="D13" s="74" t="s">
        <v>367</v>
      </c>
      <c r="E13" s="75"/>
      <c r="F13" s="76"/>
      <c r="G13" s="77" t="s">
        <v>37</v>
      </c>
      <c r="H13" s="72"/>
      <c r="I13" s="107">
        <v>1</v>
      </c>
      <c r="J13" s="6" t="s">
        <v>350</v>
      </c>
      <c r="K13" s="7"/>
      <c r="L13" s="8"/>
      <c r="M13" s="5"/>
      <c r="N13" s="5"/>
      <c r="O13" s="5"/>
      <c r="P13" s="5"/>
    </row>
    <row r="14" spans="1:16" ht="18.75" customHeight="1" x14ac:dyDescent="0.25">
      <c r="A14" s="5"/>
      <c r="B14" s="5"/>
      <c r="C14" s="5"/>
      <c r="D14" s="74" t="s">
        <v>347</v>
      </c>
      <c r="E14" s="75"/>
      <c r="F14" s="76"/>
      <c r="G14" s="77" t="s">
        <v>327</v>
      </c>
      <c r="H14" s="72"/>
      <c r="I14" s="107">
        <v>1</v>
      </c>
      <c r="J14" s="6" t="s">
        <v>9</v>
      </c>
      <c r="K14" s="7"/>
      <c r="L14" s="8"/>
      <c r="M14" s="5"/>
      <c r="N14" s="5"/>
      <c r="O14" s="5"/>
      <c r="P14" s="5"/>
    </row>
    <row r="15" spans="1:16" x14ac:dyDescent="0.25">
      <c r="A15" s="5"/>
      <c r="B15" s="5"/>
      <c r="C15" s="5"/>
      <c r="D15" s="74" t="s">
        <v>17</v>
      </c>
      <c r="E15" s="75"/>
      <c r="F15" s="76"/>
      <c r="G15" s="77" t="s">
        <v>38</v>
      </c>
      <c r="H15" s="77" t="s">
        <v>51</v>
      </c>
      <c r="I15" s="86">
        <f>I5*I7*1000</f>
        <v>4750000000</v>
      </c>
      <c r="J15" s="6" t="s">
        <v>62</v>
      </c>
      <c r="K15" s="7"/>
      <c r="L15" s="8"/>
      <c r="M15" s="5"/>
      <c r="N15" s="5"/>
      <c r="O15" s="5"/>
      <c r="P15" s="5"/>
    </row>
    <row r="16" spans="1:16" ht="88.5" customHeight="1" x14ac:dyDescent="0.25">
      <c r="A16" s="5"/>
      <c r="B16" s="5"/>
      <c r="C16" s="5"/>
      <c r="D16" s="74" t="s">
        <v>319</v>
      </c>
      <c r="E16" s="75"/>
      <c r="F16" s="76"/>
      <c r="G16" s="77" t="s">
        <v>39</v>
      </c>
      <c r="H16" s="77" t="s">
        <v>330</v>
      </c>
      <c r="I16" s="88">
        <f>I5*I7*G103</f>
        <v>1719500</v>
      </c>
      <c r="J16" s="128" t="s">
        <v>351</v>
      </c>
      <c r="K16" s="126"/>
      <c r="L16" s="127"/>
      <c r="M16" s="5"/>
      <c r="N16" s="5"/>
      <c r="O16" s="5"/>
      <c r="P16" s="5"/>
    </row>
    <row r="17" spans="1:16" ht="76.5" customHeight="1" x14ac:dyDescent="0.25">
      <c r="A17" s="5"/>
      <c r="B17" s="5"/>
      <c r="C17" s="5"/>
      <c r="D17" s="74" t="s">
        <v>279</v>
      </c>
      <c r="E17" s="75"/>
      <c r="F17" s="76"/>
      <c r="G17" s="77" t="s">
        <v>40</v>
      </c>
      <c r="H17" s="77" t="s">
        <v>53</v>
      </c>
      <c r="I17" s="88">
        <f>IF(I11,0,I16*60*D108/1000000)</f>
        <v>515.85</v>
      </c>
      <c r="J17" s="125" t="s">
        <v>374</v>
      </c>
      <c r="K17" s="126"/>
      <c r="L17" s="127"/>
      <c r="M17" s="5"/>
      <c r="N17" s="5"/>
      <c r="O17" s="5"/>
      <c r="P17" s="5"/>
    </row>
    <row r="18" spans="1:16" ht="20.25" customHeight="1" x14ac:dyDescent="0.25">
      <c r="A18" s="5"/>
      <c r="B18" s="5"/>
      <c r="C18" s="5"/>
      <c r="D18" s="74" t="s">
        <v>281</v>
      </c>
      <c r="E18" s="75"/>
      <c r="F18" s="76"/>
      <c r="G18" s="77" t="s">
        <v>41</v>
      </c>
      <c r="H18" s="77" t="s">
        <v>53</v>
      </c>
      <c r="I18" s="88">
        <f>I17</f>
        <v>515.85</v>
      </c>
      <c r="J18" s="125" t="s">
        <v>368</v>
      </c>
      <c r="K18" s="126"/>
      <c r="L18" s="127"/>
      <c r="M18" s="5"/>
      <c r="N18" s="5"/>
      <c r="O18" s="5"/>
      <c r="P18" s="5"/>
    </row>
    <row r="19" spans="1:16" ht="50.25" customHeight="1" x14ac:dyDescent="0.25">
      <c r="A19" s="5"/>
      <c r="B19" s="5"/>
      <c r="C19" s="5"/>
      <c r="D19" s="74" t="s">
        <v>320</v>
      </c>
      <c r="E19" s="75"/>
      <c r="F19" s="76"/>
      <c r="G19" s="77" t="s">
        <v>43</v>
      </c>
      <c r="H19" s="77" t="s">
        <v>213</v>
      </c>
      <c r="I19" s="94">
        <f>I5*I7*C103*(1-D103)/(E103*2)</f>
        <v>20.727272727272727</v>
      </c>
      <c r="J19" s="128" t="s">
        <v>352</v>
      </c>
      <c r="K19" s="126"/>
      <c r="L19" s="127"/>
      <c r="M19" s="5"/>
      <c r="N19" s="5"/>
      <c r="O19" s="5"/>
      <c r="P19" s="5"/>
    </row>
    <row r="20" spans="1:16" ht="59.25" customHeight="1" x14ac:dyDescent="0.25">
      <c r="A20" s="5"/>
      <c r="B20" s="5"/>
      <c r="C20" s="5"/>
      <c r="D20" s="74" t="s">
        <v>321</v>
      </c>
      <c r="E20" s="75"/>
      <c r="F20" s="76"/>
      <c r="G20" s="77" t="s">
        <v>106</v>
      </c>
      <c r="H20" s="77" t="s">
        <v>213</v>
      </c>
      <c r="I20" s="94">
        <f>IF(OR(D126,I11,I14=3),0,I19)+I18/2000</f>
        <v>20.985197727272727</v>
      </c>
      <c r="J20" s="128" t="s">
        <v>353</v>
      </c>
      <c r="K20" s="126"/>
      <c r="L20" s="127"/>
      <c r="M20" s="5"/>
      <c r="N20" s="5"/>
      <c r="O20" s="5"/>
      <c r="P20" s="5"/>
    </row>
    <row r="21" spans="1:16" ht="28.5" customHeight="1" x14ac:dyDescent="0.25">
      <c r="A21" s="5"/>
      <c r="B21" s="5"/>
      <c r="C21" s="5"/>
      <c r="D21" s="130" t="s">
        <v>164</v>
      </c>
      <c r="E21" s="131"/>
      <c r="F21" s="132"/>
      <c r="G21" s="77" t="s">
        <v>44</v>
      </c>
      <c r="H21" s="77" t="s">
        <v>52</v>
      </c>
      <c r="I21" s="87">
        <f>IF(D126,0.6,0)+0.02</f>
        <v>0.02</v>
      </c>
      <c r="J21" s="93" t="s">
        <v>369</v>
      </c>
      <c r="K21" s="7"/>
      <c r="L21" s="8"/>
      <c r="M21" s="5"/>
      <c r="N21" s="5"/>
      <c r="O21" s="5"/>
      <c r="P21" s="5"/>
    </row>
    <row r="22" spans="1:16" ht="13.5" customHeight="1" x14ac:dyDescent="0.25">
      <c r="A22" s="5"/>
      <c r="B22" s="5"/>
      <c r="C22" s="5"/>
      <c r="D22" s="110" t="s">
        <v>322</v>
      </c>
      <c r="E22" s="89"/>
      <c r="F22" s="90"/>
      <c r="G22" s="77" t="s">
        <v>45</v>
      </c>
      <c r="H22" s="77" t="s">
        <v>54</v>
      </c>
      <c r="I22" s="88">
        <f>IF(I14=1,1700,IF(I14=2,2100,2500))</f>
        <v>1700</v>
      </c>
      <c r="J22" s="6" t="s">
        <v>370</v>
      </c>
      <c r="K22" s="43"/>
      <c r="L22" s="45"/>
      <c r="M22" s="5"/>
      <c r="N22" s="5"/>
      <c r="O22" s="5"/>
      <c r="P22" s="5"/>
    </row>
    <row r="23" spans="1:16" x14ac:dyDescent="0.25">
      <c r="A23" s="5"/>
      <c r="B23" s="5"/>
      <c r="C23" s="5"/>
      <c r="D23" s="74" t="s">
        <v>208</v>
      </c>
      <c r="E23" s="75"/>
      <c r="F23" s="76"/>
      <c r="G23" s="77" t="s">
        <v>46</v>
      </c>
      <c r="H23" s="77" t="s">
        <v>54</v>
      </c>
      <c r="I23" s="82">
        <v>30</v>
      </c>
      <c r="J23" s="6" t="s">
        <v>9</v>
      </c>
      <c r="K23" s="43"/>
      <c r="L23" s="45"/>
      <c r="M23" s="5"/>
      <c r="N23" s="5"/>
      <c r="O23" s="5"/>
      <c r="P23" s="5"/>
    </row>
    <row r="24" spans="1:16" x14ac:dyDescent="0.25">
      <c r="A24" s="5"/>
      <c r="B24" s="5"/>
      <c r="C24" s="5"/>
      <c r="D24" s="74" t="s">
        <v>26</v>
      </c>
      <c r="E24" s="75"/>
      <c r="F24" s="76"/>
      <c r="G24" s="77" t="s">
        <v>47</v>
      </c>
      <c r="H24" s="77" t="s">
        <v>56</v>
      </c>
      <c r="I24" s="82">
        <v>0.06</v>
      </c>
      <c r="J24" s="133" t="s">
        <v>9</v>
      </c>
      <c r="K24" s="134"/>
      <c r="L24" s="135"/>
      <c r="M24" s="5"/>
      <c r="N24" s="5"/>
      <c r="O24" s="5"/>
      <c r="P24" s="5"/>
    </row>
    <row r="25" spans="1:16" x14ac:dyDescent="0.25">
      <c r="A25" s="5"/>
      <c r="B25" s="5"/>
      <c r="C25" s="5"/>
      <c r="D25" s="74" t="s">
        <v>323</v>
      </c>
      <c r="E25" s="75"/>
      <c r="F25" s="76"/>
      <c r="G25" s="77" t="s">
        <v>48</v>
      </c>
      <c r="H25" s="77" t="s">
        <v>329</v>
      </c>
      <c r="I25" s="82">
        <v>100</v>
      </c>
      <c r="J25" s="6" t="s">
        <v>9</v>
      </c>
      <c r="K25" s="7"/>
      <c r="L25" s="8"/>
      <c r="M25" s="5"/>
      <c r="N25" s="5"/>
      <c r="O25" s="5"/>
      <c r="P25" s="5"/>
    </row>
    <row r="26" spans="1:16" x14ac:dyDescent="0.25">
      <c r="A26" s="5"/>
      <c r="B26" s="5"/>
      <c r="C26" s="5"/>
      <c r="D26" s="74" t="s">
        <v>324</v>
      </c>
      <c r="E26" s="75"/>
      <c r="F26" s="76"/>
      <c r="G26" s="77" t="s">
        <v>325</v>
      </c>
      <c r="H26" s="77" t="s">
        <v>328</v>
      </c>
      <c r="I26" s="82">
        <v>30</v>
      </c>
      <c r="J26" s="6" t="s">
        <v>9</v>
      </c>
      <c r="K26" s="7"/>
      <c r="L26" s="8"/>
      <c r="M26" s="5"/>
      <c r="N26" s="5"/>
      <c r="O26" s="5"/>
      <c r="P26" s="5"/>
    </row>
    <row r="27" spans="1:16" x14ac:dyDescent="0.25">
      <c r="A27" s="5"/>
      <c r="B27" s="5"/>
      <c r="C27" s="5"/>
      <c r="D27" s="74" t="s">
        <v>28</v>
      </c>
      <c r="E27" s="75"/>
      <c r="F27" s="76"/>
      <c r="G27" s="77" t="s">
        <v>326</v>
      </c>
      <c r="H27" s="77" t="s">
        <v>58</v>
      </c>
      <c r="I27" s="82">
        <v>60</v>
      </c>
      <c r="J27" s="6" t="s">
        <v>73</v>
      </c>
      <c r="K27" s="7"/>
      <c r="L27" s="8"/>
      <c r="M27" s="5"/>
      <c r="N27" s="5"/>
      <c r="O27" s="5"/>
      <c r="P27" s="5"/>
    </row>
    <row r="28" spans="1:1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23.25" x14ac:dyDescent="0.35">
      <c r="A30" s="5"/>
      <c r="B30" s="5"/>
      <c r="C30" s="5"/>
      <c r="D30" s="5"/>
      <c r="E30" s="5"/>
      <c r="F30" s="5"/>
      <c r="G30" s="5"/>
      <c r="H30" s="28" t="s">
        <v>414</v>
      </c>
      <c r="I30" s="5"/>
      <c r="J30" s="5"/>
      <c r="K30" s="5"/>
      <c r="L30" s="5"/>
      <c r="M30" s="5"/>
      <c r="N30" s="5"/>
      <c r="O30" s="5"/>
      <c r="P30" s="5"/>
    </row>
    <row r="31" spans="1:16" x14ac:dyDescent="0.25">
      <c r="A31" s="10" t="s">
        <v>68</v>
      </c>
      <c r="B31" s="10"/>
      <c r="C31" s="10"/>
      <c r="D31" s="10"/>
      <c r="E31" s="10"/>
      <c r="F31" s="10"/>
      <c r="G31" s="10"/>
      <c r="H31" s="10"/>
      <c r="I31" s="10"/>
      <c r="J31" s="10" t="s">
        <v>70</v>
      </c>
      <c r="K31" s="10"/>
      <c r="L31" s="10" t="s">
        <v>71</v>
      </c>
      <c r="M31" s="5"/>
      <c r="N31" s="5"/>
      <c r="O31" s="5"/>
      <c r="P31" s="5"/>
    </row>
    <row r="32" spans="1:16" x14ac:dyDescent="0.25">
      <c r="A32" s="5"/>
      <c r="B32" s="5" t="s">
        <v>69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30.75" customHeight="1" x14ac:dyDescent="0.25">
      <c r="A33" s="5"/>
      <c r="B33" s="5" t="s">
        <v>375</v>
      </c>
      <c r="C33" s="136" t="s">
        <v>376</v>
      </c>
      <c r="D33" s="137"/>
      <c r="E33" s="137"/>
      <c r="F33" s="137"/>
      <c r="G33" s="137"/>
      <c r="H33" s="137"/>
      <c r="I33" s="137"/>
      <c r="J33" s="11">
        <f>ROUND((1600000)*I6*(I17^0.15),-3)</f>
        <v>4083000</v>
      </c>
      <c r="K33" s="5"/>
      <c r="L33" s="5" t="s">
        <v>355</v>
      </c>
      <c r="M33" s="5"/>
      <c r="N33" s="5"/>
      <c r="O33" s="5"/>
      <c r="P33" s="5"/>
    </row>
    <row r="34" spans="1:16" ht="27" customHeight="1" x14ac:dyDescent="0.25">
      <c r="A34" s="5"/>
      <c r="B34" s="5" t="s">
        <v>78</v>
      </c>
      <c r="C34" s="136" t="s">
        <v>379</v>
      </c>
      <c r="D34" s="137"/>
      <c r="E34" s="137"/>
      <c r="F34" s="137"/>
      <c r="G34" s="137"/>
      <c r="H34" s="137"/>
      <c r="I34" s="137"/>
      <c r="J34" s="11">
        <f>ROUND(VLOOKUP(I13,A127:C129,3)*I6*(I16)^0.81,-3)</f>
        <v>0</v>
      </c>
      <c r="K34" s="5"/>
      <c r="L34" s="5" t="s">
        <v>354</v>
      </c>
      <c r="M34" s="5"/>
      <c r="N34" s="5"/>
      <c r="O34" s="5"/>
      <c r="P34" s="5"/>
    </row>
    <row r="35" spans="1:16" x14ac:dyDescent="0.25">
      <c r="A35" s="5"/>
      <c r="B35" s="5" t="s">
        <v>76</v>
      </c>
      <c r="C35" s="114" t="s">
        <v>380</v>
      </c>
      <c r="D35" s="5"/>
      <c r="E35" s="5"/>
      <c r="F35" s="5"/>
      <c r="G35" s="5"/>
      <c r="H35" s="5"/>
      <c r="I35" s="5"/>
      <c r="J35" s="11">
        <f>IF(AND(I11,I9=2),500000,0)</f>
        <v>0</v>
      </c>
      <c r="K35" s="5"/>
      <c r="L35" s="5" t="s">
        <v>377</v>
      </c>
      <c r="M35" s="5"/>
      <c r="N35" s="5"/>
      <c r="O35" s="5"/>
      <c r="P35" s="5"/>
    </row>
    <row r="36" spans="1:16" ht="24.75" customHeight="1" x14ac:dyDescent="0.25">
      <c r="A36" s="5"/>
      <c r="B36" s="5" t="s">
        <v>77</v>
      </c>
      <c r="C36" s="136" t="s">
        <v>381</v>
      </c>
      <c r="D36" s="136"/>
      <c r="E36" s="136"/>
      <c r="F36" s="136"/>
      <c r="G36" s="136"/>
      <c r="H36" s="136"/>
      <c r="I36" s="136"/>
      <c r="J36" s="11">
        <f>IF(OR(AND(I11,I8&lt;&gt;3),AND(I14=1,I8&lt;&gt;3)),1000000,0)</f>
        <v>0</v>
      </c>
      <c r="K36" s="5"/>
      <c r="L36" s="5" t="s">
        <v>378</v>
      </c>
      <c r="M36" s="5"/>
      <c r="N36" s="5"/>
      <c r="O36" s="5"/>
      <c r="P36" s="5"/>
    </row>
    <row r="37" spans="1:16" ht="42.75" customHeight="1" x14ac:dyDescent="0.25">
      <c r="A37" s="5"/>
      <c r="B37" s="5" t="s">
        <v>79</v>
      </c>
      <c r="C37" s="5" t="s">
        <v>382</v>
      </c>
      <c r="D37" s="5"/>
      <c r="E37" s="5"/>
      <c r="F37" s="5"/>
      <c r="G37" s="5"/>
      <c r="H37" s="5"/>
      <c r="I37" s="5"/>
      <c r="J37" s="12">
        <f>SUM(J33:J36)</f>
        <v>4083000</v>
      </c>
      <c r="K37" s="5"/>
      <c r="L37" s="96" t="s">
        <v>356</v>
      </c>
      <c r="M37" s="5"/>
      <c r="N37" s="5"/>
      <c r="O37" s="5"/>
      <c r="P37" s="5"/>
    </row>
    <row r="38" spans="1:16" x14ac:dyDescent="0.25">
      <c r="A38" s="5"/>
      <c r="B38" s="5" t="s">
        <v>74</v>
      </c>
      <c r="C38" s="5"/>
      <c r="D38" s="5"/>
      <c r="E38" s="5"/>
      <c r="F38" s="5"/>
      <c r="G38" s="5"/>
      <c r="H38" s="5"/>
      <c r="I38" s="5"/>
      <c r="J38" s="13">
        <f>J37/(I5*1000)</f>
        <v>8.1660000000000004</v>
      </c>
      <c r="K38" s="5"/>
      <c r="L38" s="5" t="s">
        <v>357</v>
      </c>
      <c r="M38" s="5"/>
      <c r="N38" s="5"/>
      <c r="O38" s="5"/>
      <c r="P38" s="5"/>
    </row>
    <row r="39" spans="1:16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25">
      <c r="A40" s="10" t="s">
        <v>84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x14ac:dyDescent="0.25">
      <c r="A41" s="5"/>
      <c r="B41" s="5" t="s">
        <v>85</v>
      </c>
      <c r="C41" s="5"/>
      <c r="D41" s="5"/>
      <c r="E41" s="5"/>
      <c r="F41" s="5"/>
      <c r="G41" s="5"/>
      <c r="H41" s="5"/>
      <c r="I41" s="5"/>
      <c r="J41" s="11">
        <f>ROUND($J$37*0.1,-3)</f>
        <v>408000</v>
      </c>
      <c r="K41" s="5"/>
      <c r="L41" s="5" t="s">
        <v>138</v>
      </c>
      <c r="M41" s="5"/>
      <c r="N41" s="5"/>
      <c r="O41" s="5"/>
      <c r="P41" s="5"/>
    </row>
    <row r="42" spans="1:16" x14ac:dyDescent="0.25">
      <c r="A42" s="5"/>
      <c r="B42" s="5" t="s">
        <v>383</v>
      </c>
      <c r="C42" s="5"/>
      <c r="D42" s="5"/>
      <c r="E42" s="5"/>
      <c r="F42" s="5"/>
      <c r="G42" s="5"/>
      <c r="H42" s="5"/>
      <c r="I42" s="5"/>
      <c r="J42" s="11">
        <f>ROUND($J$37*IF($I$13&gt;1,0.1,0.05),-3)</f>
        <v>204000</v>
      </c>
      <c r="K42" s="5"/>
      <c r="L42" s="5" t="s">
        <v>139</v>
      </c>
      <c r="M42" s="5"/>
      <c r="N42" s="5"/>
      <c r="O42" s="5"/>
      <c r="P42" s="5"/>
    </row>
    <row r="43" spans="1:16" x14ac:dyDescent="0.25">
      <c r="A43" s="5"/>
      <c r="B43" s="5" t="s">
        <v>384</v>
      </c>
      <c r="C43" s="5"/>
      <c r="D43" s="5"/>
      <c r="E43" s="5"/>
      <c r="F43" s="5"/>
      <c r="G43" s="5"/>
      <c r="H43" s="5"/>
      <c r="I43" s="5"/>
      <c r="J43" s="11">
        <f>ROUND($J$37*IF($I$13&gt;1,0.1,0.05),-3)</f>
        <v>204000</v>
      </c>
      <c r="K43" s="5"/>
      <c r="L43" s="5" t="s">
        <v>140</v>
      </c>
      <c r="M43" s="5"/>
      <c r="N43" s="5"/>
      <c r="O43" s="5"/>
      <c r="P43" s="5"/>
    </row>
    <row r="44" spans="1:16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x14ac:dyDescent="0.25">
      <c r="A45" s="5"/>
      <c r="B45" s="10" t="s">
        <v>88</v>
      </c>
      <c r="C45" s="10"/>
      <c r="D45" s="10"/>
      <c r="E45" s="10"/>
      <c r="F45" s="10"/>
      <c r="G45" s="10"/>
      <c r="H45" s="10"/>
      <c r="I45" s="10"/>
      <c r="J45" s="14">
        <f>SUM(J37+J41+J42+J43)</f>
        <v>4899000</v>
      </c>
      <c r="K45" s="5"/>
      <c r="L45" s="5" t="s">
        <v>141</v>
      </c>
      <c r="M45" s="5"/>
      <c r="N45" s="5"/>
      <c r="O45" s="5"/>
      <c r="P45" s="5"/>
    </row>
    <row r="46" spans="1:16" x14ac:dyDescent="0.25">
      <c r="A46" s="5"/>
      <c r="B46" s="10" t="s">
        <v>304</v>
      </c>
      <c r="C46" s="10"/>
      <c r="D46" s="10"/>
      <c r="E46" s="10"/>
      <c r="F46" s="10"/>
      <c r="G46" s="10"/>
      <c r="H46" s="10"/>
      <c r="I46" s="10"/>
      <c r="J46" s="15">
        <f>J45/(I5*1000)</f>
        <v>9.798</v>
      </c>
      <c r="K46" s="5"/>
      <c r="L46" s="5" t="s">
        <v>142</v>
      </c>
      <c r="M46" s="5"/>
      <c r="N46" s="5"/>
      <c r="O46" s="5"/>
      <c r="P46" s="5"/>
    </row>
    <row r="47" spans="1:16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x14ac:dyDescent="0.25">
      <c r="A48" s="5"/>
      <c r="B48" s="5" t="s">
        <v>268</v>
      </c>
      <c r="C48" s="5"/>
      <c r="D48" s="5"/>
      <c r="E48" s="5"/>
      <c r="F48" s="5"/>
      <c r="G48" s="5"/>
      <c r="H48" s="5"/>
      <c r="I48" s="5"/>
      <c r="J48" s="11">
        <f>ROUND((J45)*IF(I3,0.02,0.05),-3)</f>
        <v>245000</v>
      </c>
      <c r="K48" s="5"/>
      <c r="L48" s="5" t="s">
        <v>143</v>
      </c>
      <c r="M48" s="5"/>
      <c r="N48" s="5"/>
      <c r="O48" s="5"/>
      <c r="P48" s="5"/>
    </row>
    <row r="49" spans="1:16" ht="50.25" customHeight="1" x14ac:dyDescent="0.25">
      <c r="A49" s="5"/>
      <c r="B49" s="122" t="s">
        <v>371</v>
      </c>
      <c r="C49" s="5"/>
      <c r="D49" s="5"/>
      <c r="E49" s="5"/>
      <c r="F49" s="5"/>
      <c r="G49" s="5"/>
      <c r="H49" s="5"/>
      <c r="I49" s="5"/>
      <c r="J49" s="11">
        <f>ROUND((J45+J48)*IF(I13&gt;1,0.06,0),-3)</f>
        <v>0</v>
      </c>
      <c r="K49" s="5"/>
      <c r="L49" s="5" t="s">
        <v>358</v>
      </c>
      <c r="M49" s="5"/>
      <c r="N49" s="5"/>
      <c r="O49" s="5"/>
      <c r="P49" s="5"/>
    </row>
    <row r="50" spans="1:16" x14ac:dyDescent="0.25">
      <c r="A50" s="5"/>
      <c r="B50" s="122" t="s">
        <v>267</v>
      </c>
      <c r="C50" s="5"/>
      <c r="D50" s="5"/>
      <c r="E50" s="5"/>
      <c r="F50" s="5"/>
      <c r="G50" s="5"/>
      <c r="H50" s="5"/>
      <c r="I50" s="5"/>
      <c r="J50" s="11">
        <f>ROUND((J45+J48)*IF(I3,0.15,0),-3)</f>
        <v>0</v>
      </c>
      <c r="K50" s="5"/>
      <c r="L50" s="5" t="s">
        <v>231</v>
      </c>
      <c r="M50" s="5"/>
      <c r="N50" s="5"/>
      <c r="O50" s="5"/>
      <c r="P50" s="5"/>
    </row>
    <row r="51" spans="1:16" ht="24.75" customHeight="1" x14ac:dyDescent="0.25">
      <c r="A51" s="5"/>
      <c r="B51" s="5" t="s">
        <v>372</v>
      </c>
      <c r="C51" s="5"/>
      <c r="D51" s="5"/>
      <c r="E51" s="5"/>
      <c r="F51" s="5"/>
      <c r="G51" s="5"/>
      <c r="H51" s="5"/>
      <c r="I51" s="5"/>
      <c r="J51" s="11">
        <f>IF(OR(AND(I11,I8&lt;&gt;3),AND(I14=1,I8&lt;&gt;3)),2500*I5,0)</f>
        <v>0</v>
      </c>
      <c r="K51" s="5"/>
      <c r="L51" s="5" t="s">
        <v>385</v>
      </c>
      <c r="M51" s="5"/>
      <c r="N51" s="5"/>
      <c r="O51" s="5"/>
      <c r="P51" s="5"/>
    </row>
    <row r="52" spans="1:16" ht="24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x14ac:dyDescent="0.25">
      <c r="A53" s="5"/>
      <c r="B53" s="10" t="s">
        <v>418</v>
      </c>
      <c r="C53" s="10"/>
      <c r="D53" s="10"/>
      <c r="E53" s="10"/>
      <c r="F53" s="10"/>
      <c r="G53" s="10"/>
      <c r="H53" s="10"/>
      <c r="I53" s="10"/>
      <c r="J53" s="14">
        <f>J45+J48+J49+J50+J51</f>
        <v>5144000</v>
      </c>
      <c r="K53" s="5"/>
      <c r="L53" s="5" t="s">
        <v>147</v>
      </c>
      <c r="M53" s="5"/>
      <c r="N53" s="5"/>
      <c r="O53" s="5"/>
      <c r="P53" s="5"/>
    </row>
    <row r="54" spans="1:16" x14ac:dyDescent="0.25">
      <c r="A54" s="5"/>
      <c r="B54" s="10" t="s">
        <v>233</v>
      </c>
      <c r="C54" s="10"/>
      <c r="D54" s="10"/>
      <c r="E54" s="10"/>
      <c r="F54" s="10"/>
      <c r="G54" s="10"/>
      <c r="H54" s="10"/>
      <c r="I54" s="10"/>
      <c r="J54" s="15">
        <f>J53/(I5*1000)</f>
        <v>10.288</v>
      </c>
      <c r="K54" s="5"/>
      <c r="L54" s="5" t="s">
        <v>148</v>
      </c>
      <c r="M54" s="5"/>
      <c r="N54" s="5"/>
      <c r="O54" s="5"/>
      <c r="P54" s="5"/>
    </row>
    <row r="55" spans="1:16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x14ac:dyDescent="0.25">
      <c r="A56" s="5" t="s">
        <v>93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x14ac:dyDescent="0.25">
      <c r="A57" s="5"/>
      <c r="B57" s="5" t="s">
        <v>386</v>
      </c>
      <c r="C57" s="5"/>
      <c r="D57" s="5"/>
      <c r="E57" s="5"/>
      <c r="F57" s="5"/>
      <c r="G57" s="5"/>
      <c r="H57" s="5"/>
      <c r="I57" s="5"/>
      <c r="J57" s="16">
        <f>ROUND(0*2080*I27/(I5*1000),3)</f>
        <v>0</v>
      </c>
      <c r="K57" s="5"/>
      <c r="L57" s="5" t="s">
        <v>149</v>
      </c>
      <c r="M57" s="5"/>
      <c r="N57" s="5"/>
      <c r="O57" s="5"/>
      <c r="P57" s="5"/>
    </row>
    <row r="58" spans="1:16" x14ac:dyDescent="0.25">
      <c r="A58" s="5"/>
      <c r="B58" s="5" t="s">
        <v>387</v>
      </c>
      <c r="C58" s="5"/>
      <c r="D58" s="5"/>
      <c r="E58" s="5"/>
      <c r="F58" s="5"/>
      <c r="G58" s="5"/>
      <c r="H58" s="5"/>
      <c r="I58" s="5"/>
      <c r="J58" s="16">
        <f>ROUND(J37/(I6*I5*1000)*IF(I13=1,0.01,0.005),3)</f>
        <v>8.2000000000000003E-2</v>
      </c>
      <c r="K58" s="5"/>
      <c r="L58" s="5" t="s">
        <v>150</v>
      </c>
      <c r="M58" s="5"/>
      <c r="N58" s="5"/>
      <c r="O58" s="5"/>
      <c r="P58" s="5"/>
    </row>
    <row r="59" spans="1:16" x14ac:dyDescent="0.25">
      <c r="A59" s="5"/>
      <c r="B59" s="5" t="s">
        <v>98</v>
      </c>
      <c r="C59" s="5"/>
      <c r="D59" s="5"/>
      <c r="E59" s="5"/>
      <c r="F59" s="5"/>
      <c r="G59" s="5"/>
      <c r="H59" s="5"/>
      <c r="I59" s="5"/>
      <c r="J59" s="16">
        <f>ROUND(0.03*(J57+0.4*J58),4)</f>
        <v>1E-3</v>
      </c>
      <c r="K59" s="5"/>
      <c r="L59" s="5" t="s">
        <v>151</v>
      </c>
      <c r="M59" s="5"/>
      <c r="N59" s="5"/>
      <c r="O59" s="5"/>
      <c r="P59" s="5"/>
    </row>
    <row r="60" spans="1:16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25">
      <c r="A62" s="5"/>
      <c r="B62" s="10" t="s">
        <v>99</v>
      </c>
      <c r="C62" s="10"/>
      <c r="D62" s="10"/>
      <c r="E62" s="10"/>
      <c r="F62" s="10"/>
      <c r="G62" s="10"/>
      <c r="H62" s="10"/>
      <c r="I62" s="10"/>
      <c r="J62" s="17">
        <f>SUM(J57+J58+J59)</f>
        <v>8.3000000000000004E-2</v>
      </c>
      <c r="K62" s="5"/>
      <c r="L62" s="5" t="s">
        <v>152</v>
      </c>
      <c r="M62" s="5"/>
      <c r="N62" s="5"/>
      <c r="O62" s="5"/>
      <c r="P62" s="5"/>
    </row>
    <row r="63" spans="1:16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x14ac:dyDescent="0.25">
      <c r="A64" s="5" t="s">
        <v>100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x14ac:dyDescent="0.25">
      <c r="A65" s="5"/>
      <c r="B65" s="5" t="s">
        <v>388</v>
      </c>
      <c r="C65" s="5"/>
      <c r="D65" s="5"/>
      <c r="E65" s="5"/>
      <c r="F65" s="5"/>
      <c r="G65" s="5"/>
      <c r="H65" s="5"/>
      <c r="I65" s="5"/>
      <c r="J65" s="16">
        <f>ROUND(I17*I22/(2000*I5),3)</f>
        <v>0.877</v>
      </c>
      <c r="K65" s="5"/>
      <c r="L65" s="5" t="s">
        <v>394</v>
      </c>
      <c r="M65" s="5"/>
      <c r="N65" s="5"/>
      <c r="O65" s="5"/>
      <c r="P65" s="5"/>
    </row>
    <row r="66" spans="1:16" x14ac:dyDescent="0.25">
      <c r="A66" s="5"/>
      <c r="B66" s="5" t="s">
        <v>389</v>
      </c>
      <c r="C66" s="5"/>
      <c r="D66" s="5"/>
      <c r="E66" s="5"/>
      <c r="F66" s="5"/>
      <c r="G66" s="5"/>
      <c r="H66" s="5"/>
      <c r="I66" s="5"/>
      <c r="J66" s="16">
        <f xml:space="preserve"> ROUND(I20*I23/I5,3)</f>
        <v>1.2589999999999999</v>
      </c>
      <c r="K66" s="5"/>
      <c r="L66" s="5" t="s">
        <v>360</v>
      </c>
      <c r="M66" s="5"/>
      <c r="N66" s="5"/>
      <c r="O66" s="5"/>
      <c r="P66" s="5"/>
    </row>
    <row r="67" spans="1:16" x14ac:dyDescent="0.25">
      <c r="A67" s="5"/>
      <c r="B67" s="5" t="s">
        <v>390</v>
      </c>
      <c r="C67" s="5"/>
      <c r="D67" s="5"/>
      <c r="E67" s="5"/>
      <c r="F67" s="5"/>
      <c r="G67" s="5"/>
      <c r="H67" s="5"/>
      <c r="I67" s="5"/>
      <c r="J67" s="18">
        <f>IF(B137,I21*I24*10,0)</f>
        <v>1.1999999999999999E-2</v>
      </c>
      <c r="K67" s="5"/>
      <c r="L67" s="5" t="s">
        <v>361</v>
      </c>
      <c r="M67" s="5"/>
      <c r="N67" s="5"/>
      <c r="O67" s="5"/>
      <c r="P67" s="5"/>
    </row>
    <row r="68" spans="1:16" ht="43.5" customHeight="1" x14ac:dyDescent="0.25">
      <c r="A68" s="5"/>
      <c r="B68" s="129" t="s">
        <v>391</v>
      </c>
      <c r="C68" s="138"/>
      <c r="D68" s="138"/>
      <c r="E68" s="138"/>
      <c r="F68" s="138"/>
      <c r="G68" s="138"/>
      <c r="H68" s="138"/>
      <c r="I68" s="138"/>
      <c r="J68" s="18">
        <f>ROUNDUP(VLOOKUP(I13,A127:H129,7)*VLOOKUP(I13,A127:H129,8),3)</f>
        <v>0</v>
      </c>
      <c r="K68" s="5"/>
      <c r="L68" s="5" t="s">
        <v>359</v>
      </c>
      <c r="M68" s="5"/>
      <c r="N68" s="5"/>
      <c r="O68" s="5"/>
      <c r="P68" s="5"/>
    </row>
    <row r="69" spans="1:16" ht="24" customHeight="1" x14ac:dyDescent="0.25">
      <c r="A69" s="5"/>
      <c r="B69" s="5" t="s">
        <v>392</v>
      </c>
      <c r="C69" s="113"/>
      <c r="D69" s="113"/>
      <c r="E69" s="113"/>
      <c r="F69" s="113"/>
      <c r="G69" s="113"/>
      <c r="H69" s="113"/>
      <c r="I69" s="113"/>
      <c r="J69" s="18">
        <f>IF(AND(I11,I9=2),230/I5,0)</f>
        <v>0</v>
      </c>
      <c r="K69" s="5"/>
      <c r="L69" s="5" t="s">
        <v>395</v>
      </c>
      <c r="M69" s="5"/>
      <c r="N69" s="5"/>
      <c r="O69" s="5"/>
      <c r="P69" s="5"/>
    </row>
    <row r="70" spans="1:16" ht="43.5" customHeight="1" x14ac:dyDescent="0.25">
      <c r="A70" s="5"/>
      <c r="B70" s="129" t="s">
        <v>393</v>
      </c>
      <c r="C70" s="129"/>
      <c r="D70" s="129"/>
      <c r="E70" s="129"/>
      <c r="F70" s="129"/>
      <c r="G70" s="129"/>
      <c r="H70" s="129"/>
      <c r="I70" s="129"/>
      <c r="J70" s="18">
        <f>IF(OR(AND(I11,I8&lt;&gt;3),AND(I14=1,I8&lt;&gt;3)),0.0298*I7/1000,0)</f>
        <v>0</v>
      </c>
      <c r="K70" s="5"/>
      <c r="L70" s="5" t="s">
        <v>396</v>
      </c>
      <c r="M70" s="5"/>
      <c r="N70" s="5"/>
      <c r="O70" s="5"/>
      <c r="P70" s="5"/>
    </row>
    <row r="71" spans="1:16" x14ac:dyDescent="0.25">
      <c r="A71" s="5"/>
      <c r="B71" s="10" t="s">
        <v>412</v>
      </c>
      <c r="C71" s="10"/>
      <c r="D71" s="10"/>
      <c r="E71" s="10"/>
      <c r="F71" s="10"/>
      <c r="G71" s="10"/>
      <c r="H71" s="10"/>
      <c r="I71" s="10"/>
      <c r="J71" s="17">
        <f>SUM(J65:J70)</f>
        <v>2.1480000000000001</v>
      </c>
      <c r="K71" s="5"/>
      <c r="L71" s="5" t="s">
        <v>157</v>
      </c>
      <c r="M71" s="5"/>
      <c r="N71" s="5"/>
      <c r="O71" s="5"/>
      <c r="P71" s="5"/>
    </row>
    <row r="72" spans="1:16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x14ac:dyDescent="0.25">
      <c r="A73" s="5"/>
      <c r="B73" s="5"/>
      <c r="C73" s="5"/>
      <c r="D73" s="5"/>
      <c r="E73" s="5"/>
      <c r="F73" s="5"/>
      <c r="G73" s="19" t="s">
        <v>110</v>
      </c>
      <c r="H73" s="29">
        <f>I4/100</f>
        <v>0.85</v>
      </c>
      <c r="I73" s="5"/>
      <c r="J73" s="5"/>
      <c r="K73" s="5"/>
      <c r="L73" s="5"/>
      <c r="M73" s="5"/>
      <c r="N73" s="5"/>
      <c r="O73" s="5"/>
      <c r="P73" s="5"/>
    </row>
    <row r="74" spans="1:16" x14ac:dyDescent="0.25">
      <c r="A74" s="5"/>
      <c r="B74" s="5"/>
      <c r="C74" s="5"/>
      <c r="D74" s="5"/>
      <c r="E74" s="5"/>
      <c r="F74" s="5"/>
      <c r="G74" s="19" t="s">
        <v>111</v>
      </c>
      <c r="H74" s="20">
        <f>H73*I5*8760</f>
        <v>3723000</v>
      </c>
      <c r="I74" s="5"/>
      <c r="J74" s="5"/>
      <c r="K74" s="5"/>
      <c r="L74" s="5"/>
      <c r="M74" s="5"/>
      <c r="N74" s="5"/>
      <c r="O74" s="5"/>
      <c r="P74" s="5"/>
    </row>
    <row r="75" spans="1:16" x14ac:dyDescent="0.25">
      <c r="A75" s="5"/>
      <c r="B75" s="5"/>
      <c r="C75" s="5"/>
      <c r="D75" s="5"/>
      <c r="E75" s="5"/>
      <c r="F75" s="5"/>
      <c r="G75" s="19" t="s">
        <v>112</v>
      </c>
      <c r="H75" s="21">
        <f>H74*1000*I7/1000000</f>
        <v>35368500</v>
      </c>
      <c r="I75" s="5"/>
      <c r="J75" s="5"/>
      <c r="K75" s="5"/>
      <c r="L75" s="5"/>
      <c r="M75" s="5"/>
      <c r="N75" s="5"/>
      <c r="O75" s="5"/>
      <c r="P75" s="5"/>
    </row>
    <row r="76" spans="1:16" x14ac:dyDescent="0.25">
      <c r="A76" s="5"/>
      <c r="B76" s="5"/>
      <c r="C76" s="5"/>
      <c r="D76" s="5"/>
      <c r="E76" s="5"/>
      <c r="F76" s="5"/>
      <c r="G76" s="19" t="s">
        <v>397</v>
      </c>
      <c r="H76" s="99" t="s">
        <v>362</v>
      </c>
      <c r="I76" s="5"/>
      <c r="J76" s="5"/>
      <c r="K76" s="5"/>
      <c r="L76" s="5"/>
      <c r="M76" s="5"/>
      <c r="N76" s="5"/>
      <c r="O76" s="5"/>
      <c r="P76" s="5"/>
    </row>
    <row r="77" spans="1:16" x14ac:dyDescent="0.25">
      <c r="A77" s="5"/>
      <c r="B77" s="5"/>
      <c r="C77" s="5"/>
      <c r="D77" s="5"/>
      <c r="E77" s="5"/>
      <c r="F77" s="5"/>
      <c r="G77" s="19" t="s">
        <v>398</v>
      </c>
      <c r="H77" s="99" t="s">
        <v>362</v>
      </c>
      <c r="I77" s="5"/>
      <c r="J77" s="5"/>
      <c r="K77" s="5"/>
      <c r="L77" s="5"/>
      <c r="M77" s="5"/>
      <c r="N77" s="5"/>
      <c r="O77" s="5"/>
      <c r="P77" s="5"/>
    </row>
    <row r="78" spans="1:16" x14ac:dyDescent="0.25">
      <c r="A78" s="5"/>
      <c r="B78" s="5"/>
      <c r="C78" s="5"/>
      <c r="D78" s="5"/>
      <c r="E78" s="5"/>
      <c r="F78" s="5"/>
      <c r="G78" s="19" t="s">
        <v>399</v>
      </c>
      <c r="H78" s="99" t="s">
        <v>362</v>
      </c>
      <c r="I78" s="5"/>
      <c r="J78" s="5"/>
      <c r="K78" s="5"/>
      <c r="L78" s="5"/>
      <c r="M78" s="5"/>
      <c r="N78" s="5"/>
      <c r="O78" s="5"/>
      <c r="P78" s="5"/>
    </row>
    <row r="79" spans="1:16" x14ac:dyDescent="0.25">
      <c r="A79" s="5"/>
      <c r="B79" s="5"/>
      <c r="C79" s="5"/>
      <c r="D79" s="5"/>
      <c r="E79" s="5"/>
      <c r="F79" s="5"/>
      <c r="G79" s="19" t="s">
        <v>400</v>
      </c>
      <c r="H79" s="99" t="s">
        <v>362</v>
      </c>
      <c r="I79" s="5"/>
      <c r="J79" s="5"/>
      <c r="K79" s="5"/>
      <c r="L79" s="5"/>
      <c r="M79" s="5"/>
      <c r="N79" s="5"/>
      <c r="O79" s="5"/>
      <c r="P79" s="5"/>
    </row>
    <row r="80" spans="1:16" x14ac:dyDescent="0.25">
      <c r="A80" s="5"/>
      <c r="B80" s="5"/>
      <c r="C80" s="5"/>
      <c r="D80" s="98"/>
      <c r="E80" s="98"/>
      <c r="F80" s="98"/>
      <c r="G80" s="99"/>
      <c r="H80" s="99"/>
      <c r="I80" s="5"/>
      <c r="J80" s="5"/>
      <c r="K80" s="5"/>
      <c r="L80" s="5"/>
      <c r="M80" s="5"/>
      <c r="N80" s="5"/>
      <c r="O80" s="5"/>
      <c r="P80" s="5"/>
    </row>
    <row r="81" spans="1:16" x14ac:dyDescent="0.25">
      <c r="A81" s="5"/>
      <c r="B81" s="5"/>
      <c r="C81" s="5"/>
      <c r="D81" s="5"/>
      <c r="E81" s="5"/>
      <c r="F81" s="5"/>
      <c r="G81" s="19" t="s">
        <v>117</v>
      </c>
      <c r="H81" s="30">
        <f>0.143</f>
        <v>0.14299999999999999</v>
      </c>
      <c r="I81" s="5" t="s">
        <v>401</v>
      </c>
      <c r="J81" s="5"/>
      <c r="K81" s="5"/>
      <c r="L81" s="5"/>
      <c r="M81" s="5"/>
      <c r="N81" s="5"/>
      <c r="O81" s="5"/>
      <c r="P81" s="5"/>
    </row>
    <row r="82" spans="1:16" x14ac:dyDescent="0.25">
      <c r="A82" s="5"/>
      <c r="B82" s="5"/>
      <c r="C82" s="5"/>
      <c r="D82" s="5"/>
      <c r="E82" s="5"/>
      <c r="F82" s="5"/>
      <c r="G82" s="5"/>
      <c r="H82" s="19" t="s">
        <v>118</v>
      </c>
      <c r="I82" s="20">
        <f>ROUND(H81*J53,-3)</f>
        <v>736000</v>
      </c>
      <c r="J82" s="5"/>
      <c r="K82" s="5"/>
      <c r="L82" s="5"/>
      <c r="M82" s="5"/>
      <c r="N82" s="5"/>
      <c r="O82" s="5"/>
      <c r="P82" s="5"/>
    </row>
    <row r="83" spans="1:16" x14ac:dyDescent="0.25">
      <c r="A83" s="5"/>
      <c r="B83" s="5"/>
      <c r="C83" s="5"/>
      <c r="D83" s="5"/>
      <c r="E83" s="5"/>
      <c r="F83" s="5"/>
      <c r="G83" s="5"/>
      <c r="H83" s="19" t="s">
        <v>119</v>
      </c>
      <c r="I83" s="20">
        <f>ROUND(J62*I5*1000,-3)</f>
        <v>42000</v>
      </c>
      <c r="J83" s="5"/>
      <c r="K83" s="5"/>
      <c r="L83" s="5"/>
      <c r="M83" s="5"/>
      <c r="N83" s="5"/>
      <c r="O83" s="5"/>
      <c r="P83" s="5"/>
    </row>
    <row r="84" spans="1:16" x14ac:dyDescent="0.25">
      <c r="A84" s="5"/>
      <c r="B84" s="5"/>
      <c r="C84" s="5"/>
      <c r="D84" s="5"/>
      <c r="E84" s="5"/>
      <c r="F84" s="5"/>
      <c r="G84" s="5"/>
      <c r="H84" s="19" t="s">
        <v>120</v>
      </c>
      <c r="I84" s="20">
        <f>ROUND(J71*H74,-3)</f>
        <v>7997000</v>
      </c>
      <c r="J84" s="5"/>
      <c r="K84" s="5"/>
      <c r="L84" s="5"/>
      <c r="M84" s="5"/>
      <c r="N84" s="5"/>
      <c r="O84" s="5"/>
      <c r="P84" s="5"/>
    </row>
    <row r="85" spans="1:16" x14ac:dyDescent="0.25">
      <c r="A85" s="5"/>
      <c r="B85" s="5"/>
      <c r="C85" s="5"/>
      <c r="D85" s="5"/>
      <c r="E85" s="5"/>
      <c r="F85" s="5"/>
      <c r="G85" s="48"/>
      <c r="H85" s="49" t="s">
        <v>121</v>
      </c>
      <c r="I85" s="50">
        <f>SUM(I82:I84)</f>
        <v>8775000</v>
      </c>
      <c r="J85" s="5"/>
      <c r="K85" s="5"/>
      <c r="L85" s="5"/>
      <c r="M85" s="5"/>
      <c r="N85" s="5"/>
      <c r="O85" s="5"/>
      <c r="P85" s="5"/>
    </row>
    <row r="86" spans="1:16" ht="15.75" thickBo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15.75" thickTop="1" x14ac:dyDescent="0.25">
      <c r="A87" s="5"/>
      <c r="B87" s="5"/>
      <c r="C87" s="5"/>
      <c r="D87" s="5"/>
      <c r="E87" s="5"/>
      <c r="F87" s="5"/>
      <c r="G87" s="52"/>
      <c r="H87" s="53" t="s">
        <v>122</v>
      </c>
      <c r="I87" s="55">
        <f>I82/$H$74</f>
        <v>0.19769003491807682</v>
      </c>
      <c r="J87" s="5"/>
      <c r="K87" s="5"/>
      <c r="L87" s="5"/>
      <c r="M87" s="5"/>
      <c r="N87" s="5"/>
      <c r="O87" s="5"/>
      <c r="P87" s="5"/>
    </row>
    <row r="88" spans="1:16" x14ac:dyDescent="0.25">
      <c r="A88" s="5"/>
      <c r="B88" s="5"/>
      <c r="C88" s="5"/>
      <c r="D88" s="5"/>
      <c r="E88" s="5"/>
      <c r="F88" s="5"/>
      <c r="G88" s="5"/>
      <c r="H88" s="19" t="s">
        <v>123</v>
      </c>
      <c r="I88" s="22">
        <f t="shared" ref="I88:I89" si="0">I83/$H$74</f>
        <v>1.1281224818694601E-2</v>
      </c>
      <c r="J88" s="5"/>
      <c r="K88" s="5"/>
      <c r="L88" s="5"/>
      <c r="M88" s="5"/>
      <c r="N88" s="5"/>
      <c r="O88" s="5"/>
      <c r="P88" s="5"/>
    </row>
    <row r="89" spans="1:16" x14ac:dyDescent="0.25">
      <c r="A89" s="5"/>
      <c r="B89" s="5"/>
      <c r="C89" s="5"/>
      <c r="D89" s="5"/>
      <c r="E89" s="5"/>
      <c r="F89" s="5"/>
      <c r="G89" s="5"/>
      <c r="H89" s="19" t="s">
        <v>124</v>
      </c>
      <c r="I89" s="22">
        <f t="shared" si="0"/>
        <v>2.1479989255976362</v>
      </c>
      <c r="J89" s="5"/>
      <c r="K89" s="5"/>
      <c r="L89" s="5"/>
      <c r="M89" s="5"/>
      <c r="N89" s="5"/>
      <c r="O89" s="5"/>
      <c r="P89" s="5"/>
    </row>
    <row r="90" spans="1:16" x14ac:dyDescent="0.25">
      <c r="A90" s="5"/>
      <c r="B90" s="5"/>
      <c r="C90" s="5"/>
      <c r="D90" s="5"/>
      <c r="E90" s="5"/>
      <c r="F90" s="5"/>
      <c r="G90" s="48"/>
      <c r="H90" s="49" t="s">
        <v>125</v>
      </c>
      <c r="I90" s="51">
        <f>SUM(I87:I89)</f>
        <v>2.3569701853344074</v>
      </c>
      <c r="J90" s="5"/>
      <c r="K90" s="5"/>
      <c r="L90" s="5"/>
      <c r="M90" s="5"/>
      <c r="N90" s="5"/>
      <c r="O90" s="5"/>
      <c r="P90" s="5"/>
    </row>
    <row r="91" spans="1:16" ht="15.75" thickBo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ht="15.75" thickTop="1" x14ac:dyDescent="0.25">
      <c r="A92" s="5"/>
      <c r="B92" s="5"/>
      <c r="C92" s="5"/>
      <c r="D92" s="5"/>
      <c r="E92" s="5"/>
      <c r="F92" s="5"/>
      <c r="G92" s="52"/>
      <c r="H92" s="53" t="s">
        <v>126</v>
      </c>
      <c r="I92" s="111" t="s">
        <v>362</v>
      </c>
      <c r="J92" s="5"/>
      <c r="K92" s="5"/>
      <c r="L92" s="5"/>
      <c r="M92" s="5"/>
      <c r="N92" s="5"/>
      <c r="O92" s="5"/>
      <c r="P92" s="5"/>
    </row>
    <row r="93" spans="1:16" x14ac:dyDescent="0.25">
      <c r="A93" s="5"/>
      <c r="B93" s="5"/>
      <c r="C93" s="5"/>
      <c r="D93" s="5"/>
      <c r="E93" s="5"/>
      <c r="F93" s="5"/>
      <c r="G93" s="5"/>
      <c r="H93" s="19" t="s">
        <v>127</v>
      </c>
      <c r="I93" s="111" t="s">
        <v>362</v>
      </c>
      <c r="J93" s="5"/>
      <c r="K93" s="5"/>
      <c r="L93" s="5"/>
      <c r="M93" s="5"/>
      <c r="N93" s="5"/>
      <c r="O93" s="5"/>
      <c r="P93" s="5"/>
    </row>
    <row r="94" spans="1:16" x14ac:dyDescent="0.25">
      <c r="A94" s="5"/>
      <c r="B94" s="5"/>
      <c r="C94" s="5"/>
      <c r="D94" s="5"/>
      <c r="E94" s="5"/>
      <c r="F94" s="5"/>
      <c r="G94" s="5"/>
      <c r="H94" s="19" t="s">
        <v>128</v>
      </c>
      <c r="I94" s="112" t="s">
        <v>362</v>
      </c>
      <c r="J94" s="5"/>
      <c r="K94" s="5"/>
      <c r="L94" s="5"/>
      <c r="M94" s="5"/>
      <c r="N94" s="5"/>
      <c r="O94" s="5"/>
      <c r="P94" s="5"/>
    </row>
    <row r="95" spans="1:16" x14ac:dyDescent="0.25">
      <c r="A95" s="5"/>
      <c r="B95" s="5"/>
      <c r="C95" s="5"/>
      <c r="D95" s="5"/>
      <c r="E95" s="5"/>
      <c r="F95" s="5"/>
      <c r="G95" s="48"/>
      <c r="H95" s="49" t="s">
        <v>129</v>
      </c>
      <c r="I95" s="111" t="s">
        <v>362</v>
      </c>
      <c r="J95" s="5"/>
      <c r="K95" s="5"/>
      <c r="L95" s="5"/>
      <c r="M95" s="5"/>
      <c r="N95" s="5"/>
      <c r="O95" s="5"/>
      <c r="P95" s="5"/>
    </row>
    <row r="96" spans="1:16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x14ac:dyDescent="0.25">
      <c r="A98" t="s">
        <v>131</v>
      </c>
      <c r="J98" s="5"/>
      <c r="K98" s="5"/>
      <c r="L98" s="5"/>
      <c r="M98" s="5"/>
      <c r="N98" s="5"/>
      <c r="O98" s="5"/>
      <c r="P98" s="5"/>
    </row>
    <row r="99" spans="1:16" x14ac:dyDescent="0.25">
      <c r="B99" t="s">
        <v>158</v>
      </c>
      <c r="C99" s="61" t="s">
        <v>283</v>
      </c>
      <c r="D99" t="s">
        <v>284</v>
      </c>
      <c r="E99" t="s">
        <v>285</v>
      </c>
      <c r="G99" t="s">
        <v>331</v>
      </c>
      <c r="J99" s="5"/>
      <c r="K99" s="5"/>
      <c r="L99" s="5"/>
      <c r="M99" s="5"/>
      <c r="N99" s="5"/>
      <c r="O99" s="5"/>
      <c r="P99" s="5"/>
    </row>
    <row r="100" spans="1:16" x14ac:dyDescent="0.25">
      <c r="A100">
        <v>1</v>
      </c>
      <c r="B100" t="s">
        <v>160</v>
      </c>
      <c r="C100" s="70">
        <v>0.06</v>
      </c>
      <c r="D100" s="70">
        <v>0.2</v>
      </c>
      <c r="E100" s="61">
        <v>8400</v>
      </c>
      <c r="F100" s="101"/>
      <c r="G100">
        <v>0.4</v>
      </c>
      <c r="J100" s="5"/>
      <c r="K100" s="5"/>
      <c r="L100" s="5"/>
      <c r="M100" s="5"/>
      <c r="N100" s="5"/>
      <c r="O100" s="5"/>
      <c r="P100" s="5"/>
    </row>
    <row r="101" spans="1:16" x14ac:dyDescent="0.25">
      <c r="A101">
        <v>2</v>
      </c>
      <c r="B101" t="s">
        <v>161</v>
      </c>
      <c r="C101" s="70">
        <v>0.08</v>
      </c>
      <c r="D101" s="70">
        <v>0.2</v>
      </c>
      <c r="E101" s="61">
        <v>7200</v>
      </c>
      <c r="F101" s="101"/>
      <c r="G101">
        <v>0.435</v>
      </c>
      <c r="J101" s="5"/>
      <c r="K101" s="5"/>
      <c r="L101" s="5"/>
      <c r="M101" s="5"/>
      <c r="N101" s="5"/>
      <c r="O101" s="5"/>
      <c r="P101" s="5"/>
    </row>
    <row r="102" spans="1:16" x14ac:dyDescent="0.25">
      <c r="A102">
        <v>3</v>
      </c>
      <c r="B102" t="s">
        <v>162</v>
      </c>
      <c r="C102" s="70">
        <v>0.12</v>
      </c>
      <c r="D102" s="70">
        <v>0.2</v>
      </c>
      <c r="E102" s="61">
        <v>11000</v>
      </c>
      <c r="F102" s="101"/>
      <c r="G102">
        <v>0.36199999999999999</v>
      </c>
      <c r="J102" s="5"/>
      <c r="K102" s="5"/>
      <c r="L102" s="5"/>
      <c r="M102" s="5"/>
      <c r="N102" s="5"/>
      <c r="O102" s="5"/>
      <c r="P102" s="5"/>
    </row>
    <row r="103" spans="1:16" x14ac:dyDescent="0.25">
      <c r="C103" s="61">
        <f>VLOOKUP($I$8,$A$100:$E$102,3)</f>
        <v>0.12</v>
      </c>
      <c r="D103" s="70">
        <f>VLOOKUP($I$8,$A$100:$E$102,4)</f>
        <v>0.2</v>
      </c>
      <c r="E103" s="61">
        <f>VLOOKUP($I$8,$A$100:$E$102,5)</f>
        <v>11000</v>
      </c>
      <c r="F103" s="102"/>
      <c r="G103">
        <f>VLOOKUP($I$8,$A$100:$G$102,7)</f>
        <v>0.36199999999999999</v>
      </c>
      <c r="J103" s="5"/>
      <c r="K103" s="5"/>
      <c r="L103" s="5"/>
      <c r="M103" s="5"/>
      <c r="N103" s="5"/>
      <c r="O103" s="5"/>
      <c r="P103" s="5"/>
    </row>
    <row r="104" spans="1:16" x14ac:dyDescent="0.25">
      <c r="J104" s="5"/>
      <c r="K104" s="5"/>
      <c r="L104" s="5"/>
      <c r="M104" s="5"/>
      <c r="N104" s="5"/>
      <c r="O104" s="5"/>
      <c r="P104" s="5"/>
    </row>
    <row r="105" spans="1:16" x14ac:dyDescent="0.25">
      <c r="A105">
        <v>1</v>
      </c>
      <c r="B105" t="s">
        <v>277</v>
      </c>
      <c r="J105" s="5"/>
      <c r="K105" s="5"/>
      <c r="L105" s="5"/>
      <c r="M105" s="5"/>
      <c r="N105" s="5"/>
      <c r="O105" s="5"/>
      <c r="P105" s="5"/>
    </row>
    <row r="106" spans="1:16" x14ac:dyDescent="0.25">
      <c r="A106">
        <v>2</v>
      </c>
      <c r="B106" t="s">
        <v>276</v>
      </c>
      <c r="J106" s="5"/>
      <c r="K106" s="5"/>
      <c r="L106" s="5"/>
      <c r="M106" s="5"/>
      <c r="N106" s="5"/>
      <c r="O106" s="5"/>
      <c r="P106" s="5"/>
    </row>
    <row r="107" spans="1:16" x14ac:dyDescent="0.25">
      <c r="J107" s="5"/>
      <c r="K107" s="5"/>
      <c r="L107" s="5"/>
      <c r="M107" s="5"/>
      <c r="N107" s="5"/>
      <c r="O107" s="5"/>
      <c r="P107" s="5"/>
    </row>
    <row r="108" spans="1:16" x14ac:dyDescent="0.25">
      <c r="A108" t="s">
        <v>332</v>
      </c>
      <c r="D108">
        <f>VLOOKUP(IF(I12=1,1,IF(I13&lt;&gt;1,1,2)),A110:E111,I14+2)</f>
        <v>5</v>
      </c>
      <c r="J108" s="5"/>
      <c r="K108" s="5"/>
      <c r="L108" s="5"/>
      <c r="M108" s="5"/>
      <c r="N108" s="5"/>
      <c r="O108" s="5"/>
      <c r="P108" s="5"/>
    </row>
    <row r="109" spans="1:16" x14ac:dyDescent="0.25">
      <c r="C109" t="s">
        <v>333</v>
      </c>
      <c r="D109" s="103" t="s">
        <v>334</v>
      </c>
      <c r="E109" t="s">
        <v>335</v>
      </c>
    </row>
    <row r="110" spans="1:16" x14ac:dyDescent="0.25">
      <c r="A110">
        <v>1</v>
      </c>
      <c r="B110" t="s">
        <v>336</v>
      </c>
      <c r="C110">
        <v>2</v>
      </c>
      <c r="D110">
        <v>2</v>
      </c>
      <c r="E110">
        <v>3.5</v>
      </c>
    </row>
    <row r="111" spans="1:16" x14ac:dyDescent="0.25">
      <c r="A111">
        <v>2</v>
      </c>
      <c r="B111" t="s">
        <v>276</v>
      </c>
      <c r="C111">
        <v>5</v>
      </c>
      <c r="D111">
        <v>5</v>
      </c>
      <c r="E111" t="s">
        <v>337</v>
      </c>
    </row>
    <row r="113" spans="1:8" x14ac:dyDescent="0.25">
      <c r="B113" t="s">
        <v>338</v>
      </c>
    </row>
    <row r="114" spans="1:8" x14ac:dyDescent="0.25">
      <c r="A114">
        <v>1</v>
      </c>
      <c r="B114" t="s">
        <v>339</v>
      </c>
    </row>
    <row r="115" spans="1:8" x14ac:dyDescent="0.25">
      <c r="A115">
        <v>2</v>
      </c>
      <c r="B115" t="s">
        <v>254</v>
      </c>
    </row>
    <row r="116" spans="1:8" x14ac:dyDescent="0.25">
      <c r="A116">
        <v>3</v>
      </c>
      <c r="B116" t="s">
        <v>340</v>
      </c>
    </row>
    <row r="117" spans="1:8" x14ac:dyDescent="0.25">
      <c r="A117">
        <v>4</v>
      </c>
      <c r="B117" t="s">
        <v>341</v>
      </c>
    </row>
    <row r="119" spans="1:8" x14ac:dyDescent="0.25">
      <c r="B119" t="s">
        <v>132</v>
      </c>
    </row>
    <row r="120" spans="1:8" x14ac:dyDescent="0.25">
      <c r="A120" t="s">
        <v>342</v>
      </c>
      <c r="B120" t="b">
        <v>1</v>
      </c>
    </row>
    <row r="121" spans="1:8" x14ac:dyDescent="0.25">
      <c r="A121" t="s">
        <v>343</v>
      </c>
      <c r="B121" t="b">
        <f>IF(OR(I9=2,I9=3),TRUE,FALSE)</f>
        <v>1</v>
      </c>
    </row>
    <row r="122" spans="1:8" x14ac:dyDescent="0.25">
      <c r="B122" t="b">
        <f>IF(AND(B120,B121),TRUE,FALSE)</f>
        <v>1</v>
      </c>
    </row>
    <row r="123" spans="1:8" x14ac:dyDescent="0.25">
      <c r="A123" t="s">
        <v>344</v>
      </c>
      <c r="B123" t="b">
        <v>0</v>
      </c>
    </row>
    <row r="124" spans="1:8" x14ac:dyDescent="0.25">
      <c r="B124" t="b">
        <f>IF(AND(B122,B123),TRUE,FALSE)</f>
        <v>0</v>
      </c>
    </row>
    <row r="126" spans="1:8" x14ac:dyDescent="0.25">
      <c r="B126" t="s">
        <v>277</v>
      </c>
      <c r="D126" t="b">
        <f>VLOOKUP(I13,A127:D129,4)</f>
        <v>0</v>
      </c>
    </row>
    <row r="127" spans="1:8" x14ac:dyDescent="0.25">
      <c r="A127">
        <v>1</v>
      </c>
      <c r="B127" t="s">
        <v>373</v>
      </c>
      <c r="C127">
        <v>0</v>
      </c>
      <c r="D127" t="b">
        <v>0</v>
      </c>
    </row>
    <row r="128" spans="1:8" x14ac:dyDescent="0.25">
      <c r="A128">
        <v>2</v>
      </c>
      <c r="B128" t="s">
        <v>345</v>
      </c>
      <c r="C128">
        <v>530</v>
      </c>
      <c r="D128" t="b">
        <v>1</v>
      </c>
      <c r="E128">
        <v>6</v>
      </c>
      <c r="G128" s="104">
        <f>$I$16/(E128*39*8760*$I$5)</f>
        <v>1.6776919174179448E-3</v>
      </c>
      <c r="H128" s="64">
        <f>$I$25/3+$I$26/9</f>
        <v>36.666666666666671</v>
      </c>
    </row>
    <row r="129" spans="1:8" x14ac:dyDescent="0.25">
      <c r="A129">
        <v>3</v>
      </c>
      <c r="B129" t="s">
        <v>346</v>
      </c>
      <c r="C129">
        <v>600</v>
      </c>
      <c r="D129" t="b">
        <v>1</v>
      </c>
      <c r="E129">
        <v>4</v>
      </c>
      <c r="G129" s="104">
        <f>$I$16/(E129*39*8760*$I$5)</f>
        <v>2.5165378761269172E-3</v>
      </c>
      <c r="H129" s="64">
        <f>$I$25/5+$I$26/10</f>
        <v>23</v>
      </c>
    </row>
    <row r="131" spans="1:8" x14ac:dyDescent="0.25">
      <c r="B131" t="s">
        <v>347</v>
      </c>
    </row>
    <row r="132" spans="1:8" x14ac:dyDescent="0.25">
      <c r="A132">
        <v>1</v>
      </c>
      <c r="B132" t="s">
        <v>348</v>
      </c>
    </row>
    <row r="133" spans="1:8" x14ac:dyDescent="0.25">
      <c r="A133">
        <v>2</v>
      </c>
      <c r="B133" t="s">
        <v>349</v>
      </c>
    </row>
    <row r="134" spans="1:8" x14ac:dyDescent="0.25">
      <c r="A134">
        <v>3</v>
      </c>
      <c r="B134" t="str">
        <f>IF(I12=1,"Non-Carbon Sorbent",IF(I13&lt;&gt;1,"Non-Carbon Sorbent","Not Applicable"))</f>
        <v>Not Applicable</v>
      </c>
    </row>
    <row r="136" spans="1:8" x14ac:dyDescent="0.25">
      <c r="B136" s="38" t="s">
        <v>163</v>
      </c>
    </row>
    <row r="137" spans="1:8" x14ac:dyDescent="0.25">
      <c r="B137" s="40" t="b">
        <v>1</v>
      </c>
    </row>
    <row r="141" spans="1:8" x14ac:dyDescent="0.25">
      <c r="B141" s="58"/>
    </row>
    <row r="147" spans="2:2" x14ac:dyDescent="0.25">
      <c r="B147" s="58"/>
    </row>
  </sheetData>
  <mergeCells count="12">
    <mergeCell ref="B70:I70"/>
    <mergeCell ref="D21:F21"/>
    <mergeCell ref="J24:L24"/>
    <mergeCell ref="C33:I33"/>
    <mergeCell ref="B68:I68"/>
    <mergeCell ref="C34:I34"/>
    <mergeCell ref="C36:I36"/>
    <mergeCell ref="J17:L17"/>
    <mergeCell ref="J18:L18"/>
    <mergeCell ref="J19:L19"/>
    <mergeCell ref="J20:L20"/>
    <mergeCell ref="J16:L16"/>
  </mergeCells>
  <conditionalFormatting sqref="I10">
    <cfRule type="expression" dxfId="2" priority="1" stopIfTrue="1">
      <formula>$B$121</formula>
    </cfRule>
  </conditionalFormatting>
  <conditionalFormatting sqref="I11">
    <cfRule type="expression" dxfId="1" priority="2" stopIfTrue="1">
      <formula>$B$122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</xdr:row>
                    <xdr:rowOff>171450</xdr:rowOff>
                  </from>
                  <to>
                    <xdr:col>8</xdr:col>
                    <xdr:colOff>400050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</xdr:row>
                    <xdr:rowOff>171450</xdr:rowOff>
                  </from>
                  <to>
                    <xdr:col>8</xdr:col>
                    <xdr:colOff>400050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6" name="Drop Down 11">
              <controlPr defaultSize="0" autoLine="0" autoPict="0">
                <anchor moveWithCells="1">
                  <from>
                    <xdr:col>8</xdr:col>
                    <xdr:colOff>19050</xdr:colOff>
                    <xdr:row>7</xdr:row>
                    <xdr:rowOff>19050</xdr:rowOff>
                  </from>
                  <to>
                    <xdr:col>9</xdr:col>
                    <xdr:colOff>9525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7" name="Drop Down 12">
              <controlPr defaultSize="0" autoLine="0" autoPict="0">
                <anchor moveWithCells="1">
                  <from>
                    <xdr:col>8</xdr:col>
                    <xdr:colOff>19050</xdr:colOff>
                    <xdr:row>11</xdr:row>
                    <xdr:rowOff>19050</xdr:rowOff>
                  </from>
                  <to>
                    <xdr:col>9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8" name="Drop Down 13">
              <controlPr defaultSize="0" autoLine="0" autoPict="0">
                <anchor moveWithCells="1">
                  <from>
                    <xdr:col>8</xdr:col>
                    <xdr:colOff>19050</xdr:colOff>
                    <xdr:row>8</xdr:row>
                    <xdr:rowOff>19050</xdr:rowOff>
                  </from>
                  <to>
                    <xdr:col>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9" name="Check Box 14">
              <controlPr defaultSize="0" autoFill="0" autoLine="0" autoPict="0">
                <anchor moveWithCells="1">
                  <from>
                    <xdr:col>8</xdr:col>
                    <xdr:colOff>247650</xdr:colOff>
                    <xdr:row>8</xdr:row>
                    <xdr:rowOff>238125</xdr:rowOff>
                  </from>
                  <to>
                    <xdr:col>8</xdr:col>
                    <xdr:colOff>647700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0" name="Check Box 15">
              <controlPr defaultSize="0" autoFill="0" autoLine="0" autoPict="0">
                <anchor moveWithCells="1">
                  <from>
                    <xdr:col>8</xdr:col>
                    <xdr:colOff>247650</xdr:colOff>
                    <xdr:row>9</xdr:row>
                    <xdr:rowOff>257175</xdr:rowOff>
                  </from>
                  <to>
                    <xdr:col>8</xdr:col>
                    <xdr:colOff>647700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1" name="Drop Down 16">
              <controlPr defaultSize="0" autoLine="0" autoPict="0">
                <anchor moveWithCells="1">
                  <from>
                    <xdr:col>8</xdr:col>
                    <xdr:colOff>19050</xdr:colOff>
                    <xdr:row>12</xdr:row>
                    <xdr:rowOff>38100</xdr:rowOff>
                  </from>
                  <to>
                    <xdr:col>9</xdr:col>
                    <xdr:colOff>9525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2" name="Drop Down 17">
              <controlPr defaultSize="0" autoLine="0" autoPict="0">
                <anchor moveWithCells="1">
                  <from>
                    <xdr:col>8</xdr:col>
                    <xdr:colOff>19050</xdr:colOff>
                    <xdr:row>13</xdr:row>
                    <xdr:rowOff>38100</xdr:rowOff>
                  </from>
                  <to>
                    <xdr:col>8</xdr:col>
                    <xdr:colOff>1857375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3" name="Check Box 18">
              <controlPr defaultSize="0" autoFill="0" autoLine="0" autoPict="0">
                <anchor moveWithCells="1">
                  <from>
                    <xdr:col>4</xdr:col>
                    <xdr:colOff>628650</xdr:colOff>
                    <xdr:row>20</xdr:row>
                    <xdr:rowOff>171450</xdr:rowOff>
                  </from>
                  <to>
                    <xdr:col>5</xdr:col>
                    <xdr:colOff>209550</xdr:colOff>
                    <xdr:row>20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37"/>
  <sheetViews>
    <sheetView topLeftCell="A34" zoomScale="70" zoomScaleNormal="70" workbookViewId="0">
      <selection activeCell="G53" sqref="G53"/>
    </sheetView>
  </sheetViews>
  <sheetFormatPr defaultRowHeight="15" x14ac:dyDescent="0.25"/>
  <cols>
    <col min="3" max="3" width="13.140625" customWidth="1"/>
    <col min="4" max="4" width="16.5703125" customWidth="1"/>
    <col min="5" max="5" width="14" customWidth="1"/>
    <col min="6" max="6" width="6.28515625" customWidth="1"/>
    <col min="7" max="7" width="12.7109375" customWidth="1"/>
    <col min="8" max="8" width="13.28515625" bestFit="1" customWidth="1"/>
    <col min="9" max="9" width="17.140625" customWidth="1"/>
    <col min="10" max="10" width="15.28515625" customWidth="1"/>
    <col min="12" max="12" width="56.140625" customWidth="1"/>
  </cols>
  <sheetData>
    <row r="1" spans="1:16" x14ac:dyDescent="0.25">
      <c r="A1" s="5" t="s">
        <v>165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5"/>
      <c r="B2" s="5"/>
      <c r="C2" s="5"/>
      <c r="D2" s="24" t="s">
        <v>0</v>
      </c>
      <c r="E2" s="25"/>
      <c r="F2" s="26"/>
      <c r="G2" s="27" t="s">
        <v>1</v>
      </c>
      <c r="H2" s="27" t="s">
        <v>2</v>
      </c>
      <c r="I2" s="27" t="s">
        <v>3</v>
      </c>
      <c r="J2" s="24" t="s">
        <v>4</v>
      </c>
      <c r="K2" s="7"/>
      <c r="L2" s="8"/>
      <c r="M2" s="5"/>
      <c r="N2" s="5"/>
      <c r="O2" s="5"/>
      <c r="P2" s="5"/>
    </row>
    <row r="3" spans="1:16" x14ac:dyDescent="0.25">
      <c r="A3" s="5"/>
      <c r="B3" s="5"/>
      <c r="C3" s="5"/>
      <c r="D3" s="74" t="s">
        <v>5</v>
      </c>
      <c r="E3" s="75"/>
      <c r="F3" s="76"/>
      <c r="G3" s="77"/>
      <c r="H3" s="77"/>
      <c r="I3" s="80" t="b">
        <v>0</v>
      </c>
      <c r="J3" s="6"/>
      <c r="K3" s="7"/>
      <c r="L3" s="8"/>
      <c r="M3" s="5"/>
      <c r="N3" s="5"/>
      <c r="O3" s="5"/>
      <c r="P3" s="5"/>
    </row>
    <row r="4" spans="1:16" ht="19.5" customHeight="1" x14ac:dyDescent="0.25">
      <c r="A4" s="5"/>
      <c r="B4" s="5"/>
      <c r="C4" s="5"/>
      <c r="D4" s="74" t="s">
        <v>18</v>
      </c>
      <c r="E4" s="75"/>
      <c r="F4" s="76"/>
      <c r="G4" s="81"/>
      <c r="H4" s="81"/>
      <c r="I4" s="117">
        <v>85</v>
      </c>
      <c r="J4" s="6"/>
      <c r="K4" s="7"/>
      <c r="L4" s="8"/>
      <c r="M4" s="5"/>
      <c r="N4" s="5"/>
      <c r="O4" s="5"/>
      <c r="P4" s="5"/>
    </row>
    <row r="5" spans="1:16" x14ac:dyDescent="0.25">
      <c r="A5" s="5"/>
      <c r="B5" s="5"/>
      <c r="C5" s="5"/>
      <c r="D5" s="74" t="s">
        <v>6</v>
      </c>
      <c r="E5" s="75"/>
      <c r="F5" s="76"/>
      <c r="G5" s="77" t="s">
        <v>7</v>
      </c>
      <c r="H5" s="77" t="s">
        <v>8</v>
      </c>
      <c r="I5" s="82">
        <v>500</v>
      </c>
      <c r="J5" s="6" t="s">
        <v>205</v>
      </c>
      <c r="K5" s="7"/>
      <c r="L5" s="8"/>
      <c r="M5" s="5"/>
      <c r="N5" s="5"/>
      <c r="O5" s="5"/>
      <c r="P5" s="5"/>
    </row>
    <row r="6" spans="1:16" x14ac:dyDescent="0.25">
      <c r="A6" s="5"/>
      <c r="B6" s="5"/>
      <c r="C6" s="5"/>
      <c r="D6" s="74" t="s">
        <v>10</v>
      </c>
      <c r="E6" s="75"/>
      <c r="F6" s="76"/>
      <c r="G6" s="77" t="s">
        <v>29</v>
      </c>
      <c r="H6" s="77"/>
      <c r="I6" s="118">
        <v>1</v>
      </c>
      <c r="J6" s="6" t="s">
        <v>59</v>
      </c>
      <c r="K6" s="7"/>
      <c r="L6" s="8"/>
      <c r="M6" s="5"/>
      <c r="N6" s="5"/>
      <c r="O6" s="5"/>
      <c r="P6" s="5"/>
    </row>
    <row r="7" spans="1:16" x14ac:dyDescent="0.25">
      <c r="A7" s="5"/>
      <c r="B7" s="5"/>
      <c r="C7" s="5"/>
      <c r="D7" s="74" t="s">
        <v>11</v>
      </c>
      <c r="E7" s="75"/>
      <c r="F7" s="76"/>
      <c r="G7" s="77" t="s">
        <v>30</v>
      </c>
      <c r="H7" s="77" t="s">
        <v>49</v>
      </c>
      <c r="I7" s="82">
        <v>9500</v>
      </c>
      <c r="J7" s="6" t="s">
        <v>9</v>
      </c>
      <c r="K7" s="7"/>
      <c r="L7" s="8"/>
      <c r="M7" s="5"/>
      <c r="N7" s="5"/>
      <c r="O7" s="5"/>
      <c r="P7" s="5"/>
    </row>
    <row r="8" spans="1:16" x14ac:dyDescent="0.25">
      <c r="A8" s="5"/>
      <c r="B8" s="5"/>
      <c r="C8" s="5"/>
      <c r="D8" s="74" t="s">
        <v>13</v>
      </c>
      <c r="E8" s="75"/>
      <c r="F8" s="76"/>
      <c r="G8" s="77" t="s">
        <v>31</v>
      </c>
      <c r="H8" s="77" t="s">
        <v>50</v>
      </c>
      <c r="I8" s="82">
        <v>2</v>
      </c>
      <c r="J8" s="6" t="s">
        <v>9</v>
      </c>
      <c r="K8" s="7"/>
      <c r="L8" s="8"/>
      <c r="M8" s="5"/>
      <c r="N8" s="5"/>
      <c r="O8" s="5"/>
      <c r="P8" s="5"/>
    </row>
    <row r="9" spans="1:16" ht="18.75" customHeight="1" x14ac:dyDescent="0.25">
      <c r="A9" s="5"/>
      <c r="B9" s="5"/>
      <c r="C9" s="5"/>
      <c r="D9" s="83" t="s">
        <v>14</v>
      </c>
      <c r="E9" s="84"/>
      <c r="F9" s="84"/>
      <c r="G9" s="73" t="s">
        <v>32</v>
      </c>
      <c r="H9" s="73"/>
      <c r="I9" s="85">
        <v>3</v>
      </c>
      <c r="J9" s="79" t="s">
        <v>9</v>
      </c>
      <c r="K9" s="7"/>
      <c r="L9" s="8"/>
      <c r="M9" s="5"/>
      <c r="N9" s="5"/>
      <c r="O9" s="5"/>
      <c r="P9" s="5"/>
    </row>
    <row r="10" spans="1:16" ht="18.75" customHeight="1" x14ac:dyDescent="0.25">
      <c r="A10" s="5"/>
      <c r="B10" s="5"/>
      <c r="C10" s="5"/>
      <c r="D10" s="83" t="s">
        <v>289</v>
      </c>
      <c r="E10" s="84"/>
      <c r="F10" s="84"/>
      <c r="G10" s="73" t="s">
        <v>33</v>
      </c>
      <c r="H10" s="73"/>
      <c r="I10" s="85">
        <v>1</v>
      </c>
      <c r="J10" s="79" t="s">
        <v>9</v>
      </c>
      <c r="K10" s="7"/>
      <c r="L10" s="8"/>
      <c r="M10" s="5"/>
      <c r="N10" s="5"/>
      <c r="O10" s="5"/>
      <c r="P10" s="5"/>
    </row>
    <row r="11" spans="1:16" ht="18.75" customHeight="1" x14ac:dyDescent="0.25">
      <c r="A11" s="5"/>
      <c r="B11" s="5"/>
      <c r="C11" s="5"/>
      <c r="D11" s="83" t="s">
        <v>292</v>
      </c>
      <c r="E11" s="84"/>
      <c r="F11" s="84"/>
      <c r="G11" s="73" t="s">
        <v>34</v>
      </c>
      <c r="H11" s="73"/>
      <c r="I11" s="85">
        <v>1</v>
      </c>
      <c r="J11" s="79" t="s">
        <v>9</v>
      </c>
      <c r="K11" s="7"/>
      <c r="L11" s="8"/>
      <c r="M11" s="5"/>
      <c r="N11" s="5"/>
      <c r="O11" s="5"/>
      <c r="P11" s="5"/>
    </row>
    <row r="12" spans="1:16" ht="87" customHeight="1" x14ac:dyDescent="0.25">
      <c r="A12" s="5"/>
      <c r="B12" s="5"/>
      <c r="C12" s="5"/>
      <c r="D12" s="74" t="s">
        <v>291</v>
      </c>
      <c r="E12" s="75"/>
      <c r="F12" s="76"/>
      <c r="G12" s="77" t="s">
        <v>35</v>
      </c>
      <c r="H12" s="77" t="s">
        <v>52</v>
      </c>
      <c r="I12" s="120">
        <v>50</v>
      </c>
      <c r="J12" s="128" t="s">
        <v>295</v>
      </c>
      <c r="K12" s="126"/>
      <c r="L12" s="145"/>
      <c r="M12" s="121" t="str">
        <f>IF(I12&gt;=G95, "Value is AT or ABOVE an ", "Value is BELOW an ")&amp;G95&amp;" percent maximum removal target"</f>
        <v>Value is BELOW an 80 percent maximum removal target</v>
      </c>
      <c r="N12" s="5"/>
      <c r="O12" s="5"/>
      <c r="P12" s="5"/>
    </row>
    <row r="13" spans="1:16" x14ac:dyDescent="0.25">
      <c r="A13" s="5"/>
      <c r="B13" s="5"/>
      <c r="C13" s="5"/>
      <c r="D13" s="74" t="s">
        <v>17</v>
      </c>
      <c r="E13" s="75"/>
      <c r="F13" s="76"/>
      <c r="G13" s="77" t="s">
        <v>37</v>
      </c>
      <c r="H13" s="77" t="s">
        <v>51</v>
      </c>
      <c r="I13" s="86">
        <f>I5*I7*1000</f>
        <v>4750000000</v>
      </c>
      <c r="J13" s="6" t="s">
        <v>62</v>
      </c>
      <c r="K13" s="7"/>
      <c r="L13" s="8"/>
      <c r="M13" s="5"/>
      <c r="N13" s="5"/>
      <c r="O13" s="5"/>
      <c r="P13" s="5"/>
    </row>
    <row r="14" spans="1:16" ht="88.5" customHeight="1" x14ac:dyDescent="0.25">
      <c r="A14" s="5"/>
      <c r="B14" s="5"/>
      <c r="C14" s="5"/>
      <c r="D14" s="74" t="s">
        <v>278</v>
      </c>
      <c r="E14" s="75"/>
      <c r="F14" s="76"/>
      <c r="G14" s="77" t="s">
        <v>38</v>
      </c>
      <c r="H14" s="77" t="s">
        <v>51</v>
      </c>
      <c r="I14" s="87">
        <f>VLOOKUP(I10,A102:E103,MATCH(I11,A135:A137,FALSE)+2)</f>
        <v>1.4314855882961703</v>
      </c>
      <c r="J14" s="128" t="s">
        <v>296</v>
      </c>
      <c r="K14" s="126"/>
      <c r="L14" s="145"/>
      <c r="M14" s="5"/>
      <c r="N14" s="5"/>
      <c r="O14" s="5"/>
      <c r="P14" s="5"/>
    </row>
    <row r="15" spans="1:16" ht="28.5" customHeight="1" x14ac:dyDescent="0.25">
      <c r="A15" s="5"/>
      <c r="B15" s="5"/>
      <c r="C15" s="5"/>
      <c r="D15" s="74" t="s">
        <v>279</v>
      </c>
      <c r="E15" s="75"/>
      <c r="F15" s="76"/>
      <c r="G15" s="77" t="s">
        <v>40</v>
      </c>
      <c r="H15" s="77" t="s">
        <v>213</v>
      </c>
      <c r="I15" s="92">
        <f ca="1">OFFSET(B106,1,MATCH(I11,A135:A137,FALSE))</f>
        <v>16.333968739752745</v>
      </c>
      <c r="J15" s="146" t="s">
        <v>408</v>
      </c>
      <c r="K15" s="147"/>
      <c r="L15" s="148"/>
      <c r="M15" s="5"/>
      <c r="N15" s="5"/>
      <c r="O15" s="5"/>
      <c r="P15" s="5"/>
    </row>
    <row r="16" spans="1:16" ht="73.5" customHeight="1" x14ac:dyDescent="0.25">
      <c r="A16" s="5"/>
      <c r="B16" s="5"/>
      <c r="C16" s="5"/>
      <c r="D16" s="74" t="s">
        <v>280</v>
      </c>
      <c r="E16" s="75"/>
      <c r="F16" s="76"/>
      <c r="G16" s="77" t="s">
        <v>48</v>
      </c>
      <c r="H16" s="77" t="s">
        <v>52</v>
      </c>
      <c r="I16" s="124">
        <f>MIN(100*(1-(0.002/F126)),VLOOKUP(I10,A111:E112,MATCH(I11,A135:A137,FALSE)+2))</f>
        <v>92.894629191533895</v>
      </c>
      <c r="J16" s="128" t="s">
        <v>411</v>
      </c>
      <c r="K16" s="126"/>
      <c r="L16" s="145"/>
      <c r="M16" s="5"/>
      <c r="N16" s="5"/>
      <c r="O16" s="5"/>
      <c r="P16" s="5"/>
    </row>
    <row r="17" spans="1:16" ht="28.5" customHeight="1" x14ac:dyDescent="0.25">
      <c r="A17" s="5"/>
      <c r="B17" s="5"/>
      <c r="C17" s="5"/>
      <c r="D17" s="74" t="s">
        <v>293</v>
      </c>
      <c r="E17" s="75"/>
      <c r="F17" s="76"/>
      <c r="G17" s="77" t="s">
        <v>41</v>
      </c>
      <c r="H17" s="77" t="s">
        <v>213</v>
      </c>
      <c r="I17" s="87">
        <f ca="1">OFFSET(B115,1,MATCH(I11,A135:A137,FALSE))</f>
        <v>13.121374115368278</v>
      </c>
      <c r="J17" s="128" t="s">
        <v>299</v>
      </c>
      <c r="K17" s="126"/>
      <c r="L17" s="145"/>
      <c r="M17" s="5"/>
      <c r="N17" s="5"/>
      <c r="O17" s="5"/>
      <c r="P17" s="5"/>
    </row>
    <row r="18" spans="1:16" ht="59.25" customHeight="1" x14ac:dyDescent="0.25">
      <c r="A18" s="5"/>
      <c r="B18" s="5"/>
      <c r="C18" s="5"/>
      <c r="D18" s="142" t="s">
        <v>294</v>
      </c>
      <c r="E18" s="143"/>
      <c r="F18" s="144"/>
      <c r="G18" s="77" t="s">
        <v>43</v>
      </c>
      <c r="H18" s="77" t="s">
        <v>213</v>
      </c>
      <c r="I18" s="87">
        <f>IF(B132,I5*I7*C126*(1-D126)/(E126*2),0)</f>
        <v>20.727272727272727</v>
      </c>
      <c r="J18" s="128" t="s">
        <v>300</v>
      </c>
      <c r="K18" s="126"/>
      <c r="L18" s="145"/>
      <c r="M18" s="5"/>
      <c r="N18" s="5"/>
      <c r="O18" s="5"/>
      <c r="P18" s="5"/>
    </row>
    <row r="19" spans="1:16" ht="28.5" customHeight="1" x14ac:dyDescent="0.25">
      <c r="A19" s="5"/>
      <c r="B19" s="5"/>
      <c r="C19" s="5"/>
      <c r="D19" s="139" t="s">
        <v>164</v>
      </c>
      <c r="E19" s="140"/>
      <c r="F19" s="141"/>
      <c r="G19" s="77" t="s">
        <v>106</v>
      </c>
      <c r="H19" s="77" t="s">
        <v>52</v>
      </c>
      <c r="I19" s="87">
        <f ca="1">IF((MATCH(I11,A135:A137,FALSE))=1,I15*20/(I5),I15*18/(I5))</f>
        <v>0.65335874959010987</v>
      </c>
      <c r="J19" s="93" t="s">
        <v>301</v>
      </c>
      <c r="K19" s="7"/>
      <c r="L19" s="8"/>
      <c r="M19" s="5"/>
      <c r="N19" s="5"/>
      <c r="O19" s="5"/>
      <c r="P19" s="5"/>
    </row>
    <row r="20" spans="1:16" ht="13.5" customHeight="1" x14ac:dyDescent="0.25">
      <c r="A20" s="5"/>
      <c r="B20" s="5"/>
      <c r="C20" s="5"/>
      <c r="D20" s="78"/>
      <c r="E20" s="89"/>
      <c r="F20" s="90"/>
      <c r="G20" s="77"/>
      <c r="H20" s="77"/>
      <c r="I20" s="87"/>
      <c r="J20" s="6"/>
      <c r="K20" s="7"/>
      <c r="L20" s="8"/>
      <c r="M20" s="5"/>
      <c r="N20" s="5"/>
      <c r="O20" s="5"/>
      <c r="P20" s="5"/>
    </row>
    <row r="21" spans="1:16" x14ac:dyDescent="0.25">
      <c r="A21" s="5"/>
      <c r="B21" s="5"/>
      <c r="C21" s="5"/>
      <c r="D21" s="74" t="s">
        <v>290</v>
      </c>
      <c r="E21" s="75"/>
      <c r="F21" s="76"/>
      <c r="G21" s="77" t="s">
        <v>44</v>
      </c>
      <c r="H21" s="77" t="s">
        <v>54</v>
      </c>
      <c r="I21" s="82">
        <f>IF((MATCH(I11,A135:A137,FALSE))=3,150,170)</f>
        <v>170</v>
      </c>
      <c r="J21" s="91" t="s">
        <v>297</v>
      </c>
      <c r="K21" s="43"/>
      <c r="L21" s="45"/>
      <c r="M21" s="5"/>
      <c r="N21" s="5"/>
      <c r="O21" s="5"/>
      <c r="P21" s="5"/>
    </row>
    <row r="22" spans="1:16" x14ac:dyDescent="0.25">
      <c r="A22" s="5"/>
      <c r="B22" s="5"/>
      <c r="C22" s="5"/>
      <c r="D22" s="74" t="s">
        <v>208</v>
      </c>
      <c r="E22" s="75"/>
      <c r="F22" s="76"/>
      <c r="G22" s="77" t="s">
        <v>45</v>
      </c>
      <c r="H22" s="77" t="s">
        <v>54</v>
      </c>
      <c r="I22" s="82">
        <v>50</v>
      </c>
      <c r="J22" s="133" t="s">
        <v>298</v>
      </c>
      <c r="K22" s="134"/>
      <c r="L22" s="135"/>
      <c r="M22" s="5"/>
      <c r="N22" s="5"/>
      <c r="O22" s="5"/>
      <c r="P22" s="5"/>
    </row>
    <row r="23" spans="1:16" x14ac:dyDescent="0.25">
      <c r="A23" s="5"/>
      <c r="B23" s="5"/>
      <c r="C23" s="5"/>
      <c r="D23" s="74" t="s">
        <v>26</v>
      </c>
      <c r="E23" s="75"/>
      <c r="F23" s="76"/>
      <c r="G23" s="77" t="s">
        <v>46</v>
      </c>
      <c r="H23" s="77" t="s">
        <v>56</v>
      </c>
      <c r="I23" s="82">
        <v>0.06</v>
      </c>
      <c r="J23" s="6" t="s">
        <v>9</v>
      </c>
      <c r="K23" s="7"/>
      <c r="L23" s="8"/>
      <c r="M23" s="5"/>
      <c r="N23" s="5"/>
      <c r="O23" s="5"/>
      <c r="P23" s="5"/>
    </row>
    <row r="24" spans="1:16" x14ac:dyDescent="0.25">
      <c r="A24" s="5"/>
      <c r="B24" s="5"/>
      <c r="C24" s="5"/>
      <c r="D24" s="74"/>
      <c r="E24" s="75"/>
      <c r="F24" s="76"/>
      <c r="G24" s="77"/>
      <c r="H24" s="77"/>
      <c r="I24" s="82"/>
      <c r="J24" s="6"/>
      <c r="K24" s="7"/>
      <c r="L24" s="8"/>
      <c r="M24" s="5"/>
      <c r="N24" s="5"/>
      <c r="O24" s="5"/>
      <c r="P24" s="5"/>
    </row>
    <row r="25" spans="1:16" x14ac:dyDescent="0.25">
      <c r="A25" s="5"/>
      <c r="B25" s="5"/>
      <c r="C25" s="5"/>
      <c r="D25" s="74" t="s">
        <v>28</v>
      </c>
      <c r="E25" s="75"/>
      <c r="F25" s="76"/>
      <c r="G25" s="77" t="s">
        <v>47</v>
      </c>
      <c r="H25" s="77" t="s">
        <v>58</v>
      </c>
      <c r="I25" s="82">
        <v>60</v>
      </c>
      <c r="J25" s="6" t="s">
        <v>73</v>
      </c>
      <c r="K25" s="7"/>
      <c r="L25" s="8"/>
      <c r="M25" s="5"/>
      <c r="N25" s="5"/>
      <c r="O25" s="5"/>
      <c r="P25" s="5"/>
    </row>
    <row r="26" spans="1:1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23.25" x14ac:dyDescent="0.35">
      <c r="A28" s="5"/>
      <c r="B28" s="5"/>
      <c r="C28" s="5"/>
      <c r="D28" s="5"/>
      <c r="E28" s="5"/>
      <c r="F28" s="5"/>
      <c r="G28" s="5"/>
      <c r="H28" s="28" t="s">
        <v>414</v>
      </c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10" t="s">
        <v>68</v>
      </c>
      <c r="B29" s="10"/>
      <c r="C29" s="10"/>
      <c r="D29" s="10"/>
      <c r="E29" s="10"/>
      <c r="F29" s="10"/>
      <c r="G29" s="10"/>
      <c r="H29" s="10"/>
      <c r="I29" s="10"/>
      <c r="J29" s="10" t="s">
        <v>70</v>
      </c>
      <c r="K29" s="10"/>
      <c r="L29" s="10" t="s">
        <v>71</v>
      </c>
      <c r="M29" s="5"/>
      <c r="N29" s="5"/>
      <c r="O29" s="5"/>
      <c r="P29" s="5"/>
    </row>
    <row r="30" spans="1:16" x14ac:dyDescent="0.25">
      <c r="A30" s="5"/>
      <c r="B30" s="5" t="s">
        <v>69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42.75" customHeight="1" x14ac:dyDescent="0.25">
      <c r="A31" s="5"/>
      <c r="B31" s="5" t="s">
        <v>79</v>
      </c>
      <c r="C31" s="95" t="s">
        <v>302</v>
      </c>
      <c r="E31" s="5"/>
      <c r="F31" s="5"/>
      <c r="G31" s="5"/>
      <c r="H31" s="5"/>
      <c r="I31" s="5"/>
      <c r="J31" s="12">
        <f ca="1">OFFSET(B119,1,MATCH(I11,A135:A137,FALSE))</f>
        <v>18348000</v>
      </c>
      <c r="K31" s="5"/>
      <c r="L31" s="96" t="s">
        <v>303</v>
      </c>
      <c r="M31" s="5"/>
      <c r="N31" s="5"/>
      <c r="O31" s="5"/>
      <c r="P31" s="5"/>
    </row>
    <row r="32" spans="1:16" x14ac:dyDescent="0.25">
      <c r="A32" s="5"/>
      <c r="B32" s="5" t="s">
        <v>74</v>
      </c>
      <c r="C32" s="5"/>
      <c r="D32" s="5"/>
      <c r="E32" s="5"/>
      <c r="F32" s="5"/>
      <c r="G32" s="5"/>
      <c r="H32" s="5"/>
      <c r="I32" s="5"/>
      <c r="J32" s="13">
        <f ca="1">J31/(I5*1000)</f>
        <v>36.695999999999998</v>
      </c>
      <c r="K32" s="5"/>
      <c r="L32" s="5" t="s">
        <v>137</v>
      </c>
      <c r="M32" s="5"/>
      <c r="N32" s="5"/>
      <c r="O32" s="5"/>
      <c r="P32" s="5"/>
    </row>
    <row r="33" spans="1:16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5">
      <c r="A34" s="10" t="s">
        <v>84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x14ac:dyDescent="0.25">
      <c r="A35" s="5"/>
      <c r="B35" s="5" t="s">
        <v>85</v>
      </c>
      <c r="C35" s="5"/>
      <c r="D35" s="5"/>
      <c r="E35" s="5"/>
      <c r="F35" s="5"/>
      <c r="G35" s="5"/>
      <c r="H35" s="5"/>
      <c r="I35" s="5"/>
      <c r="J35" s="11">
        <f ca="1">ROUND($J$31*0.1,-3)</f>
        <v>1835000</v>
      </c>
      <c r="K35" s="5"/>
      <c r="L35" s="5" t="s">
        <v>138</v>
      </c>
      <c r="M35" s="5"/>
      <c r="N35" s="5"/>
      <c r="O35" s="5"/>
      <c r="P35" s="5"/>
    </row>
    <row r="36" spans="1:16" x14ac:dyDescent="0.25">
      <c r="A36" s="5"/>
      <c r="B36" s="5" t="s">
        <v>287</v>
      </c>
      <c r="C36" s="5"/>
      <c r="D36" s="5"/>
      <c r="E36" s="5"/>
      <c r="F36" s="5"/>
      <c r="G36" s="5"/>
      <c r="H36" s="5"/>
      <c r="I36" s="5"/>
      <c r="J36" s="11">
        <f ca="1">ROUND($J$31*0.05,-3)</f>
        <v>917000</v>
      </c>
      <c r="K36" s="5"/>
      <c r="L36" s="5" t="s">
        <v>139</v>
      </c>
      <c r="M36" s="5"/>
      <c r="N36" s="5"/>
      <c r="O36" s="5"/>
      <c r="P36" s="5"/>
    </row>
    <row r="37" spans="1:16" x14ac:dyDescent="0.25">
      <c r="A37" s="5"/>
      <c r="B37" s="5" t="s">
        <v>288</v>
      </c>
      <c r="C37" s="5"/>
      <c r="D37" s="5"/>
      <c r="E37" s="5"/>
      <c r="F37" s="5"/>
      <c r="G37" s="5"/>
      <c r="H37" s="5"/>
      <c r="I37" s="5"/>
      <c r="J37" s="11">
        <f ca="1">ROUND($J$31*0.05,-3)</f>
        <v>917000</v>
      </c>
      <c r="K37" s="5"/>
      <c r="L37" s="5" t="s">
        <v>140</v>
      </c>
      <c r="M37" s="5"/>
      <c r="N37" s="5"/>
      <c r="O37" s="5"/>
      <c r="P37" s="5"/>
    </row>
    <row r="38" spans="1:16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x14ac:dyDescent="0.25">
      <c r="A39" s="5"/>
      <c r="B39" s="10" t="s">
        <v>88</v>
      </c>
      <c r="C39" s="10"/>
      <c r="D39" s="10"/>
      <c r="E39" s="10"/>
      <c r="F39" s="10"/>
      <c r="G39" s="10"/>
      <c r="H39" s="10"/>
      <c r="I39" s="10"/>
      <c r="J39" s="14">
        <f ca="1">SUM(J31+J35+J36+J37)</f>
        <v>22017000</v>
      </c>
      <c r="K39" s="5"/>
      <c r="L39" s="5" t="s">
        <v>141</v>
      </c>
      <c r="M39" s="5"/>
      <c r="N39" s="5"/>
      <c r="O39" s="5"/>
      <c r="P39" s="5"/>
    </row>
    <row r="40" spans="1:16" x14ac:dyDescent="0.25">
      <c r="A40" s="5"/>
      <c r="B40" s="10" t="s">
        <v>304</v>
      </c>
      <c r="C40" s="10"/>
      <c r="D40" s="10"/>
      <c r="E40" s="10"/>
      <c r="F40" s="10"/>
      <c r="G40" s="10"/>
      <c r="H40" s="10"/>
      <c r="I40" s="10"/>
      <c r="J40" s="15">
        <f ca="1">J39/(I5*1000)</f>
        <v>44.033999999999999</v>
      </c>
      <c r="K40" s="5"/>
      <c r="L40" s="5" t="s">
        <v>142</v>
      </c>
      <c r="M40" s="5"/>
      <c r="N40" s="5"/>
      <c r="O40" s="5"/>
      <c r="P40" s="5"/>
    </row>
    <row r="41" spans="1:16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x14ac:dyDescent="0.25">
      <c r="A42" s="5"/>
      <c r="B42" s="5" t="s">
        <v>268</v>
      </c>
      <c r="C42" s="5"/>
      <c r="D42" s="5"/>
      <c r="E42" s="5"/>
      <c r="F42" s="5"/>
      <c r="G42" s="5"/>
      <c r="H42" s="5"/>
      <c r="I42" s="5"/>
      <c r="J42" s="11">
        <f ca="1">ROUND((J39)*IF(I3,0.02,0.05),-3)</f>
        <v>1101000</v>
      </c>
      <c r="K42" s="5"/>
      <c r="L42" s="5" t="s">
        <v>143</v>
      </c>
      <c r="M42" s="5"/>
      <c r="N42" s="5"/>
      <c r="O42" s="5"/>
      <c r="P42" s="5"/>
    </row>
    <row r="43" spans="1:16" x14ac:dyDescent="0.25">
      <c r="A43" s="5"/>
      <c r="B43" s="10" t="s">
        <v>91</v>
      </c>
      <c r="C43" s="10"/>
      <c r="D43" s="10"/>
      <c r="E43" s="10"/>
      <c r="F43" s="10"/>
      <c r="G43" s="10"/>
      <c r="H43" s="10"/>
      <c r="I43" s="10"/>
      <c r="J43" s="14">
        <f ca="1">J42+J39</f>
        <v>23118000</v>
      </c>
      <c r="K43" s="5"/>
      <c r="L43" s="5" t="s">
        <v>144</v>
      </c>
      <c r="M43" s="5"/>
      <c r="N43" s="5"/>
      <c r="O43" s="5"/>
      <c r="P43" s="5"/>
    </row>
    <row r="44" spans="1:16" x14ac:dyDescent="0.25">
      <c r="A44" s="5"/>
      <c r="B44" s="10" t="s">
        <v>92</v>
      </c>
      <c r="C44" s="10"/>
      <c r="D44" s="10"/>
      <c r="E44" s="10"/>
      <c r="F44" s="10"/>
      <c r="G44" s="10"/>
      <c r="H44" s="10"/>
      <c r="I44" s="10"/>
      <c r="J44" s="15">
        <f ca="1">J43/(I5*1000)</f>
        <v>46.235999999999997</v>
      </c>
      <c r="K44" s="5"/>
      <c r="L44" s="5" t="s">
        <v>145</v>
      </c>
      <c r="M44" s="5"/>
      <c r="N44" s="5"/>
      <c r="O44" s="5"/>
      <c r="P44" s="5"/>
    </row>
    <row r="45" spans="1:16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x14ac:dyDescent="0.25">
      <c r="A46" s="5"/>
      <c r="B46" s="5" t="s">
        <v>229</v>
      </c>
      <c r="C46" s="5"/>
      <c r="D46" s="5"/>
      <c r="E46" s="5"/>
      <c r="F46" s="5"/>
      <c r="G46" s="5"/>
      <c r="H46" s="5"/>
      <c r="I46" s="5"/>
      <c r="J46" s="11">
        <f ca="1">ROUND($J$43*0,-3)</f>
        <v>0</v>
      </c>
      <c r="K46" s="5"/>
      <c r="L46" s="5" t="s">
        <v>305</v>
      </c>
      <c r="M46" s="5"/>
      <c r="N46" s="5"/>
      <c r="O46" s="5"/>
      <c r="P46" s="5"/>
    </row>
    <row r="47" spans="1:16" x14ac:dyDescent="0.25">
      <c r="A47" s="5"/>
      <c r="B47" s="122" t="s">
        <v>267</v>
      </c>
      <c r="C47" s="5"/>
      <c r="D47" s="5"/>
      <c r="E47" s="5"/>
      <c r="F47" s="5"/>
      <c r="G47" s="5"/>
      <c r="H47" s="5"/>
      <c r="I47" s="5"/>
      <c r="J47" s="11">
        <f ca="1">ROUND((J39+J42)*IF(I3,0.15,0),-3)</f>
        <v>0</v>
      </c>
      <c r="K47" s="5"/>
      <c r="L47" s="5" t="s">
        <v>231</v>
      </c>
      <c r="M47" s="5"/>
      <c r="N47" s="5"/>
      <c r="O47" s="5"/>
      <c r="P47" s="5"/>
    </row>
    <row r="48" spans="1:16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5"/>
      <c r="B49" s="10" t="s">
        <v>419</v>
      </c>
      <c r="C49" s="10"/>
      <c r="D49" s="10"/>
      <c r="E49" s="10"/>
      <c r="F49" s="10"/>
      <c r="G49" s="10"/>
      <c r="H49" s="10"/>
      <c r="I49" s="10"/>
      <c r="J49" s="14">
        <f ca="1">J39+J42+J46+J47</f>
        <v>23118000</v>
      </c>
      <c r="K49" s="5"/>
      <c r="L49" s="5" t="s">
        <v>147</v>
      </c>
      <c r="M49" s="5"/>
      <c r="N49" s="5"/>
      <c r="O49" s="5"/>
      <c r="P49" s="5"/>
    </row>
    <row r="50" spans="1:16" x14ac:dyDescent="0.25">
      <c r="A50" s="5"/>
      <c r="B50" s="10" t="s">
        <v>233</v>
      </c>
      <c r="C50" s="10"/>
      <c r="D50" s="10"/>
      <c r="E50" s="10"/>
      <c r="F50" s="10"/>
      <c r="G50" s="10"/>
      <c r="H50" s="10"/>
      <c r="I50" s="10"/>
      <c r="J50" s="15">
        <f ca="1">J49/(I5*1000)</f>
        <v>46.235999999999997</v>
      </c>
      <c r="K50" s="5"/>
      <c r="L50" s="5" t="s">
        <v>148</v>
      </c>
      <c r="M50" s="5"/>
      <c r="N50" s="5"/>
      <c r="O50" s="5"/>
      <c r="P50" s="5"/>
    </row>
    <row r="51" spans="1:16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x14ac:dyDescent="0.25">
      <c r="A52" s="5" t="s">
        <v>93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x14ac:dyDescent="0.25">
      <c r="A53" s="5"/>
      <c r="B53" s="5" t="s">
        <v>306</v>
      </c>
      <c r="C53" s="5"/>
      <c r="D53" s="5"/>
      <c r="E53" s="5"/>
      <c r="F53" s="5"/>
      <c r="G53" s="5"/>
      <c r="H53" s="5"/>
      <c r="I53" s="5"/>
      <c r="J53" s="16">
        <f>ROUND(2*2080*I25/(I5*1000),3)</f>
        <v>0.499</v>
      </c>
      <c r="K53" s="5"/>
      <c r="L53" s="5" t="s">
        <v>149</v>
      </c>
      <c r="M53" s="5"/>
      <c r="N53" s="5"/>
      <c r="O53" s="5"/>
      <c r="P53" s="5"/>
    </row>
    <row r="54" spans="1:16" x14ac:dyDescent="0.25">
      <c r="A54" s="5"/>
      <c r="B54" s="5" t="s">
        <v>307</v>
      </c>
      <c r="C54" s="5"/>
      <c r="D54" s="5"/>
      <c r="E54" s="5"/>
      <c r="F54" s="5"/>
      <c r="G54" s="5"/>
      <c r="H54" s="5"/>
      <c r="I54" s="5"/>
      <c r="J54" s="16">
        <f ca="1">ROUND((J31*0.01)/(I6*I5*1000),3)</f>
        <v>0.36699999999999999</v>
      </c>
      <c r="K54" s="5"/>
      <c r="L54" s="5" t="s">
        <v>150</v>
      </c>
      <c r="M54" s="5"/>
      <c r="N54" s="5"/>
      <c r="O54" s="5"/>
      <c r="P54" s="5"/>
    </row>
    <row r="55" spans="1:16" x14ac:dyDescent="0.25">
      <c r="A55" s="5"/>
      <c r="B55" s="5" t="s">
        <v>98</v>
      </c>
      <c r="C55" s="5"/>
      <c r="D55" s="5"/>
      <c r="E55" s="5"/>
      <c r="F55" s="5"/>
      <c r="G55" s="5"/>
      <c r="H55" s="5"/>
      <c r="I55" s="5"/>
      <c r="J55" s="16">
        <f ca="1">ROUND(0.03*(J53+0.4*J54),4)</f>
        <v>1.9400000000000001E-2</v>
      </c>
      <c r="K55" s="5"/>
      <c r="L55" s="5" t="s">
        <v>151</v>
      </c>
      <c r="M55" s="5"/>
      <c r="N55" s="5"/>
      <c r="O55" s="5"/>
      <c r="P55" s="5"/>
    </row>
    <row r="56" spans="1:16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x14ac:dyDescent="0.25">
      <c r="A58" s="5"/>
      <c r="B58" s="10" t="s">
        <v>409</v>
      </c>
      <c r="C58" s="10"/>
      <c r="D58" s="10"/>
      <c r="E58" s="10"/>
      <c r="F58" s="10"/>
      <c r="G58" s="10"/>
      <c r="H58" s="10"/>
      <c r="I58" s="10"/>
      <c r="J58" s="17">
        <f ca="1">SUM(J53+J54+J55)</f>
        <v>0.88539999999999996</v>
      </c>
      <c r="K58" s="5"/>
      <c r="L58" s="5" t="s">
        <v>152</v>
      </c>
      <c r="M58" s="5"/>
      <c r="N58" s="5"/>
      <c r="O58" s="5"/>
      <c r="P58" s="5"/>
    </row>
    <row r="59" spans="1:16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x14ac:dyDescent="0.25">
      <c r="A60" s="5" t="s">
        <v>100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x14ac:dyDescent="0.25">
      <c r="A61" s="5"/>
      <c r="B61" s="5" t="s">
        <v>308</v>
      </c>
      <c r="C61" s="5"/>
      <c r="D61" s="5"/>
      <c r="E61" s="5"/>
      <c r="F61" s="5"/>
      <c r="G61" s="5"/>
      <c r="H61" s="5"/>
      <c r="I61" s="5"/>
      <c r="J61" s="16">
        <f ca="1">ROUND(I15*I21/I5,3)</f>
        <v>5.5540000000000003</v>
      </c>
      <c r="K61" s="5"/>
      <c r="L61" s="5" t="s">
        <v>309</v>
      </c>
      <c r="M61" s="5"/>
      <c r="N61" s="5"/>
      <c r="O61" s="5"/>
      <c r="P61" s="5"/>
    </row>
    <row r="62" spans="1:16" x14ac:dyDescent="0.25">
      <c r="A62" s="5"/>
      <c r="B62" s="5" t="s">
        <v>310</v>
      </c>
      <c r="C62" s="5"/>
      <c r="D62" s="5"/>
      <c r="E62" s="5"/>
      <c r="F62" s="5"/>
      <c r="G62" s="5"/>
      <c r="H62" s="5"/>
      <c r="I62" s="5"/>
      <c r="J62" s="16">
        <f ca="1" xml:space="preserve"> ROUND((I17+I18)*I22/I5,3)</f>
        <v>3.3849999999999998</v>
      </c>
      <c r="K62" s="5"/>
      <c r="L62" s="5" t="s">
        <v>312</v>
      </c>
      <c r="M62" s="5"/>
      <c r="N62" s="5"/>
      <c r="O62" s="5"/>
      <c r="P62" s="5"/>
    </row>
    <row r="63" spans="1:16" x14ac:dyDescent="0.25">
      <c r="A63" s="5"/>
      <c r="B63" s="5" t="s">
        <v>311</v>
      </c>
      <c r="C63" s="5"/>
      <c r="D63" s="5"/>
      <c r="E63" s="5"/>
      <c r="F63" s="5"/>
      <c r="G63" s="5"/>
      <c r="H63" s="5"/>
      <c r="I63" s="5"/>
      <c r="J63" s="18">
        <f ca="1">IF(B129,I19*I23*10,0)</f>
        <v>0.39201524975406588</v>
      </c>
      <c r="K63" s="5"/>
      <c r="L63" s="5" t="s">
        <v>245</v>
      </c>
      <c r="M63" s="5"/>
      <c r="N63" s="5"/>
      <c r="O63" s="5"/>
      <c r="P63" s="5"/>
    </row>
    <row r="64" spans="1:16" x14ac:dyDescent="0.25">
      <c r="A64" s="5"/>
      <c r="B64" s="5"/>
      <c r="C64" s="5"/>
      <c r="D64" s="5"/>
      <c r="E64" s="5"/>
      <c r="F64" s="5"/>
      <c r="G64" s="5"/>
      <c r="H64" s="5"/>
      <c r="I64" s="5"/>
      <c r="J64" s="18"/>
      <c r="K64" s="5"/>
      <c r="L64" s="5"/>
      <c r="M64" s="5"/>
      <c r="N64" s="5"/>
      <c r="O64" s="5"/>
      <c r="P64" s="5"/>
    </row>
    <row r="65" spans="1:16" x14ac:dyDescent="0.25">
      <c r="A65" s="5"/>
      <c r="B65" s="5"/>
      <c r="C65" s="5"/>
      <c r="D65" s="5"/>
      <c r="E65" s="5"/>
      <c r="F65" s="5"/>
      <c r="G65" s="5"/>
      <c r="H65" s="5"/>
      <c r="I65" s="5"/>
      <c r="J65" s="18"/>
      <c r="K65" s="5"/>
      <c r="L65" s="5"/>
      <c r="M65" s="5"/>
      <c r="N65" s="5"/>
      <c r="O65" s="5"/>
      <c r="P65" s="5"/>
    </row>
    <row r="66" spans="1:16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x14ac:dyDescent="0.25">
      <c r="A67" s="5"/>
      <c r="B67" s="10" t="s">
        <v>410</v>
      </c>
      <c r="C67" s="10"/>
      <c r="D67" s="10"/>
      <c r="E67" s="10"/>
      <c r="F67" s="10"/>
      <c r="G67" s="10"/>
      <c r="H67" s="10"/>
      <c r="I67" s="10"/>
      <c r="J67" s="17">
        <f ca="1">SUM(J61+J62+J63+J64)</f>
        <v>9.3310152497540653</v>
      </c>
      <c r="K67" s="5"/>
      <c r="L67" s="5" t="s">
        <v>157</v>
      </c>
      <c r="M67" s="5"/>
      <c r="N67" s="5"/>
      <c r="O67" s="5"/>
      <c r="P67" s="5"/>
    </row>
    <row r="68" spans="1:16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x14ac:dyDescent="0.25">
      <c r="A69" s="5"/>
      <c r="B69" s="5"/>
      <c r="C69" s="5"/>
      <c r="D69" s="5"/>
      <c r="E69" s="5"/>
      <c r="F69" s="5"/>
      <c r="G69" s="19" t="s">
        <v>110</v>
      </c>
      <c r="H69" s="29">
        <f>I4/100</f>
        <v>0.85</v>
      </c>
      <c r="I69" s="5"/>
      <c r="J69" s="5"/>
      <c r="K69" s="5"/>
      <c r="L69" s="5"/>
      <c r="M69" s="5"/>
      <c r="N69" s="5"/>
      <c r="O69" s="5"/>
      <c r="P69" s="5"/>
    </row>
    <row r="70" spans="1:16" x14ac:dyDescent="0.25">
      <c r="A70" s="5"/>
      <c r="B70" s="5"/>
      <c r="C70" s="5"/>
      <c r="D70" s="5"/>
      <c r="E70" s="5"/>
      <c r="F70" s="5"/>
      <c r="G70" s="19" t="s">
        <v>111</v>
      </c>
      <c r="H70" s="20">
        <f>H69*I5*8760</f>
        <v>3723000</v>
      </c>
      <c r="I70" s="5"/>
      <c r="J70" s="5"/>
      <c r="K70" s="5"/>
      <c r="L70" s="5"/>
      <c r="M70" s="5"/>
      <c r="N70" s="5"/>
      <c r="O70" s="5"/>
      <c r="P70" s="5"/>
    </row>
    <row r="71" spans="1:16" x14ac:dyDescent="0.25">
      <c r="A71" s="5"/>
      <c r="B71" s="5"/>
      <c r="C71" s="5"/>
      <c r="D71" s="5"/>
      <c r="E71" s="5"/>
      <c r="F71" s="5"/>
      <c r="G71" s="19" t="s">
        <v>112</v>
      </c>
      <c r="H71" s="21">
        <f>H70*1000*I7/1000000</f>
        <v>35368500</v>
      </c>
      <c r="I71" s="5"/>
      <c r="J71" s="5"/>
      <c r="K71" s="5"/>
      <c r="L71" s="5"/>
      <c r="M71" s="5"/>
      <c r="N71" s="5"/>
      <c r="O71" s="5"/>
      <c r="P71" s="5"/>
    </row>
    <row r="72" spans="1:16" x14ac:dyDescent="0.25">
      <c r="A72" s="5"/>
      <c r="B72" s="5"/>
      <c r="C72" s="5"/>
      <c r="D72" s="5"/>
      <c r="E72" s="5"/>
      <c r="F72" s="5"/>
      <c r="G72" s="19" t="s">
        <v>250</v>
      </c>
      <c r="H72" s="21">
        <f>I8*H71/2000</f>
        <v>35368.5</v>
      </c>
      <c r="I72" s="5" t="s">
        <v>253</v>
      </c>
      <c r="J72" s="5"/>
      <c r="K72" s="5"/>
      <c r="L72" s="5"/>
      <c r="M72" s="5"/>
      <c r="N72" s="5"/>
      <c r="O72" s="5"/>
      <c r="P72" s="5"/>
    </row>
    <row r="73" spans="1:16" x14ac:dyDescent="0.25">
      <c r="A73" s="5"/>
      <c r="B73" s="5"/>
      <c r="C73" s="5"/>
      <c r="D73" s="5"/>
      <c r="E73" s="5"/>
      <c r="F73" s="5"/>
      <c r="G73" s="19" t="s">
        <v>251</v>
      </c>
      <c r="H73" s="97">
        <f>I12*H72/100</f>
        <v>17684.25</v>
      </c>
      <c r="I73" s="5" t="str">
        <f>"at removal efficiency = "&amp;I12&amp;"%"</f>
        <v>at removal efficiency = 50%</v>
      </c>
      <c r="J73" s="5"/>
      <c r="K73" s="5"/>
      <c r="L73" s="5"/>
      <c r="M73" s="5"/>
      <c r="N73" s="5"/>
      <c r="O73" s="5"/>
      <c r="P73" s="5"/>
    </row>
    <row r="74" spans="1:16" x14ac:dyDescent="0.25">
      <c r="A74" s="5"/>
      <c r="B74" s="5"/>
      <c r="C74" s="5"/>
      <c r="D74" s="5"/>
      <c r="E74" s="5"/>
      <c r="F74" s="5"/>
      <c r="G74" s="19" t="s">
        <v>252</v>
      </c>
      <c r="H74" s="21">
        <f>H72-H73</f>
        <v>17684.25</v>
      </c>
      <c r="I74" s="5"/>
      <c r="J74" s="5"/>
      <c r="K74" s="5"/>
      <c r="L74" s="5"/>
      <c r="M74" s="5"/>
      <c r="N74" s="5"/>
      <c r="O74" s="5"/>
      <c r="P74" s="5"/>
    </row>
    <row r="75" spans="1:16" x14ac:dyDescent="0.25">
      <c r="A75" s="5"/>
      <c r="B75" s="5"/>
      <c r="C75" s="5"/>
      <c r="D75" s="5"/>
      <c r="E75" s="5"/>
      <c r="F75" s="5"/>
      <c r="G75" s="19" t="s">
        <v>313</v>
      </c>
      <c r="H75" s="57">
        <f>H74*2000/H71</f>
        <v>1</v>
      </c>
      <c r="I75" s="5" t="str">
        <f>IF(H75&gt;=0.1,"Value is AT or ABOVE a 0.1 floor rate","Value is BELOW a 0.1 floor rate")</f>
        <v>Value is AT or ABOVE a 0.1 floor rate</v>
      </c>
      <c r="J75" s="5"/>
      <c r="K75" s="5"/>
      <c r="L75" s="5"/>
      <c r="M75" s="5"/>
      <c r="N75" s="5"/>
      <c r="O75" s="5"/>
      <c r="P75" s="5"/>
    </row>
    <row r="76" spans="1:16" x14ac:dyDescent="0.25">
      <c r="A76" s="5"/>
      <c r="B76" s="5"/>
      <c r="C76" s="5"/>
      <c r="D76" s="98"/>
      <c r="E76" s="98"/>
      <c r="F76" s="98"/>
      <c r="G76" s="99" t="s">
        <v>314</v>
      </c>
      <c r="H76" s="100">
        <f ca="1">(I15*8760*H69/1000000)/(H73/1000000)</f>
        <v>6.8774605220011562</v>
      </c>
      <c r="I76" s="5"/>
      <c r="J76" s="5"/>
      <c r="K76" s="5"/>
      <c r="L76" s="5"/>
      <c r="M76" s="5"/>
      <c r="N76" s="5"/>
      <c r="O76" s="5"/>
      <c r="P76" s="5"/>
    </row>
    <row r="77" spans="1:16" x14ac:dyDescent="0.25">
      <c r="A77" s="5"/>
      <c r="B77" s="5"/>
      <c r="C77" s="5"/>
      <c r="D77" s="5"/>
      <c r="E77" s="5"/>
      <c r="F77" s="5"/>
      <c r="G77" s="19" t="s">
        <v>117</v>
      </c>
      <c r="H77" s="30">
        <f>0.143</f>
        <v>0.14299999999999999</v>
      </c>
      <c r="I77" s="5" t="s">
        <v>315</v>
      </c>
      <c r="J77" s="5"/>
      <c r="K77" s="5"/>
      <c r="L77" s="5"/>
      <c r="M77" s="5"/>
      <c r="N77" s="5"/>
      <c r="O77" s="5"/>
      <c r="P77" s="5"/>
    </row>
    <row r="78" spans="1:16" x14ac:dyDescent="0.25">
      <c r="A78" s="5"/>
      <c r="B78" s="5"/>
      <c r="C78" s="5"/>
      <c r="D78" s="5"/>
      <c r="E78" s="5"/>
      <c r="F78" s="5"/>
      <c r="G78" s="5"/>
      <c r="H78" s="19" t="s">
        <v>118</v>
      </c>
      <c r="I78" s="20">
        <f ca="1">ROUND(H77*J49,-3)</f>
        <v>3306000</v>
      </c>
      <c r="J78" s="5"/>
      <c r="K78" s="5"/>
      <c r="L78" s="5"/>
      <c r="M78" s="5"/>
      <c r="N78" s="5"/>
      <c r="O78" s="5"/>
      <c r="P78" s="5"/>
    </row>
    <row r="79" spans="1:16" x14ac:dyDescent="0.25">
      <c r="A79" s="5"/>
      <c r="B79" s="5"/>
      <c r="C79" s="5"/>
      <c r="D79" s="5"/>
      <c r="E79" s="5"/>
      <c r="F79" s="5"/>
      <c r="G79" s="5"/>
      <c r="H79" s="19" t="s">
        <v>119</v>
      </c>
      <c r="I79" s="20">
        <f ca="1">ROUND(J58*I5*1000,-3)</f>
        <v>443000</v>
      </c>
      <c r="J79" s="5"/>
      <c r="K79" s="5"/>
      <c r="L79" s="5"/>
      <c r="M79" s="5"/>
      <c r="N79" s="5"/>
      <c r="O79" s="5"/>
      <c r="P79" s="5"/>
    </row>
    <row r="80" spans="1:16" x14ac:dyDescent="0.25">
      <c r="A80" s="5"/>
      <c r="B80" s="5"/>
      <c r="C80" s="5"/>
      <c r="D80" s="5"/>
      <c r="E80" s="5"/>
      <c r="F80" s="5"/>
      <c r="G80" s="5"/>
      <c r="H80" s="19" t="s">
        <v>120</v>
      </c>
      <c r="I80" s="20">
        <f ca="1">ROUND(J67*H70,-3)</f>
        <v>34739000</v>
      </c>
      <c r="J80" s="5"/>
      <c r="K80" s="5"/>
      <c r="L80" s="5"/>
      <c r="M80" s="5"/>
      <c r="N80" s="5"/>
      <c r="O80" s="5"/>
      <c r="P80" s="5"/>
    </row>
    <row r="81" spans="1:16" x14ac:dyDescent="0.25">
      <c r="A81" s="5"/>
      <c r="B81" s="5"/>
      <c r="C81" s="5"/>
      <c r="D81" s="5"/>
      <c r="E81" s="5"/>
      <c r="F81" s="5"/>
      <c r="G81" s="48"/>
      <c r="H81" s="49" t="s">
        <v>121</v>
      </c>
      <c r="I81" s="50">
        <f ca="1">SUM(I78:I80)</f>
        <v>38488000</v>
      </c>
      <c r="J81" s="5"/>
      <c r="K81" s="5"/>
      <c r="L81" s="5"/>
      <c r="M81" s="5"/>
      <c r="N81" s="5"/>
      <c r="O81" s="5"/>
      <c r="P81" s="5"/>
    </row>
    <row r="82" spans="1:16" ht="15.75" thickBo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ht="15.75" thickTop="1" x14ac:dyDescent="0.25">
      <c r="A83" s="5"/>
      <c r="B83" s="5"/>
      <c r="C83" s="5"/>
      <c r="D83" s="5"/>
      <c r="E83" s="5"/>
      <c r="F83" s="5"/>
      <c r="G83" s="52"/>
      <c r="H83" s="53" t="s">
        <v>122</v>
      </c>
      <c r="I83" s="55">
        <f ca="1">I78/$H$70</f>
        <v>0.88799355358581789</v>
      </c>
      <c r="J83" s="5"/>
      <c r="K83" s="5"/>
      <c r="L83" s="5"/>
      <c r="M83" s="5"/>
      <c r="N83" s="5"/>
      <c r="O83" s="5"/>
      <c r="P83" s="5"/>
    </row>
    <row r="84" spans="1:16" x14ac:dyDescent="0.25">
      <c r="A84" s="5"/>
      <c r="B84" s="5"/>
      <c r="C84" s="5"/>
      <c r="D84" s="5"/>
      <c r="E84" s="5"/>
      <c r="F84" s="5"/>
      <c r="G84" s="5"/>
      <c r="H84" s="19" t="s">
        <v>123</v>
      </c>
      <c r="I84" s="22">
        <f t="shared" ref="I84:I85" ca="1" si="0">I79/$H$70</f>
        <v>0.11899006177813591</v>
      </c>
      <c r="J84" s="5"/>
      <c r="K84" s="5"/>
      <c r="L84" s="5"/>
      <c r="M84" s="5"/>
      <c r="N84" s="5"/>
      <c r="O84" s="5"/>
      <c r="P84" s="5"/>
    </row>
    <row r="85" spans="1:16" x14ac:dyDescent="0.25">
      <c r="A85" s="5"/>
      <c r="B85" s="5"/>
      <c r="C85" s="5"/>
      <c r="D85" s="5"/>
      <c r="E85" s="5"/>
      <c r="F85" s="5"/>
      <c r="G85" s="5"/>
      <c r="H85" s="19" t="s">
        <v>124</v>
      </c>
      <c r="I85" s="22">
        <f t="shared" ca="1" si="0"/>
        <v>9.3309159280150418</v>
      </c>
      <c r="J85" s="5"/>
      <c r="K85" s="5"/>
      <c r="L85" s="5"/>
      <c r="M85" s="5"/>
      <c r="N85" s="5"/>
      <c r="O85" s="5"/>
      <c r="P85" s="5"/>
    </row>
    <row r="86" spans="1:16" x14ac:dyDescent="0.25">
      <c r="A86" s="5"/>
      <c r="B86" s="5"/>
      <c r="C86" s="5"/>
      <c r="D86" s="5"/>
      <c r="E86" s="5"/>
      <c r="F86" s="5"/>
      <c r="G86" s="48"/>
      <c r="H86" s="49" t="s">
        <v>125</v>
      </c>
      <c r="I86" s="51">
        <f ca="1">SUM(I83:I85)</f>
        <v>10.337899543378995</v>
      </c>
      <c r="J86" s="5"/>
      <c r="K86" s="5"/>
      <c r="L86" s="5"/>
      <c r="M86" s="5"/>
      <c r="N86" s="5"/>
      <c r="O86" s="5"/>
      <c r="P86" s="5"/>
    </row>
    <row r="87" spans="1:16" ht="15.75" thickBo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5.75" thickTop="1" x14ac:dyDescent="0.25">
      <c r="A88" s="5"/>
      <c r="B88" s="5"/>
      <c r="C88" s="5"/>
      <c r="D88" s="5"/>
      <c r="E88" s="5"/>
      <c r="F88" s="5"/>
      <c r="G88" s="52"/>
      <c r="H88" s="53" t="s">
        <v>126</v>
      </c>
      <c r="I88" s="54">
        <f ca="1">I78/$H$73</f>
        <v>186.94601128122483</v>
      </c>
      <c r="J88" s="5"/>
      <c r="K88" s="5"/>
      <c r="L88" s="5"/>
      <c r="M88" s="5"/>
      <c r="N88" s="5"/>
      <c r="O88" s="5"/>
      <c r="P88" s="5"/>
    </row>
    <row r="89" spans="1:16" x14ac:dyDescent="0.25">
      <c r="A89" s="5"/>
      <c r="B89" s="5"/>
      <c r="C89" s="5"/>
      <c r="D89" s="5"/>
      <c r="E89" s="5"/>
      <c r="F89" s="5"/>
      <c r="G89" s="5"/>
      <c r="H89" s="19" t="s">
        <v>127</v>
      </c>
      <c r="I89" s="20">
        <f t="shared" ref="I89:I90" ca="1" si="1">I79/$H$73</f>
        <v>25.050539321712822</v>
      </c>
      <c r="J89" s="5"/>
      <c r="K89" s="5"/>
      <c r="L89" s="5"/>
      <c r="M89" s="5"/>
      <c r="N89" s="5"/>
      <c r="O89" s="5"/>
      <c r="P89" s="5"/>
    </row>
    <row r="90" spans="1:16" x14ac:dyDescent="0.25">
      <c r="A90" s="5"/>
      <c r="B90" s="5"/>
      <c r="C90" s="5"/>
      <c r="D90" s="5"/>
      <c r="E90" s="5"/>
      <c r="F90" s="5"/>
      <c r="G90" s="5"/>
      <c r="H90" s="19" t="s">
        <v>128</v>
      </c>
      <c r="I90" s="20">
        <f t="shared" ca="1" si="1"/>
        <v>1964.4033532663245</v>
      </c>
      <c r="J90" s="5"/>
      <c r="K90" s="5"/>
      <c r="L90" s="5"/>
      <c r="M90" s="5"/>
      <c r="N90" s="5"/>
      <c r="O90" s="5"/>
      <c r="P90" s="5"/>
    </row>
    <row r="91" spans="1:16" x14ac:dyDescent="0.25">
      <c r="A91" s="5"/>
      <c r="B91" s="5"/>
      <c r="C91" s="5"/>
      <c r="D91" s="5"/>
      <c r="E91" s="5"/>
      <c r="F91" s="5"/>
      <c r="G91" s="48"/>
      <c r="H91" s="49" t="s">
        <v>129</v>
      </c>
      <c r="I91" s="50">
        <f ca="1">SUM(I88:I90)</f>
        <v>2176.3999038692623</v>
      </c>
      <c r="J91" s="5"/>
      <c r="K91" s="5"/>
      <c r="L91" s="5"/>
      <c r="M91" s="5"/>
      <c r="N91" s="5"/>
      <c r="O91" s="5"/>
      <c r="P91" s="5"/>
    </row>
    <row r="92" spans="1:16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x14ac:dyDescent="0.25">
      <c r="A94" t="s">
        <v>131</v>
      </c>
      <c r="I94" s="5"/>
      <c r="J94" s="5"/>
      <c r="K94" s="5"/>
      <c r="L94" s="5"/>
      <c r="M94" s="5"/>
      <c r="N94" s="5"/>
      <c r="O94" s="5"/>
      <c r="P94" s="5"/>
    </row>
    <row r="95" spans="1:16" x14ac:dyDescent="0.25">
      <c r="B95" s="58" t="s">
        <v>270</v>
      </c>
      <c r="F95" s="59" t="s">
        <v>271</v>
      </c>
      <c r="G95" s="60">
        <f>VLOOKUP(I10,A97:E98,MATCH(I11,A135:A137,FALSE)+2)</f>
        <v>80</v>
      </c>
      <c r="I95" s="5"/>
      <c r="J95" s="5"/>
      <c r="K95" s="5"/>
      <c r="L95" s="5"/>
      <c r="M95" s="5"/>
      <c r="N95" s="5"/>
      <c r="O95" s="5"/>
      <c r="P95" s="5"/>
    </row>
    <row r="96" spans="1:16" x14ac:dyDescent="0.25">
      <c r="B96" t="s">
        <v>272</v>
      </c>
      <c r="C96" s="61" t="s">
        <v>273</v>
      </c>
      <c r="D96" t="s">
        <v>274</v>
      </c>
      <c r="E96" s="58" t="s">
        <v>275</v>
      </c>
      <c r="F96" s="61"/>
      <c r="H96" s="58"/>
      <c r="I96" s="5"/>
      <c r="J96" s="5"/>
      <c r="K96" s="5"/>
      <c r="L96" s="5"/>
      <c r="M96" s="5"/>
      <c r="N96" s="5"/>
      <c r="O96" s="5"/>
      <c r="P96" s="5"/>
    </row>
    <row r="97" spans="1:16" x14ac:dyDescent="0.25">
      <c r="A97">
        <v>1</v>
      </c>
      <c r="B97" t="s">
        <v>276</v>
      </c>
      <c r="C97">
        <v>80</v>
      </c>
      <c r="D97">
        <v>65</v>
      </c>
      <c r="E97">
        <v>30</v>
      </c>
      <c r="I97" s="5"/>
      <c r="J97" s="5"/>
      <c r="K97" s="5"/>
      <c r="L97" s="5"/>
      <c r="M97" s="5"/>
      <c r="N97" s="5"/>
      <c r="O97" s="5"/>
      <c r="P97" s="5"/>
    </row>
    <row r="98" spans="1:16" x14ac:dyDescent="0.25">
      <c r="A98">
        <v>2</v>
      </c>
      <c r="B98" t="s">
        <v>277</v>
      </c>
      <c r="C98">
        <v>90</v>
      </c>
      <c r="D98">
        <v>80</v>
      </c>
      <c r="E98">
        <v>50</v>
      </c>
      <c r="I98" s="5"/>
      <c r="J98" s="5"/>
      <c r="K98" s="5"/>
      <c r="L98" s="5"/>
      <c r="M98" s="5"/>
      <c r="N98" s="5"/>
      <c r="O98" s="5"/>
      <c r="P98" s="5"/>
    </row>
    <row r="99" spans="1:16" x14ac:dyDescent="0.25">
      <c r="C99" s="62"/>
      <c r="I99" s="5"/>
      <c r="J99" s="5"/>
      <c r="K99" s="5"/>
      <c r="L99" s="5"/>
      <c r="M99" s="5"/>
      <c r="N99" s="5"/>
      <c r="O99" s="5"/>
      <c r="P99" s="5"/>
    </row>
    <row r="100" spans="1:16" x14ac:dyDescent="0.25">
      <c r="B100" s="58" t="s">
        <v>278</v>
      </c>
      <c r="C100" s="62"/>
      <c r="I100" s="5"/>
      <c r="J100" s="5"/>
      <c r="K100" s="5"/>
      <c r="L100" s="5"/>
      <c r="M100" s="5"/>
      <c r="N100" s="5"/>
      <c r="O100" s="5"/>
      <c r="P100" s="5"/>
    </row>
    <row r="101" spans="1:16" x14ac:dyDescent="0.25">
      <c r="B101" t="s">
        <v>272</v>
      </c>
      <c r="C101" s="61" t="s">
        <v>273</v>
      </c>
      <c r="D101" t="s">
        <v>274</v>
      </c>
      <c r="E101" s="58" t="s">
        <v>275</v>
      </c>
      <c r="F101" s="61"/>
      <c r="H101" s="58"/>
      <c r="I101" s="5"/>
      <c r="J101" s="5"/>
      <c r="K101" s="5"/>
      <c r="L101" s="5"/>
      <c r="M101" s="5"/>
      <c r="N101" s="5"/>
      <c r="O101" s="5"/>
      <c r="P101" s="5"/>
    </row>
    <row r="102" spans="1:16" x14ac:dyDescent="0.25">
      <c r="A102">
        <v>1</v>
      </c>
      <c r="B102" t="s">
        <v>276</v>
      </c>
      <c r="C102" s="63">
        <f>IF(I12&lt;40,0.027*I12,0.353*EXP(0.028*I12))</f>
        <v>1.4314855882961703</v>
      </c>
      <c r="D102" s="63">
        <f>IF(I12&lt;40,0.035*I12,0.352*EXP(0.0345*I12))</f>
        <v>1.9756074024519912</v>
      </c>
      <c r="E102" s="64">
        <f>0.504*I12^0.3905</f>
        <v>2.3220861232610654</v>
      </c>
      <c r="I102" s="5"/>
      <c r="J102" s="5"/>
      <c r="K102" s="5"/>
      <c r="L102" s="5"/>
      <c r="M102" s="5"/>
      <c r="N102" s="5"/>
      <c r="O102" s="5"/>
      <c r="P102" s="5"/>
    </row>
    <row r="103" spans="1:16" x14ac:dyDescent="0.25">
      <c r="A103">
        <v>2</v>
      </c>
      <c r="B103" t="s">
        <v>277</v>
      </c>
      <c r="C103" s="65">
        <f>IF(I12&lt;40,0.016*I12,0.208*EXP(0.0281*I12))</f>
        <v>0.84770956218364546</v>
      </c>
      <c r="D103" s="65">
        <f>IF(I12&lt;40,0.0215*I12,0.295*EXP(0.0267*I12))</f>
        <v>1.1209988041936845</v>
      </c>
      <c r="E103" s="64">
        <f>0.0087*I12+0.6505</f>
        <v>1.0854999999999999</v>
      </c>
      <c r="I103" s="5"/>
      <c r="J103" s="5"/>
      <c r="K103" s="5"/>
      <c r="L103" s="5"/>
      <c r="M103" s="5"/>
      <c r="N103" s="5"/>
      <c r="O103" s="5"/>
      <c r="P103" s="5"/>
    </row>
    <row r="104" spans="1:16" x14ac:dyDescent="0.25">
      <c r="C104" s="65"/>
      <c r="D104" s="65"/>
      <c r="E104" s="64"/>
      <c r="I104" s="5"/>
      <c r="J104" s="5"/>
      <c r="K104" s="5"/>
      <c r="L104" s="5"/>
      <c r="M104" s="5"/>
      <c r="N104" s="5"/>
      <c r="O104" s="5"/>
      <c r="P104" s="5"/>
    </row>
    <row r="105" spans="1:16" x14ac:dyDescent="0.25">
      <c r="B105" t="s">
        <v>279</v>
      </c>
      <c r="C105" s="62"/>
    </row>
    <row r="106" spans="1:16" x14ac:dyDescent="0.25">
      <c r="C106" s="61" t="s">
        <v>273</v>
      </c>
      <c r="D106" t="s">
        <v>274</v>
      </c>
      <c r="E106" s="58" t="s">
        <v>275</v>
      </c>
    </row>
    <row r="107" spans="1:16" x14ac:dyDescent="0.25">
      <c r="C107" s="63">
        <f>(1.20110544217687E-06)*I14*I5*I7*I8</f>
        <v>16.333968739752745</v>
      </c>
      <c r="D107" s="63">
        <f>(1.20110544217687E-06)*I14*I5*I7*I8</f>
        <v>16.333968739752745</v>
      </c>
      <c r="E107" s="64">
        <f>(6.0055*(10^-7))*I14*I5*I7*I8</f>
        <v>8.1669473654870171</v>
      </c>
    </row>
    <row r="108" spans="1:16" x14ac:dyDescent="0.25">
      <c r="C108" s="62"/>
    </row>
    <row r="109" spans="1:16" x14ac:dyDescent="0.25">
      <c r="B109" s="66" t="s">
        <v>280</v>
      </c>
      <c r="C109" s="62"/>
    </row>
    <row r="110" spans="1:16" x14ac:dyDescent="0.25">
      <c r="B110" t="s">
        <v>272</v>
      </c>
      <c r="C110" s="61" t="s">
        <v>273</v>
      </c>
      <c r="D110" t="s">
        <v>274</v>
      </c>
      <c r="E110" s="58" t="s">
        <v>275</v>
      </c>
    </row>
    <row r="111" spans="1:16" x14ac:dyDescent="0.25">
      <c r="A111">
        <v>1</v>
      </c>
      <c r="B111" t="s">
        <v>276</v>
      </c>
      <c r="C111" s="63">
        <f>60.86*I12^0.1081</f>
        <v>92.894629191533895</v>
      </c>
      <c r="D111" s="63">
        <f>60.86*I12^0.1081</f>
        <v>92.894629191533895</v>
      </c>
      <c r="E111" s="64">
        <f>54.92*I12^0.197</f>
        <v>118.69368667555966</v>
      </c>
    </row>
    <row r="112" spans="1:16" x14ac:dyDescent="0.25">
      <c r="A112">
        <v>2</v>
      </c>
      <c r="B112" t="s">
        <v>277</v>
      </c>
      <c r="C112" s="65">
        <f xml:space="preserve"> 0.005*I12+97.574</f>
        <v>97.823999999999998</v>
      </c>
      <c r="D112" s="65">
        <f>0.005*I12+97.574</f>
        <v>97.823999999999998</v>
      </c>
      <c r="E112" s="64">
        <f>0.0085*I12+99.12</f>
        <v>99.545000000000002</v>
      </c>
    </row>
    <row r="113" spans="1:6" x14ac:dyDescent="0.25">
      <c r="B113" s="67"/>
      <c r="C113" s="62"/>
    </row>
    <row r="114" spans="1:6" x14ac:dyDescent="0.25">
      <c r="B114" t="s">
        <v>281</v>
      </c>
      <c r="C114" s="62"/>
    </row>
    <row r="115" spans="1:6" x14ac:dyDescent="0.25">
      <c r="C115" s="61" t="s">
        <v>273</v>
      </c>
      <c r="D115" t="s">
        <v>274</v>
      </c>
      <c r="E115" s="58" t="s">
        <v>275</v>
      </c>
    </row>
    <row r="116" spans="1:6" x14ac:dyDescent="0.25">
      <c r="C116" s="63">
        <f ca="1">(0.7387+0.00185*I12/I14)*I15</f>
        <v>13.121374115368278</v>
      </c>
      <c r="D116" s="63">
        <f ca="1">(0.7387+0.00185*I12/I14)*I15</f>
        <v>13.121374115368278</v>
      </c>
      <c r="E116" s="64">
        <f ca="1">(1+0.00777*I12/I14)*I15</f>
        <v>20.766948650467029</v>
      </c>
    </row>
    <row r="117" spans="1:6" x14ac:dyDescent="0.25">
      <c r="B117" s="67"/>
      <c r="C117" s="62"/>
    </row>
    <row r="118" spans="1:6" x14ac:dyDescent="0.25">
      <c r="B118" s="58" t="s">
        <v>282</v>
      </c>
      <c r="C118" s="62"/>
    </row>
    <row r="119" spans="1:6" x14ac:dyDescent="0.25">
      <c r="C119" s="61" t="s">
        <v>273</v>
      </c>
      <c r="D119" t="s">
        <v>274</v>
      </c>
      <c r="E119" s="58" t="s">
        <v>275</v>
      </c>
    </row>
    <row r="120" spans="1:6" x14ac:dyDescent="0.25">
      <c r="C120" s="68">
        <f ca="1">ROUND(IF(I15&gt;25,I15*820000*I6,8300000*I6*(I15^0.284)),-3)</f>
        <v>18348000</v>
      </c>
      <c r="D120" s="68">
        <f ca="1">ROUND(IF(I15&gt;25,I15*745000*I6,7500000*I6*(I15^0.284)),-3)</f>
        <v>16580000</v>
      </c>
      <c r="E120" s="69">
        <f ca="1">D120</f>
        <v>16580000</v>
      </c>
    </row>
    <row r="121" spans="1:6" x14ac:dyDescent="0.25">
      <c r="C121" s="62"/>
    </row>
    <row r="122" spans="1:6" x14ac:dyDescent="0.25">
      <c r="B122" t="s">
        <v>158</v>
      </c>
      <c r="C122" s="61" t="s">
        <v>283</v>
      </c>
      <c r="D122" t="s">
        <v>284</v>
      </c>
      <c r="E122" t="s">
        <v>285</v>
      </c>
      <c r="F122" t="s">
        <v>416</v>
      </c>
    </row>
    <row r="123" spans="1:6" x14ac:dyDescent="0.25">
      <c r="A123">
        <v>1</v>
      </c>
      <c r="B123" t="s">
        <v>160</v>
      </c>
      <c r="C123" s="70">
        <v>0.06</v>
      </c>
      <c r="D123" s="70">
        <v>0.2</v>
      </c>
      <c r="E123" s="61">
        <v>8400</v>
      </c>
      <c r="F123">
        <v>1.058823529411765E-2</v>
      </c>
    </row>
    <row r="124" spans="1:6" x14ac:dyDescent="0.25">
      <c r="A124">
        <v>2</v>
      </c>
      <c r="B124" t="s">
        <v>161</v>
      </c>
      <c r="C124" s="70">
        <v>0.08</v>
      </c>
      <c r="D124" s="70">
        <v>0.2</v>
      </c>
      <c r="E124" s="61">
        <v>7200</v>
      </c>
      <c r="F124">
        <v>1.7777777777777778E-2</v>
      </c>
    </row>
    <row r="125" spans="1:6" x14ac:dyDescent="0.25">
      <c r="A125">
        <v>3</v>
      </c>
      <c r="B125" t="s">
        <v>162</v>
      </c>
      <c r="C125" s="70">
        <v>0.12</v>
      </c>
      <c r="D125" s="70">
        <v>0.2</v>
      </c>
      <c r="E125" s="61">
        <v>11000</v>
      </c>
      <c r="F125">
        <v>6.4727272727272717E-2</v>
      </c>
    </row>
    <row r="126" spans="1:6" x14ac:dyDescent="0.25">
      <c r="C126" s="61">
        <f>VLOOKUP($I$9,$A$123:$E$125,3)</f>
        <v>0.12</v>
      </c>
      <c r="D126" s="70">
        <f>VLOOKUP($I$9,$A$123:$E$125,4)</f>
        <v>0.2</v>
      </c>
      <c r="E126" s="61">
        <f>VLOOKUP($I$9,$A$123:$E$125,5)</f>
        <v>11000</v>
      </c>
      <c r="F126" s="61">
        <f>VLOOKUP($I$9,$A$123:$F$125,6)</f>
        <v>6.4727272727272717E-2</v>
      </c>
    </row>
    <row r="127" spans="1:6" x14ac:dyDescent="0.25">
      <c r="C127" s="61"/>
      <c r="D127" s="70"/>
      <c r="E127" s="61"/>
    </row>
    <row r="128" spans="1:6" x14ac:dyDescent="0.25">
      <c r="B128" s="38" t="s">
        <v>163</v>
      </c>
    </row>
    <row r="129" spans="1:2" x14ac:dyDescent="0.25">
      <c r="B129" s="40" t="b">
        <v>1</v>
      </c>
    </row>
    <row r="131" spans="1:2" x14ac:dyDescent="0.25">
      <c r="B131" t="s">
        <v>286</v>
      </c>
    </row>
    <row r="132" spans="1:2" x14ac:dyDescent="0.25">
      <c r="B132" s="71" t="b">
        <v>1</v>
      </c>
    </row>
    <row r="134" spans="1:2" x14ac:dyDescent="0.25">
      <c r="B134" t="s">
        <v>292</v>
      </c>
    </row>
    <row r="135" spans="1:2" x14ac:dyDescent="0.25">
      <c r="A135">
        <v>1</v>
      </c>
      <c r="B135" t="s">
        <v>273</v>
      </c>
    </row>
    <row r="136" spans="1:2" x14ac:dyDescent="0.25">
      <c r="A136">
        <v>2</v>
      </c>
      <c r="B136" t="s">
        <v>274</v>
      </c>
    </row>
    <row r="137" spans="1:2" x14ac:dyDescent="0.25">
      <c r="A137">
        <v>3</v>
      </c>
      <c r="B137" t="s">
        <v>275</v>
      </c>
    </row>
  </sheetData>
  <mergeCells count="9">
    <mergeCell ref="J22:L22"/>
    <mergeCell ref="J17:L17"/>
    <mergeCell ref="J18:L18"/>
    <mergeCell ref="D19:F19"/>
    <mergeCell ref="D18:F18"/>
    <mergeCell ref="J12:L12"/>
    <mergeCell ref="J14:L14"/>
    <mergeCell ref="J16:L16"/>
    <mergeCell ref="J15:L15"/>
  </mergeCells>
  <conditionalFormatting sqref="I12">
    <cfRule type="cellIs" dxfId="0" priority="1" stopIfTrue="1" operator="greaterThan">
      <formula>$G$95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4</xdr:col>
                    <xdr:colOff>590550</xdr:colOff>
                    <xdr:row>18</xdr:row>
                    <xdr:rowOff>171450</xdr:rowOff>
                  </from>
                  <to>
                    <xdr:col>4</xdr:col>
                    <xdr:colOff>781050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Drop Down 2">
              <controlPr defaultSize="0" autoLine="0" autoPict="0">
                <anchor moveWithCells="1">
                  <from>
                    <xdr:col>8</xdr:col>
                    <xdr:colOff>19050</xdr:colOff>
                    <xdr:row>8</xdr:row>
                    <xdr:rowOff>19050</xdr:rowOff>
                  </from>
                  <to>
                    <xdr:col>8</xdr:col>
                    <xdr:colOff>914400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</xdr:row>
                    <xdr:rowOff>171450</xdr:rowOff>
                  </from>
                  <to>
                    <xdr:col>8</xdr:col>
                    <xdr:colOff>400050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</xdr:row>
                    <xdr:rowOff>171450</xdr:rowOff>
                  </from>
                  <to>
                    <xdr:col>8</xdr:col>
                    <xdr:colOff>400050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8" name="Drop Down 17">
              <controlPr defaultSize="0" autoLine="0" autoPict="0">
                <anchor moveWithCells="1">
                  <from>
                    <xdr:col>8</xdr:col>
                    <xdr:colOff>19050</xdr:colOff>
                    <xdr:row>8</xdr:row>
                    <xdr:rowOff>19050</xdr:rowOff>
                  </from>
                  <to>
                    <xdr:col>8</xdr:col>
                    <xdr:colOff>914400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9" name="Drop Down 18">
              <controlPr defaultSize="0" autoLine="0" autoPict="0">
                <anchor moveWithCells="1">
                  <from>
                    <xdr:col>8</xdr:col>
                    <xdr:colOff>19050</xdr:colOff>
                    <xdr:row>9</xdr:row>
                    <xdr:rowOff>19050</xdr:rowOff>
                  </from>
                  <to>
                    <xdr:col>8</xdr:col>
                    <xdr:colOff>914400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0" name="Check Box 20">
              <controlPr defaultSize="0" autoFill="0" autoLine="0" autoPict="0">
                <anchor moveWithCells="1">
                  <from>
                    <xdr:col>4</xdr:col>
                    <xdr:colOff>590550</xdr:colOff>
                    <xdr:row>17</xdr:row>
                    <xdr:rowOff>381000</xdr:rowOff>
                  </from>
                  <to>
                    <xdr:col>4</xdr:col>
                    <xdr:colOff>781050</xdr:colOff>
                    <xdr:row>17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11" name="Check Box 21">
              <controlPr defaultSize="0" autoFill="0" autoLine="0" autoPict="0">
                <anchor moveWithCells="1">
                  <from>
                    <xdr:col>4</xdr:col>
                    <xdr:colOff>590550</xdr:colOff>
                    <xdr:row>18</xdr:row>
                    <xdr:rowOff>171450</xdr:rowOff>
                  </from>
                  <to>
                    <xdr:col>4</xdr:col>
                    <xdr:colOff>781050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12" name="Check Box 22">
              <controlPr defaultSize="0" autoFill="0" autoLine="0" autoPict="0">
                <anchor moveWithCells="1">
                  <from>
                    <xdr:col>4</xdr:col>
                    <xdr:colOff>590550</xdr:colOff>
                    <xdr:row>17</xdr:row>
                    <xdr:rowOff>381000</xdr:rowOff>
                  </from>
                  <to>
                    <xdr:col>4</xdr:col>
                    <xdr:colOff>781050</xdr:colOff>
                    <xdr:row>17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13" name="Drop Down 24">
              <controlPr defaultSize="0" autoLine="0" autoPict="0">
                <anchor moveWithCells="1">
                  <from>
                    <xdr:col>8</xdr:col>
                    <xdr:colOff>19050</xdr:colOff>
                    <xdr:row>9</xdr:row>
                    <xdr:rowOff>19050</xdr:rowOff>
                  </from>
                  <to>
                    <xdr:col>9</xdr:col>
                    <xdr:colOff>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14" name="Drop Down 25">
              <controlPr defaultSize="0" autoLine="0" autoPict="0">
                <anchor moveWithCells="1">
                  <from>
                    <xdr:col>8</xdr:col>
                    <xdr:colOff>19050</xdr:colOff>
                    <xdr:row>8</xdr:row>
                    <xdr:rowOff>19050</xdr:rowOff>
                  </from>
                  <to>
                    <xdr:col>8</xdr:col>
                    <xdr:colOff>1133475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15" name="Drop Down 28">
              <controlPr defaultSize="0" autoLine="0" autoPict="0">
                <anchor moveWithCells="1">
                  <from>
                    <xdr:col>8</xdr:col>
                    <xdr:colOff>19050</xdr:colOff>
                    <xdr:row>10</xdr:row>
                    <xdr:rowOff>19050</xdr:rowOff>
                  </from>
                  <to>
                    <xdr:col>8</xdr:col>
                    <xdr:colOff>914400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16" name="Drop Down 29">
              <controlPr defaultSize="0" autoLine="0" autoPict="0">
                <anchor moveWithCells="1">
                  <from>
                    <xdr:col>8</xdr:col>
                    <xdr:colOff>19050</xdr:colOff>
                    <xdr:row>10</xdr:row>
                    <xdr:rowOff>19050</xdr:rowOff>
                  </from>
                  <to>
                    <xdr:col>8</xdr:col>
                    <xdr:colOff>914400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17" name="Drop Down 30">
              <controlPr defaultSize="0" autoLine="0" autoPict="0">
                <anchor moveWithCells="1">
                  <from>
                    <xdr:col>8</xdr:col>
                    <xdr:colOff>19050</xdr:colOff>
                    <xdr:row>10</xdr:row>
                    <xdr:rowOff>19050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1"/>
  <sheetViews>
    <sheetView topLeftCell="A28" zoomScale="85" zoomScaleNormal="85" workbookViewId="0">
      <selection activeCell="G57" sqref="G57"/>
    </sheetView>
  </sheetViews>
  <sheetFormatPr defaultRowHeight="15" x14ac:dyDescent="0.25"/>
  <cols>
    <col min="6" max="6" width="6.28515625" customWidth="1"/>
    <col min="7" max="7" width="12.7109375" customWidth="1"/>
    <col min="8" max="8" width="13.28515625" bestFit="1" customWidth="1"/>
    <col min="9" max="9" width="12.7109375" customWidth="1"/>
    <col min="10" max="10" width="15.28515625" customWidth="1"/>
    <col min="12" max="12" width="56.140625" customWidth="1"/>
  </cols>
  <sheetData>
    <row r="1" spans="1:16" x14ac:dyDescent="0.25">
      <c r="A1" s="5" t="s">
        <v>165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5"/>
      <c r="B2" s="5"/>
      <c r="C2" s="5"/>
      <c r="D2" s="24" t="s">
        <v>0</v>
      </c>
      <c r="E2" s="25"/>
      <c r="F2" s="26"/>
      <c r="G2" s="27" t="s">
        <v>1</v>
      </c>
      <c r="H2" s="27" t="s">
        <v>2</v>
      </c>
      <c r="I2" s="27" t="s">
        <v>3</v>
      </c>
      <c r="J2" s="24" t="s">
        <v>4</v>
      </c>
      <c r="K2" s="7"/>
      <c r="L2" s="8"/>
      <c r="M2" s="5"/>
      <c r="N2" s="5"/>
      <c r="O2" s="5"/>
      <c r="P2" s="5"/>
    </row>
    <row r="3" spans="1:16" x14ac:dyDescent="0.25">
      <c r="A3" s="5"/>
      <c r="B3" s="5"/>
      <c r="C3" s="5"/>
      <c r="D3" s="6" t="s">
        <v>5</v>
      </c>
      <c r="E3" s="7"/>
      <c r="F3" s="8"/>
      <c r="G3" s="31"/>
      <c r="H3" s="31"/>
      <c r="I3" s="56" t="b">
        <v>0</v>
      </c>
      <c r="J3" s="6"/>
      <c r="K3" s="7"/>
      <c r="L3" s="8"/>
      <c r="M3" s="5"/>
      <c r="N3" s="5"/>
      <c r="O3" s="5"/>
      <c r="P3" s="5"/>
    </row>
    <row r="4" spans="1:16" ht="19.5" customHeight="1" x14ac:dyDescent="0.25">
      <c r="A4" s="5"/>
      <c r="B4" s="5"/>
      <c r="C4" s="5"/>
      <c r="D4" s="6"/>
      <c r="E4" s="7"/>
      <c r="F4" s="8"/>
      <c r="G4" s="41"/>
      <c r="H4" s="41"/>
      <c r="I4" s="119"/>
      <c r="J4" s="6"/>
      <c r="K4" s="7"/>
      <c r="L4" s="8"/>
      <c r="M4" s="5"/>
      <c r="N4" s="5"/>
      <c r="O4" s="5"/>
      <c r="P4" s="5"/>
    </row>
    <row r="5" spans="1:16" x14ac:dyDescent="0.25">
      <c r="A5" s="5"/>
      <c r="B5" s="5"/>
      <c r="C5" s="5"/>
      <c r="D5" s="6" t="s">
        <v>6</v>
      </c>
      <c r="E5" s="7"/>
      <c r="F5" s="8"/>
      <c r="G5" s="31" t="s">
        <v>7</v>
      </c>
      <c r="H5" s="31" t="s">
        <v>8</v>
      </c>
      <c r="I5" s="33">
        <v>500</v>
      </c>
      <c r="J5" s="6" t="s">
        <v>406</v>
      </c>
      <c r="K5" s="7"/>
      <c r="L5" s="8"/>
      <c r="M5" s="5"/>
      <c r="N5" s="5"/>
      <c r="O5" s="5"/>
      <c r="P5" s="5"/>
    </row>
    <row r="6" spans="1:16" x14ac:dyDescent="0.25">
      <c r="A6" s="5"/>
      <c r="B6" s="5"/>
      <c r="C6" s="5"/>
      <c r="D6" s="6" t="s">
        <v>10</v>
      </c>
      <c r="E6" s="7"/>
      <c r="F6" s="8"/>
      <c r="G6" s="31" t="s">
        <v>29</v>
      </c>
      <c r="H6" s="31"/>
      <c r="I6" s="47">
        <v>1</v>
      </c>
      <c r="J6" s="6" t="s">
        <v>59</v>
      </c>
      <c r="K6" s="7"/>
      <c r="L6" s="8"/>
      <c r="M6" s="5"/>
      <c r="N6" s="5"/>
      <c r="O6" s="5"/>
      <c r="P6" s="5"/>
    </row>
    <row r="7" spans="1:16" x14ac:dyDescent="0.25">
      <c r="A7" s="5"/>
      <c r="B7" s="5"/>
      <c r="C7" s="5"/>
      <c r="D7" s="6" t="s">
        <v>11</v>
      </c>
      <c r="E7" s="7"/>
      <c r="F7" s="8"/>
      <c r="G7" s="31" t="s">
        <v>30</v>
      </c>
      <c r="H7" s="31" t="s">
        <v>49</v>
      </c>
      <c r="I7" s="33">
        <v>9800</v>
      </c>
      <c r="J7" s="6" t="s">
        <v>9</v>
      </c>
      <c r="K7" s="7"/>
      <c r="L7" s="8"/>
      <c r="M7" s="5"/>
      <c r="N7" s="5"/>
      <c r="O7" s="5"/>
      <c r="P7" s="5"/>
    </row>
    <row r="8" spans="1:16" x14ac:dyDescent="0.25">
      <c r="A8" s="5"/>
      <c r="B8" s="5"/>
      <c r="C8" s="5"/>
      <c r="D8" s="6" t="s">
        <v>13</v>
      </c>
      <c r="E8" s="7"/>
      <c r="F8" s="8"/>
      <c r="G8" s="31" t="s">
        <v>31</v>
      </c>
      <c r="H8" s="31" t="s">
        <v>50</v>
      </c>
      <c r="I8" s="33">
        <v>2</v>
      </c>
      <c r="J8" s="6" t="s">
        <v>407</v>
      </c>
      <c r="K8" s="7"/>
      <c r="L8" s="8"/>
      <c r="M8" s="5"/>
      <c r="N8" s="5"/>
      <c r="O8" s="5"/>
      <c r="P8" s="5"/>
    </row>
    <row r="9" spans="1:16" ht="18.75" customHeight="1" x14ac:dyDescent="0.25">
      <c r="A9" s="5"/>
      <c r="B9" s="5"/>
      <c r="C9" s="5"/>
      <c r="D9" s="6" t="s">
        <v>14</v>
      </c>
      <c r="E9" s="7"/>
      <c r="F9" s="8"/>
      <c r="G9" s="31" t="s">
        <v>32</v>
      </c>
      <c r="H9" s="9"/>
      <c r="I9" s="2">
        <v>1</v>
      </c>
      <c r="J9" s="6" t="s">
        <v>9</v>
      </c>
      <c r="K9" s="7"/>
      <c r="L9" s="8"/>
      <c r="M9" s="5"/>
      <c r="N9" s="5"/>
      <c r="O9" s="5"/>
      <c r="P9" s="5"/>
    </row>
    <row r="10" spans="1:16" x14ac:dyDescent="0.25">
      <c r="A10" s="5"/>
      <c r="B10" s="5"/>
      <c r="C10" s="5"/>
      <c r="D10" s="6" t="s">
        <v>15</v>
      </c>
      <c r="E10" s="7"/>
      <c r="F10" s="8"/>
      <c r="G10" s="31" t="s">
        <v>33</v>
      </c>
      <c r="H10" s="31"/>
      <c r="I10" s="31">
        <f>VLOOKUP(I9,A98:C100,3)</f>
        <v>1.05</v>
      </c>
      <c r="J10" s="6" t="s">
        <v>60</v>
      </c>
      <c r="K10" s="7"/>
      <c r="L10" s="8"/>
      <c r="M10" s="5"/>
      <c r="N10" s="5"/>
      <c r="O10" s="5"/>
      <c r="P10" s="5"/>
    </row>
    <row r="11" spans="1:16" x14ac:dyDescent="0.25">
      <c r="A11" s="5"/>
      <c r="B11" s="5"/>
      <c r="C11" s="5"/>
      <c r="D11" s="6" t="s">
        <v>16</v>
      </c>
      <c r="E11" s="7"/>
      <c r="F11" s="8"/>
      <c r="G11" s="31" t="s">
        <v>34</v>
      </c>
      <c r="H11" s="31"/>
      <c r="I11" s="31">
        <f>I7/10000</f>
        <v>0.98</v>
      </c>
      <c r="J11" s="6" t="s">
        <v>61</v>
      </c>
      <c r="K11" s="7"/>
      <c r="L11" s="8"/>
      <c r="M11" s="5"/>
      <c r="N11" s="5"/>
      <c r="O11" s="5"/>
      <c r="P11" s="5"/>
    </row>
    <row r="12" spans="1:16" x14ac:dyDescent="0.25">
      <c r="A12" s="5"/>
      <c r="B12" s="5"/>
      <c r="C12" s="5"/>
      <c r="D12" s="6" t="s">
        <v>17</v>
      </c>
      <c r="E12" s="7"/>
      <c r="F12" s="8"/>
      <c r="G12" s="31" t="s">
        <v>35</v>
      </c>
      <c r="H12" s="31" t="s">
        <v>51</v>
      </c>
      <c r="I12" s="34">
        <f>I5*I7*1000</f>
        <v>4900000000</v>
      </c>
      <c r="J12" s="6" t="s">
        <v>62</v>
      </c>
      <c r="K12" s="7"/>
      <c r="L12" s="8"/>
      <c r="M12" s="5"/>
      <c r="N12" s="5"/>
      <c r="O12" s="5"/>
      <c r="P12" s="5"/>
    </row>
    <row r="13" spans="1:16" x14ac:dyDescent="0.25">
      <c r="A13" s="5"/>
      <c r="B13" s="5"/>
      <c r="C13" s="5"/>
      <c r="D13" s="6" t="s">
        <v>18</v>
      </c>
      <c r="E13" s="7"/>
      <c r="F13" s="8"/>
      <c r="G13" s="31" t="s">
        <v>36</v>
      </c>
      <c r="H13" s="31" t="s">
        <v>52</v>
      </c>
      <c r="I13" s="33">
        <v>85</v>
      </c>
      <c r="J13" s="6" t="s">
        <v>9</v>
      </c>
      <c r="K13" s="7"/>
      <c r="L13" s="8"/>
      <c r="M13" s="5"/>
      <c r="N13" s="5"/>
      <c r="O13" s="5"/>
      <c r="P13" s="5"/>
    </row>
    <row r="14" spans="1:16" x14ac:dyDescent="0.25">
      <c r="A14" s="5"/>
      <c r="B14" s="5"/>
      <c r="C14" s="5"/>
      <c r="D14" s="6" t="s">
        <v>204</v>
      </c>
      <c r="E14" s="7"/>
      <c r="F14" s="8"/>
      <c r="G14" s="31" t="s">
        <v>37</v>
      </c>
      <c r="H14" s="31" t="s">
        <v>52</v>
      </c>
      <c r="I14" s="33">
        <v>95</v>
      </c>
      <c r="J14" s="6" t="s">
        <v>206</v>
      </c>
      <c r="K14" s="7"/>
      <c r="L14" s="8"/>
      <c r="M14" s="5"/>
      <c r="N14" s="5"/>
      <c r="O14" s="5"/>
      <c r="P14" s="5"/>
    </row>
    <row r="15" spans="1:16" x14ac:dyDescent="0.25">
      <c r="A15" s="5"/>
      <c r="B15" s="5"/>
      <c r="C15" s="5"/>
      <c r="D15" s="6" t="s">
        <v>255</v>
      </c>
      <c r="E15" s="7"/>
      <c r="F15" s="8"/>
      <c r="G15" s="31" t="s">
        <v>38</v>
      </c>
      <c r="H15" s="31" t="s">
        <v>213</v>
      </c>
      <c r="I15" s="36">
        <f>(0.6702*(I8*I8)+13.42*I8)*I5*I11/2000</f>
        <v>7.232596</v>
      </c>
      <c r="J15" s="6" t="s">
        <v>257</v>
      </c>
      <c r="K15" s="7"/>
      <c r="L15" s="8"/>
      <c r="M15" s="5"/>
      <c r="N15" s="5"/>
      <c r="O15" s="5"/>
      <c r="P15" s="5"/>
    </row>
    <row r="16" spans="1:16" x14ac:dyDescent="0.25">
      <c r="A16" s="5"/>
      <c r="B16" s="5"/>
      <c r="C16" s="5"/>
      <c r="D16" s="6" t="s">
        <v>212</v>
      </c>
      <c r="E16" s="7"/>
      <c r="F16" s="8"/>
      <c r="G16" s="31" t="s">
        <v>39</v>
      </c>
      <c r="H16" s="31" t="s">
        <v>213</v>
      </c>
      <c r="I16" s="36">
        <f>(0.8016*(I8*I8)+31.1917*I8)*I5*I11/2000</f>
        <v>16.069500999999999</v>
      </c>
      <c r="J16" s="6" t="s">
        <v>258</v>
      </c>
      <c r="K16" s="7"/>
      <c r="L16" s="8"/>
      <c r="M16" s="5"/>
      <c r="N16" s="5"/>
      <c r="O16" s="5"/>
      <c r="P16" s="5"/>
    </row>
    <row r="17" spans="1:16" ht="28.5" customHeight="1" x14ac:dyDescent="0.25">
      <c r="A17" s="5"/>
      <c r="B17" s="5"/>
      <c r="C17" s="5"/>
      <c r="D17" s="149" t="s">
        <v>164</v>
      </c>
      <c r="E17" s="131"/>
      <c r="F17" s="132"/>
      <c r="G17" s="31" t="s">
        <v>40</v>
      </c>
      <c r="H17" s="31" t="s">
        <v>52</v>
      </c>
      <c r="I17" s="37">
        <f>(0.000547*(I8*I8)+0.00649*I8+1.3)*I10*I11</f>
        <v>1.353307872</v>
      </c>
      <c r="J17" s="6" t="s">
        <v>259</v>
      </c>
      <c r="K17" s="7"/>
      <c r="L17" s="8"/>
      <c r="M17" s="5"/>
      <c r="N17" s="5"/>
      <c r="O17" s="5"/>
      <c r="P17" s="5"/>
    </row>
    <row r="18" spans="1:16" x14ac:dyDescent="0.25">
      <c r="A18" s="5"/>
      <c r="B18" s="5"/>
      <c r="C18" s="5"/>
      <c r="D18" s="6" t="s">
        <v>107</v>
      </c>
      <c r="E18" s="7"/>
      <c r="F18" s="8"/>
      <c r="G18" s="31" t="s">
        <v>41</v>
      </c>
      <c r="H18" s="31" t="s">
        <v>108</v>
      </c>
      <c r="I18" s="36">
        <f>(0.04898*(I8*I8)+0.5925*I8+55.11)*I5*I10*I11/1000</f>
        <v>29.064578340000004</v>
      </c>
      <c r="J18" s="6" t="s">
        <v>260</v>
      </c>
      <c r="K18" s="7"/>
      <c r="L18" s="8"/>
      <c r="M18" s="5"/>
      <c r="N18" s="5"/>
      <c r="O18" s="5"/>
      <c r="P18" s="5"/>
    </row>
    <row r="19" spans="1:16" x14ac:dyDescent="0.25">
      <c r="A19" s="5"/>
      <c r="B19" s="5"/>
      <c r="C19" s="5"/>
      <c r="D19" s="6" t="s">
        <v>256</v>
      </c>
      <c r="E19" s="7"/>
      <c r="F19" s="8"/>
      <c r="G19" s="31" t="s">
        <v>43</v>
      </c>
      <c r="H19" s="31" t="s">
        <v>54</v>
      </c>
      <c r="I19" s="33">
        <v>125</v>
      </c>
      <c r="J19" s="6" t="s">
        <v>9</v>
      </c>
      <c r="K19" s="7"/>
      <c r="L19" s="8"/>
      <c r="M19" s="5"/>
      <c r="N19" s="5"/>
      <c r="O19" s="5"/>
      <c r="P19" s="5"/>
    </row>
    <row r="20" spans="1:16" x14ac:dyDescent="0.25">
      <c r="A20" s="5"/>
      <c r="B20" s="5"/>
      <c r="C20" s="5"/>
      <c r="D20" s="6" t="s">
        <v>208</v>
      </c>
      <c r="E20" s="7"/>
      <c r="F20" s="8"/>
      <c r="G20" s="31" t="s">
        <v>106</v>
      </c>
      <c r="H20" s="31" t="s">
        <v>54</v>
      </c>
      <c r="I20" s="33">
        <v>30</v>
      </c>
      <c r="J20" s="6" t="s">
        <v>9</v>
      </c>
      <c r="K20" s="7"/>
      <c r="L20" s="8"/>
      <c r="M20" s="5"/>
      <c r="N20" s="5"/>
      <c r="O20" s="5"/>
      <c r="P20" s="5"/>
    </row>
    <row r="21" spans="1:16" x14ac:dyDescent="0.25">
      <c r="A21" s="5"/>
      <c r="B21" s="5"/>
      <c r="C21" s="5"/>
      <c r="D21" s="6" t="s">
        <v>26</v>
      </c>
      <c r="E21" s="7"/>
      <c r="F21" s="8"/>
      <c r="G21" s="31" t="s">
        <v>44</v>
      </c>
      <c r="H21" s="31" t="s">
        <v>56</v>
      </c>
      <c r="I21" s="33">
        <v>0.06</v>
      </c>
      <c r="J21" s="6" t="s">
        <v>9</v>
      </c>
      <c r="K21" s="7"/>
      <c r="L21" s="8"/>
      <c r="M21" s="5"/>
      <c r="N21" s="5"/>
      <c r="O21" s="5"/>
      <c r="P21" s="5"/>
    </row>
    <row r="22" spans="1:16" x14ac:dyDescent="0.25">
      <c r="A22" s="5"/>
      <c r="B22" s="5"/>
      <c r="C22" s="5"/>
      <c r="D22" s="6" t="s">
        <v>209</v>
      </c>
      <c r="E22" s="7"/>
      <c r="F22" s="8"/>
      <c r="G22" s="31" t="s">
        <v>45</v>
      </c>
      <c r="H22" s="31" t="s">
        <v>210</v>
      </c>
      <c r="I22" s="33">
        <v>1</v>
      </c>
      <c r="J22" s="6" t="s">
        <v>9</v>
      </c>
      <c r="K22" s="7"/>
      <c r="L22" s="8"/>
      <c r="M22" s="5"/>
      <c r="N22" s="5"/>
      <c r="O22" s="5"/>
      <c r="P22" s="5"/>
    </row>
    <row r="23" spans="1:16" x14ac:dyDescent="0.25">
      <c r="A23" s="5"/>
      <c r="B23" s="5"/>
      <c r="C23" s="5"/>
      <c r="D23" s="6" t="s">
        <v>28</v>
      </c>
      <c r="E23" s="7"/>
      <c r="F23" s="8"/>
      <c r="G23" s="31" t="s">
        <v>46</v>
      </c>
      <c r="H23" s="31" t="s">
        <v>58</v>
      </c>
      <c r="I23" s="33">
        <v>60</v>
      </c>
      <c r="J23" s="6" t="s">
        <v>73</v>
      </c>
      <c r="K23" s="7"/>
      <c r="L23" s="8"/>
      <c r="M23" s="5"/>
      <c r="N23" s="5"/>
      <c r="O23" s="5"/>
      <c r="P23" s="5"/>
    </row>
    <row r="24" spans="1:16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23.25" x14ac:dyDescent="0.35">
      <c r="A27" s="5"/>
      <c r="B27" s="5"/>
      <c r="C27" s="5"/>
      <c r="D27" s="5"/>
      <c r="E27" s="5"/>
      <c r="F27" s="5"/>
      <c r="G27" s="5"/>
      <c r="H27" s="28" t="s">
        <v>414</v>
      </c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10" t="s">
        <v>68</v>
      </c>
      <c r="B28" s="10"/>
      <c r="C28" s="10"/>
      <c r="D28" s="10"/>
      <c r="E28" s="10"/>
      <c r="F28" s="10"/>
      <c r="G28" s="10"/>
      <c r="H28" s="10"/>
      <c r="I28" s="10"/>
      <c r="J28" s="10" t="s">
        <v>70</v>
      </c>
      <c r="K28" s="10"/>
      <c r="L28" s="10" t="s">
        <v>71</v>
      </c>
      <c r="M28" s="5"/>
      <c r="N28" s="5"/>
      <c r="O28" s="5"/>
      <c r="P28" s="5"/>
    </row>
    <row r="29" spans="1:16" x14ac:dyDescent="0.25">
      <c r="A29" s="5"/>
      <c r="B29" s="5" t="s">
        <v>69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25">
      <c r="A30" s="5"/>
      <c r="B30" s="5" t="s">
        <v>75</v>
      </c>
      <c r="C30" s="5" t="s">
        <v>417</v>
      </c>
      <c r="D30" s="5"/>
      <c r="E30" s="5"/>
      <c r="F30" s="5"/>
      <c r="G30" s="5"/>
      <c r="H30" s="5"/>
      <c r="I30" s="5"/>
      <c r="J30" s="11">
        <f>ROUND(IF($I$5&gt;600,$I$5*98000,637000*($I$5^0.716))*$I$6*(($I$10*$I$11)^0.6)*(($I$8/4)^0.01),-3)</f>
        <v>55086000</v>
      </c>
      <c r="K30" s="5"/>
      <c r="L30" s="5" t="s">
        <v>261</v>
      </c>
      <c r="M30" s="5"/>
      <c r="N30" s="5"/>
      <c r="O30" s="5"/>
      <c r="P30" s="5"/>
    </row>
    <row r="31" spans="1:16" x14ac:dyDescent="0.25">
      <c r="A31" s="5"/>
      <c r="B31" s="5" t="s">
        <v>76</v>
      </c>
      <c r="C31" s="5" t="s">
        <v>264</v>
      </c>
      <c r="D31" s="5"/>
      <c r="E31" s="5"/>
      <c r="F31" s="5"/>
      <c r="G31" s="5"/>
      <c r="H31" s="5"/>
      <c r="I31" s="5"/>
      <c r="J31" s="11">
        <f>ROUND(IF($I$5&gt;600,$I$5*52000,338000*($I$5^0.716))*$I$6*((I8*$I$11)^0.2),-3)</f>
        <v>33100000</v>
      </c>
      <c r="K31" s="5"/>
      <c r="L31" s="5" t="s">
        <v>262</v>
      </c>
      <c r="M31" s="5"/>
      <c r="N31" s="5"/>
      <c r="O31" s="5"/>
      <c r="P31" s="5"/>
    </row>
    <row r="32" spans="1:16" x14ac:dyDescent="0.25">
      <c r="A32" s="5"/>
      <c r="B32" s="5" t="s">
        <v>78</v>
      </c>
      <c r="C32" s="5" t="s">
        <v>265</v>
      </c>
      <c r="D32" s="5"/>
      <c r="E32" s="5"/>
      <c r="F32" s="5"/>
      <c r="G32" s="5"/>
      <c r="H32" s="5"/>
      <c r="I32" s="5"/>
      <c r="J32" s="11">
        <f>ROUND(IF($I$5&gt;600,$I$5*138000, 899000*($I$5^0.716))*$I$6*((I10*$I$11)^0.4),-3)</f>
        <v>77837000</v>
      </c>
      <c r="K32" s="5"/>
      <c r="L32" s="5" t="s">
        <v>263</v>
      </c>
      <c r="M32" s="5"/>
      <c r="N32" s="5"/>
      <c r="O32" s="5"/>
      <c r="P32" s="5"/>
    </row>
    <row r="33" spans="1:16" x14ac:dyDescent="0.25">
      <c r="A33" s="5"/>
      <c r="B33" s="5" t="s">
        <v>79</v>
      </c>
      <c r="C33" s="5" t="s">
        <v>266</v>
      </c>
      <c r="D33" s="5"/>
      <c r="E33" s="5"/>
      <c r="F33" s="5"/>
      <c r="G33" s="5"/>
      <c r="H33" s="5"/>
      <c r="I33" s="5"/>
      <c r="J33" s="12">
        <f>SUM(J30:J32)</f>
        <v>166023000</v>
      </c>
      <c r="K33" s="5"/>
      <c r="L33" s="5" t="s">
        <v>187</v>
      </c>
      <c r="M33" s="5"/>
      <c r="N33" s="5"/>
      <c r="O33" s="5"/>
      <c r="P33" s="5"/>
    </row>
    <row r="34" spans="1:16" x14ac:dyDescent="0.25">
      <c r="A34" s="5"/>
      <c r="B34" s="5" t="s">
        <v>74</v>
      </c>
      <c r="C34" s="5"/>
      <c r="D34" s="5"/>
      <c r="E34" s="5"/>
      <c r="F34" s="5"/>
      <c r="G34" s="5"/>
      <c r="H34" s="5"/>
      <c r="I34" s="5"/>
      <c r="J34" s="13">
        <f>J33/(I5*1000)</f>
        <v>332.04599999999999</v>
      </c>
      <c r="K34" s="5"/>
      <c r="L34" s="5" t="s">
        <v>137</v>
      </c>
      <c r="M34" s="5"/>
      <c r="N34" s="5"/>
      <c r="O34" s="5"/>
      <c r="P34" s="5"/>
    </row>
    <row r="35" spans="1:16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x14ac:dyDescent="0.25">
      <c r="A36" s="10" t="s">
        <v>84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x14ac:dyDescent="0.25">
      <c r="A37" s="5"/>
      <c r="B37" s="5" t="s">
        <v>85</v>
      </c>
      <c r="C37" s="5"/>
      <c r="D37" s="5"/>
      <c r="E37" s="5"/>
      <c r="F37" s="5"/>
      <c r="G37" s="5"/>
      <c r="H37" s="5"/>
      <c r="I37" s="5"/>
      <c r="J37" s="11">
        <f>ROUND($J$33*0.1,-3)</f>
        <v>16602000</v>
      </c>
      <c r="K37" s="5"/>
      <c r="L37" s="5" t="s">
        <v>138</v>
      </c>
      <c r="M37" s="5"/>
      <c r="N37" s="5"/>
      <c r="O37" s="5"/>
      <c r="P37" s="5"/>
    </row>
    <row r="38" spans="1:16" x14ac:dyDescent="0.25">
      <c r="A38" s="5"/>
      <c r="B38" s="5" t="s">
        <v>86</v>
      </c>
      <c r="C38" s="5"/>
      <c r="D38" s="5"/>
      <c r="E38" s="5"/>
      <c r="F38" s="5"/>
      <c r="G38" s="5"/>
      <c r="H38" s="5"/>
      <c r="I38" s="5"/>
      <c r="J38" s="11">
        <f t="shared" ref="J38:J39" si="0">ROUND($J$33*0.1,-3)</f>
        <v>16602000</v>
      </c>
      <c r="K38" s="5"/>
      <c r="L38" s="5" t="s">
        <v>139</v>
      </c>
      <c r="M38" s="5"/>
      <c r="N38" s="5"/>
      <c r="O38" s="5"/>
      <c r="P38" s="5"/>
    </row>
    <row r="39" spans="1:16" x14ac:dyDescent="0.25">
      <c r="A39" s="5"/>
      <c r="B39" s="5" t="s">
        <v>87</v>
      </c>
      <c r="C39" s="5"/>
      <c r="D39" s="5"/>
      <c r="E39" s="5"/>
      <c r="F39" s="5"/>
      <c r="G39" s="5"/>
      <c r="H39" s="5"/>
      <c r="I39" s="5"/>
      <c r="J39" s="11">
        <f t="shared" si="0"/>
        <v>16602000</v>
      </c>
      <c r="K39" s="5"/>
      <c r="L39" s="5" t="s">
        <v>140</v>
      </c>
      <c r="M39" s="5"/>
      <c r="N39" s="5"/>
      <c r="O39" s="5"/>
      <c r="P39" s="5"/>
    </row>
    <row r="40" spans="1:16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x14ac:dyDescent="0.25">
      <c r="A41" s="5"/>
      <c r="B41" s="10" t="s">
        <v>88</v>
      </c>
      <c r="C41" s="10"/>
      <c r="D41" s="10"/>
      <c r="E41" s="10"/>
      <c r="F41" s="10"/>
      <c r="G41" s="10"/>
      <c r="H41" s="10"/>
      <c r="I41" s="10"/>
      <c r="J41" s="14">
        <f>SUM(J33+J37+J38+J39)</f>
        <v>215829000</v>
      </c>
      <c r="K41" s="5"/>
      <c r="L41" s="5" t="s">
        <v>141</v>
      </c>
      <c r="M41" s="5"/>
      <c r="N41" s="5"/>
      <c r="O41" s="5"/>
      <c r="P41" s="5"/>
    </row>
    <row r="42" spans="1:16" x14ac:dyDescent="0.25">
      <c r="A42" s="5"/>
      <c r="B42" s="10" t="s">
        <v>89</v>
      </c>
      <c r="C42" s="10"/>
      <c r="D42" s="10"/>
      <c r="E42" s="10"/>
      <c r="F42" s="10"/>
      <c r="G42" s="10"/>
      <c r="H42" s="10"/>
      <c r="I42" s="10"/>
      <c r="J42" s="15">
        <f>J41/(I5*1000)</f>
        <v>431.65800000000002</v>
      </c>
      <c r="K42" s="5"/>
      <c r="L42" s="5" t="s">
        <v>142</v>
      </c>
      <c r="M42" s="5"/>
      <c r="N42" s="5"/>
      <c r="O42" s="5"/>
      <c r="P42" s="5"/>
    </row>
    <row r="43" spans="1:16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x14ac:dyDescent="0.25">
      <c r="A44" s="5"/>
      <c r="B44" s="5" t="s">
        <v>268</v>
      </c>
      <c r="C44" s="5"/>
      <c r="D44" s="5"/>
      <c r="E44" s="5"/>
      <c r="F44" s="5"/>
      <c r="G44" s="5"/>
      <c r="H44" s="5"/>
      <c r="I44" s="5"/>
      <c r="J44" s="11">
        <f>ROUND((J41)*IF(I3,0.02,0.05),-3)</f>
        <v>10791000</v>
      </c>
      <c r="K44" s="5"/>
      <c r="L44" s="5" t="s">
        <v>143</v>
      </c>
      <c r="M44" s="5"/>
      <c r="N44" s="5"/>
      <c r="O44" s="5"/>
      <c r="P44" s="5"/>
    </row>
    <row r="45" spans="1:16" x14ac:dyDescent="0.25">
      <c r="A45" s="5"/>
      <c r="B45" s="10" t="s">
        <v>91</v>
      </c>
      <c r="C45" s="10"/>
      <c r="D45" s="10"/>
      <c r="E45" s="10"/>
      <c r="F45" s="10"/>
      <c r="G45" s="10"/>
      <c r="H45" s="10"/>
      <c r="I45" s="10"/>
      <c r="J45" s="14">
        <f>J44+J41</f>
        <v>226620000</v>
      </c>
      <c r="K45" s="5"/>
      <c r="L45" s="5" t="s">
        <v>144</v>
      </c>
      <c r="M45" s="5"/>
      <c r="N45" s="5"/>
      <c r="O45" s="5"/>
      <c r="P45" s="5"/>
    </row>
    <row r="46" spans="1:16" x14ac:dyDescent="0.25">
      <c r="A46" s="5"/>
      <c r="B46" s="10" t="s">
        <v>92</v>
      </c>
      <c r="C46" s="10"/>
      <c r="D46" s="10"/>
      <c r="E46" s="10"/>
      <c r="F46" s="10"/>
      <c r="G46" s="10"/>
      <c r="H46" s="10"/>
      <c r="I46" s="10"/>
      <c r="J46" s="15">
        <f>J45/(I5*1000)</f>
        <v>453.24</v>
      </c>
      <c r="K46" s="5"/>
      <c r="L46" s="5" t="s">
        <v>145</v>
      </c>
      <c r="M46" s="5"/>
      <c r="N46" s="5"/>
      <c r="O46" s="5"/>
      <c r="P46" s="5"/>
    </row>
    <row r="47" spans="1:16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x14ac:dyDescent="0.25">
      <c r="A48" s="5"/>
      <c r="B48" s="5" t="s">
        <v>229</v>
      </c>
      <c r="C48" s="5"/>
      <c r="D48" s="5"/>
      <c r="E48" s="5"/>
      <c r="F48" s="5"/>
      <c r="G48" s="5"/>
      <c r="H48" s="5"/>
      <c r="I48" s="5"/>
      <c r="J48" s="11">
        <f>ROUND($J$45*0.1,-3)</f>
        <v>22662000</v>
      </c>
      <c r="K48" s="5"/>
      <c r="L48" s="5" t="s">
        <v>230</v>
      </c>
      <c r="M48" s="5"/>
      <c r="N48" s="5"/>
      <c r="O48" s="5"/>
      <c r="P48" s="5"/>
    </row>
    <row r="49" spans="1:16" x14ac:dyDescent="0.25">
      <c r="A49" s="5"/>
      <c r="B49" s="122" t="s">
        <v>267</v>
      </c>
      <c r="C49" s="5"/>
      <c r="D49" s="5"/>
      <c r="E49" s="5"/>
      <c r="F49" s="5"/>
      <c r="G49" s="5"/>
      <c r="H49" s="5"/>
      <c r="I49" s="5"/>
      <c r="J49" s="11">
        <f>ROUND((J41+J44)*IF(I3,0.15,0),-3)</f>
        <v>0</v>
      </c>
      <c r="K49" s="5"/>
      <c r="L49" s="5" t="s">
        <v>231</v>
      </c>
      <c r="M49" s="5"/>
      <c r="N49" s="5"/>
      <c r="O49" s="5"/>
      <c r="P49" s="5"/>
    </row>
    <row r="50" spans="1:16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x14ac:dyDescent="0.25">
      <c r="A51" s="5"/>
      <c r="B51" s="10" t="s">
        <v>419</v>
      </c>
      <c r="C51" s="10"/>
      <c r="D51" s="10"/>
      <c r="E51" s="10"/>
      <c r="F51" s="10"/>
      <c r="G51" s="10"/>
      <c r="H51" s="10"/>
      <c r="I51" s="10"/>
      <c r="J51" s="14">
        <f>J41+J44+J48+J49</f>
        <v>249282000</v>
      </c>
      <c r="K51" s="5"/>
      <c r="L51" s="5" t="s">
        <v>147</v>
      </c>
      <c r="M51" s="5"/>
      <c r="N51" s="5"/>
      <c r="O51" s="5"/>
      <c r="P51" s="5"/>
    </row>
    <row r="52" spans="1:16" x14ac:dyDescent="0.25">
      <c r="A52" s="5"/>
      <c r="B52" s="10" t="s">
        <v>233</v>
      </c>
      <c r="C52" s="10"/>
      <c r="D52" s="10"/>
      <c r="E52" s="10"/>
      <c r="F52" s="10"/>
      <c r="G52" s="10"/>
      <c r="H52" s="10"/>
      <c r="I52" s="10"/>
      <c r="J52" s="15">
        <f>J51/(I5*1000)</f>
        <v>498.56400000000002</v>
      </c>
      <c r="K52" s="5"/>
      <c r="L52" s="5" t="s">
        <v>148</v>
      </c>
      <c r="M52" s="5"/>
      <c r="N52" s="5"/>
      <c r="O52" s="5"/>
      <c r="P52" s="5"/>
    </row>
    <row r="53" spans="1:16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x14ac:dyDescent="0.25">
      <c r="A54" s="5" t="s">
        <v>93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x14ac:dyDescent="0.25">
      <c r="A55" s="5"/>
      <c r="B55" s="5" t="s">
        <v>269</v>
      </c>
      <c r="C55" s="5"/>
      <c r="D55" s="5"/>
      <c r="E55" s="5"/>
      <c r="F55" s="5"/>
      <c r="G55" s="5"/>
      <c r="H55" s="5"/>
      <c r="I55" s="5"/>
      <c r="J55" s="16">
        <f>ROUND(8*2080*I23/(I5*1000),3)</f>
        <v>1.9970000000000001</v>
      </c>
      <c r="K55" s="5"/>
      <c r="L55" s="5" t="s">
        <v>149</v>
      </c>
      <c r="M55" s="5"/>
      <c r="N55" s="5"/>
      <c r="O55" s="5"/>
      <c r="P55" s="5"/>
    </row>
    <row r="56" spans="1:16" x14ac:dyDescent="0.25">
      <c r="A56" s="5"/>
      <c r="B56" s="5" t="s">
        <v>237</v>
      </c>
      <c r="C56" s="5"/>
      <c r="D56" s="5"/>
      <c r="E56" s="5"/>
      <c r="F56" s="5"/>
      <c r="G56" s="5"/>
      <c r="H56" s="5"/>
      <c r="I56" s="5"/>
      <c r="J56" s="16">
        <f>ROUND((J33*0.015)/(I6*I5*1000),3)</f>
        <v>4.9809999999999999</v>
      </c>
      <c r="K56" s="5"/>
      <c r="L56" s="5" t="s">
        <v>150</v>
      </c>
      <c r="M56" s="5"/>
      <c r="N56" s="5"/>
      <c r="O56" s="5"/>
      <c r="P56" s="5"/>
    </row>
    <row r="57" spans="1:16" x14ac:dyDescent="0.25">
      <c r="A57" s="5"/>
      <c r="B57" s="5" t="s">
        <v>98</v>
      </c>
      <c r="C57" s="5"/>
      <c r="D57" s="5"/>
      <c r="E57" s="5"/>
      <c r="F57" s="5"/>
      <c r="G57" s="5"/>
      <c r="H57" s="5"/>
      <c r="I57" s="5"/>
      <c r="J57" s="16">
        <f>ROUND(0.03*(J55+0.4*J56),4)</f>
        <v>0.1197</v>
      </c>
      <c r="K57" s="5"/>
      <c r="L57" s="5" t="s">
        <v>151</v>
      </c>
      <c r="M57" s="5"/>
      <c r="N57" s="5"/>
      <c r="O57" s="5"/>
      <c r="P57" s="5"/>
    </row>
    <row r="58" spans="1:16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x14ac:dyDescent="0.25">
      <c r="A60" s="5"/>
      <c r="B60" s="10" t="s">
        <v>99</v>
      </c>
      <c r="C60" s="10"/>
      <c r="D60" s="10"/>
      <c r="E60" s="10"/>
      <c r="F60" s="10"/>
      <c r="G60" s="10"/>
      <c r="H60" s="10"/>
      <c r="I60" s="10"/>
      <c r="J60" s="17">
        <f>SUM(J55+J56+J57)</f>
        <v>7.0976999999999997</v>
      </c>
      <c r="K60" s="5"/>
      <c r="L60" s="5" t="s">
        <v>152</v>
      </c>
      <c r="M60" s="5"/>
      <c r="N60" s="5"/>
      <c r="O60" s="5"/>
      <c r="P60" s="5"/>
    </row>
    <row r="61" spans="1:16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25">
      <c r="A62" s="5" t="s">
        <v>100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x14ac:dyDescent="0.25">
      <c r="A63" s="5"/>
      <c r="B63" s="5" t="s">
        <v>239</v>
      </c>
      <c r="C63" s="5"/>
      <c r="D63" s="5"/>
      <c r="E63" s="5"/>
      <c r="F63" s="5"/>
      <c r="G63" s="5"/>
      <c r="H63" s="5"/>
      <c r="I63" s="5"/>
      <c r="J63" s="16">
        <f>ROUND(I15*I19/I5*I14/95,3)</f>
        <v>1.8080000000000001</v>
      </c>
      <c r="K63" s="5"/>
      <c r="L63" s="5" t="s">
        <v>243</v>
      </c>
      <c r="M63" s="5"/>
      <c r="N63" s="5"/>
      <c r="O63" s="5"/>
      <c r="P63" s="5"/>
    </row>
    <row r="64" spans="1:16" x14ac:dyDescent="0.25">
      <c r="A64" s="5"/>
      <c r="B64" s="5" t="s">
        <v>241</v>
      </c>
      <c r="C64" s="5"/>
      <c r="D64" s="5"/>
      <c r="E64" s="5"/>
      <c r="F64" s="5"/>
      <c r="G64" s="5"/>
      <c r="H64" s="5"/>
      <c r="I64" s="5"/>
      <c r="J64" s="16">
        <f xml:space="preserve"> ROUND(I16*I20/I5*I14/95,3)</f>
        <v>0.96399999999999997</v>
      </c>
      <c r="K64" s="5"/>
      <c r="L64" s="5" t="s">
        <v>244</v>
      </c>
      <c r="M64" s="5"/>
      <c r="N64" s="5"/>
      <c r="O64" s="5"/>
      <c r="P64" s="5"/>
    </row>
    <row r="65" spans="1:16" x14ac:dyDescent="0.25">
      <c r="A65" s="5"/>
      <c r="B65" s="5" t="s">
        <v>242</v>
      </c>
      <c r="C65" s="5"/>
      <c r="D65" s="5"/>
      <c r="E65" s="5"/>
      <c r="F65" s="5"/>
      <c r="G65" s="5"/>
      <c r="H65" s="5"/>
      <c r="I65" s="5"/>
      <c r="J65" s="18">
        <f>IF(B108,I17*I21*10,0)</f>
        <v>0.81198472319999992</v>
      </c>
      <c r="K65" s="5"/>
      <c r="L65" s="5" t="s">
        <v>245</v>
      </c>
      <c r="M65" s="5"/>
      <c r="N65" s="5"/>
      <c r="O65" s="5"/>
      <c r="P65" s="5"/>
    </row>
    <row r="66" spans="1:16" x14ac:dyDescent="0.25">
      <c r="A66" s="5"/>
      <c r="B66" s="5" t="s">
        <v>246</v>
      </c>
      <c r="C66" s="5"/>
      <c r="D66" s="5"/>
      <c r="E66" s="5"/>
      <c r="F66" s="5"/>
      <c r="G66" s="5"/>
      <c r="H66" s="5"/>
      <c r="I66" s="5"/>
      <c r="J66" s="18">
        <f>ROUND(I18*I22/I5,3)</f>
        <v>5.8000000000000003E-2</v>
      </c>
      <c r="K66" s="5"/>
      <c r="L66" s="5" t="s">
        <v>247</v>
      </c>
      <c r="M66" s="5"/>
      <c r="N66" s="5"/>
      <c r="O66" s="5"/>
      <c r="P66" s="5"/>
    </row>
    <row r="67" spans="1:16" x14ac:dyDescent="0.25">
      <c r="A67" s="5"/>
      <c r="B67" s="5"/>
      <c r="C67" s="5"/>
      <c r="D67" s="5"/>
      <c r="E67" s="5"/>
      <c r="F67" s="5"/>
      <c r="G67" s="5"/>
      <c r="H67" s="5"/>
      <c r="I67" s="5"/>
      <c r="J67" s="18"/>
      <c r="K67" s="5"/>
      <c r="L67" s="5"/>
      <c r="M67" s="5"/>
      <c r="N67" s="5"/>
      <c r="O67" s="5"/>
      <c r="P67" s="5"/>
    </row>
    <row r="68" spans="1:16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x14ac:dyDescent="0.25">
      <c r="A69" s="5"/>
      <c r="B69" s="10" t="s">
        <v>104</v>
      </c>
      <c r="C69" s="10"/>
      <c r="D69" s="10"/>
      <c r="E69" s="10"/>
      <c r="F69" s="10"/>
      <c r="G69" s="10"/>
      <c r="H69" s="10"/>
      <c r="I69" s="10"/>
      <c r="J69" s="17">
        <f>SUM(J63+J64+J65+J66)</f>
        <v>3.6419847232000002</v>
      </c>
      <c r="K69" s="5"/>
      <c r="L69" s="5" t="s">
        <v>157</v>
      </c>
      <c r="M69" s="5"/>
      <c r="N69" s="5"/>
      <c r="O69" s="5"/>
      <c r="P69" s="5"/>
    </row>
    <row r="70" spans="1:16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x14ac:dyDescent="0.25">
      <c r="A71" s="5"/>
      <c r="B71" s="5"/>
      <c r="C71" s="5"/>
      <c r="D71" s="5"/>
      <c r="E71" s="5"/>
      <c r="F71" s="5"/>
      <c r="G71" s="19" t="s">
        <v>110</v>
      </c>
      <c r="H71" s="29">
        <f>I13/100</f>
        <v>0.85</v>
      </c>
      <c r="I71" s="5"/>
      <c r="J71" s="5"/>
      <c r="K71" s="5"/>
      <c r="L71" s="5"/>
      <c r="M71" s="5"/>
      <c r="N71" s="5"/>
      <c r="O71" s="5"/>
      <c r="P71" s="5"/>
    </row>
    <row r="72" spans="1:16" x14ac:dyDescent="0.25">
      <c r="A72" s="5"/>
      <c r="B72" s="5"/>
      <c r="C72" s="5"/>
      <c r="D72" s="5"/>
      <c r="E72" s="5"/>
      <c r="F72" s="5"/>
      <c r="G72" s="19" t="s">
        <v>111</v>
      </c>
      <c r="H72" s="20">
        <f>H71*I5*8760</f>
        <v>3723000</v>
      </c>
      <c r="I72" s="5"/>
      <c r="J72" s="5"/>
      <c r="K72" s="5"/>
      <c r="L72" s="5"/>
      <c r="M72" s="5"/>
      <c r="N72" s="5"/>
      <c r="O72" s="5"/>
      <c r="P72" s="5"/>
    </row>
    <row r="73" spans="1:16" x14ac:dyDescent="0.25">
      <c r="A73" s="5"/>
      <c r="B73" s="5"/>
      <c r="C73" s="5"/>
      <c r="D73" s="5"/>
      <c r="E73" s="5"/>
      <c r="F73" s="5"/>
      <c r="G73" s="19" t="s">
        <v>112</v>
      </c>
      <c r="H73" s="21">
        <f>H72*1000*I7/1000000</f>
        <v>36485400</v>
      </c>
      <c r="I73" s="5"/>
      <c r="J73" s="5"/>
      <c r="K73" s="5"/>
      <c r="L73" s="5"/>
      <c r="M73" s="5"/>
      <c r="N73" s="5"/>
      <c r="O73" s="5"/>
      <c r="P73" s="5"/>
    </row>
    <row r="74" spans="1:16" x14ac:dyDescent="0.25">
      <c r="A74" s="5"/>
      <c r="B74" s="5"/>
      <c r="C74" s="5"/>
      <c r="D74" s="5"/>
      <c r="E74" s="5"/>
      <c r="F74" s="5"/>
      <c r="G74" s="19" t="s">
        <v>250</v>
      </c>
      <c r="H74" s="21">
        <f>I8*H73/2000</f>
        <v>36485.4</v>
      </c>
      <c r="I74" s="5" t="s">
        <v>253</v>
      </c>
      <c r="J74" s="5"/>
      <c r="K74" s="5"/>
      <c r="L74" s="5"/>
      <c r="M74" s="5"/>
      <c r="N74" s="5"/>
      <c r="O74" s="5"/>
      <c r="P74" s="5"/>
    </row>
    <row r="75" spans="1:16" x14ac:dyDescent="0.25">
      <c r="A75" s="5"/>
      <c r="B75" s="5"/>
      <c r="C75" s="5"/>
      <c r="D75" s="5"/>
      <c r="E75" s="5"/>
      <c r="F75" s="5"/>
      <c r="G75" s="19" t="s">
        <v>251</v>
      </c>
      <c r="H75" s="21">
        <f>I14*H74/100</f>
        <v>34661.129999999997</v>
      </c>
      <c r="I75" s="5" t="str">
        <f>"at removal efficiency = "&amp;I14&amp;"%"</f>
        <v>at removal efficiency = 95%</v>
      </c>
      <c r="J75" s="5"/>
      <c r="K75" s="5"/>
      <c r="L75" s="5"/>
      <c r="M75" s="5"/>
      <c r="N75" s="5"/>
      <c r="O75" s="5"/>
      <c r="P75" s="5"/>
    </row>
    <row r="76" spans="1:16" x14ac:dyDescent="0.25">
      <c r="A76" s="5"/>
      <c r="B76" s="5"/>
      <c r="C76" s="5"/>
      <c r="D76" s="5"/>
      <c r="E76" s="5"/>
      <c r="F76" s="5"/>
      <c r="G76" s="19" t="s">
        <v>252</v>
      </c>
      <c r="H76" s="21">
        <f>H74-H75</f>
        <v>1824.2700000000041</v>
      </c>
      <c r="I76" s="5"/>
      <c r="J76" s="5"/>
      <c r="K76" s="5"/>
      <c r="L76" s="5"/>
      <c r="M76" s="5"/>
      <c r="N76" s="5"/>
      <c r="O76" s="5"/>
      <c r="P76" s="5"/>
    </row>
    <row r="77" spans="1:16" x14ac:dyDescent="0.25">
      <c r="A77" s="5"/>
      <c r="B77" s="5"/>
      <c r="C77" s="5"/>
      <c r="D77" s="5"/>
      <c r="E77" s="5"/>
      <c r="F77" s="5"/>
      <c r="G77" s="19" t="s">
        <v>313</v>
      </c>
      <c r="H77" s="57">
        <f>H76*2000/H73</f>
        <v>0.10000000000000023</v>
      </c>
      <c r="I77" s="5" t="str">
        <f>IF(H77&gt;=0.06, "Value is AT or ABOVE a 0.06 floor rate", "Value is BELOW a 0.06 floor rate")</f>
        <v>Value is AT or ABOVE a 0.06 floor rate</v>
      </c>
      <c r="J77" s="5"/>
      <c r="K77" s="5"/>
      <c r="L77" s="5"/>
      <c r="M77" s="5"/>
      <c r="N77" s="5"/>
      <c r="O77" s="5"/>
      <c r="P77" s="5"/>
    </row>
    <row r="78" spans="1:16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x14ac:dyDescent="0.25">
      <c r="A79" s="5"/>
      <c r="B79" s="5"/>
      <c r="C79" s="5"/>
      <c r="D79" s="5"/>
      <c r="E79" s="5"/>
      <c r="F79" s="5"/>
      <c r="G79" s="19" t="s">
        <v>117</v>
      </c>
      <c r="H79" s="30">
        <f>0.143</f>
        <v>0.14299999999999999</v>
      </c>
      <c r="I79" s="5" t="s">
        <v>254</v>
      </c>
      <c r="J79" s="5"/>
      <c r="K79" s="5"/>
      <c r="L79" s="5"/>
      <c r="M79" s="5"/>
      <c r="N79" s="5"/>
      <c r="O79" s="5"/>
      <c r="P79" s="5"/>
    </row>
    <row r="80" spans="1:16" x14ac:dyDescent="0.25">
      <c r="A80" s="5"/>
      <c r="B80" s="5"/>
      <c r="C80" s="5"/>
      <c r="D80" s="5"/>
      <c r="E80" s="5"/>
      <c r="F80" s="5"/>
      <c r="G80" s="5"/>
      <c r="H80" s="19" t="s">
        <v>118</v>
      </c>
      <c r="I80" s="20">
        <f>ROUND(H79*J51,-3)</f>
        <v>35647000</v>
      </c>
      <c r="J80" s="5"/>
      <c r="K80" s="5"/>
      <c r="L80" s="5"/>
      <c r="M80" s="5"/>
      <c r="N80" s="5"/>
      <c r="O80" s="5"/>
      <c r="P80" s="5"/>
    </row>
    <row r="81" spans="1:16" x14ac:dyDescent="0.25">
      <c r="A81" s="5"/>
      <c r="B81" s="5"/>
      <c r="C81" s="5"/>
      <c r="D81" s="5"/>
      <c r="E81" s="5"/>
      <c r="F81" s="5"/>
      <c r="G81" s="5"/>
      <c r="H81" s="19" t="s">
        <v>119</v>
      </c>
      <c r="I81" s="20">
        <f>ROUND(J60*I5*1000,-3)</f>
        <v>3549000</v>
      </c>
      <c r="J81" s="5"/>
      <c r="K81" s="5"/>
      <c r="L81" s="5"/>
      <c r="M81" s="5"/>
      <c r="N81" s="5"/>
      <c r="O81" s="5"/>
      <c r="P81" s="5"/>
    </row>
    <row r="82" spans="1:16" x14ac:dyDescent="0.25">
      <c r="A82" s="5"/>
      <c r="B82" s="5"/>
      <c r="C82" s="5"/>
      <c r="D82" s="5"/>
      <c r="E82" s="5"/>
      <c r="F82" s="5"/>
      <c r="G82" s="5"/>
      <c r="H82" s="19" t="s">
        <v>120</v>
      </c>
      <c r="I82" s="20">
        <f>ROUND(J69*H72,-3)</f>
        <v>13559000</v>
      </c>
      <c r="J82" s="5"/>
      <c r="K82" s="5"/>
      <c r="L82" s="5"/>
      <c r="M82" s="5"/>
      <c r="N82" s="5"/>
      <c r="O82" s="5"/>
      <c r="P82" s="5"/>
    </row>
    <row r="83" spans="1:16" x14ac:dyDescent="0.25">
      <c r="A83" s="5"/>
      <c r="B83" s="5"/>
      <c r="C83" s="5"/>
      <c r="D83" s="5"/>
      <c r="E83" s="5"/>
      <c r="F83" s="5"/>
      <c r="G83" s="48"/>
      <c r="H83" s="49" t="s">
        <v>121</v>
      </c>
      <c r="I83" s="50">
        <f>SUM(I80:I82)</f>
        <v>52755000</v>
      </c>
      <c r="J83" s="5"/>
      <c r="K83" s="5"/>
      <c r="L83" s="5"/>
      <c r="M83" s="5"/>
      <c r="N83" s="5"/>
      <c r="O83" s="5"/>
      <c r="P83" s="5"/>
    </row>
    <row r="84" spans="1:16" ht="15.75" thickBo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ht="15.75" thickTop="1" x14ac:dyDescent="0.25">
      <c r="A85" s="5"/>
      <c r="B85" s="5"/>
      <c r="C85" s="5"/>
      <c r="D85" s="5"/>
      <c r="E85" s="5"/>
      <c r="F85" s="5"/>
      <c r="G85" s="52"/>
      <c r="H85" s="53" t="s">
        <v>122</v>
      </c>
      <c r="I85" s="55">
        <f>I80/$H$72</f>
        <v>9.574805264571582</v>
      </c>
      <c r="J85" s="5"/>
      <c r="K85" s="5"/>
      <c r="L85" s="5"/>
      <c r="M85" s="5"/>
      <c r="N85" s="5"/>
      <c r="O85" s="5"/>
      <c r="P85" s="5"/>
    </row>
    <row r="86" spans="1:16" x14ac:dyDescent="0.25">
      <c r="A86" s="5"/>
      <c r="B86" s="5"/>
      <c r="C86" s="5"/>
      <c r="D86" s="5"/>
      <c r="E86" s="5"/>
      <c r="F86" s="5"/>
      <c r="G86" s="5"/>
      <c r="H86" s="19" t="s">
        <v>123</v>
      </c>
      <c r="I86" s="22">
        <f t="shared" ref="I86:I87" si="1">I81/$H$72</f>
        <v>0.95326349717969383</v>
      </c>
      <c r="J86" s="5"/>
      <c r="K86" s="5"/>
      <c r="L86" s="5"/>
      <c r="M86" s="5"/>
      <c r="N86" s="5"/>
      <c r="O86" s="5"/>
      <c r="P86" s="5"/>
    </row>
    <row r="87" spans="1:16" x14ac:dyDescent="0.25">
      <c r="A87" s="5"/>
      <c r="B87" s="5"/>
      <c r="C87" s="5"/>
      <c r="D87" s="5"/>
      <c r="E87" s="5"/>
      <c r="F87" s="5"/>
      <c r="G87" s="5"/>
      <c r="H87" s="19" t="s">
        <v>124</v>
      </c>
      <c r="I87" s="22">
        <f t="shared" si="1"/>
        <v>3.6419554123019071</v>
      </c>
      <c r="J87" s="5"/>
      <c r="K87" s="5"/>
      <c r="L87" s="5"/>
      <c r="M87" s="5"/>
      <c r="N87" s="5"/>
      <c r="O87" s="5"/>
      <c r="P87" s="5"/>
    </row>
    <row r="88" spans="1:16" x14ac:dyDescent="0.25">
      <c r="A88" s="5"/>
      <c r="B88" s="5"/>
      <c r="C88" s="5"/>
      <c r="D88" s="5"/>
      <c r="E88" s="5"/>
      <c r="F88" s="5"/>
      <c r="G88" s="48"/>
      <c r="H88" s="49" t="s">
        <v>125</v>
      </c>
      <c r="I88" s="51">
        <f>SUM(I85:I87)</f>
        <v>14.170024174053184</v>
      </c>
      <c r="J88" s="5"/>
      <c r="K88" s="5"/>
      <c r="L88" s="5"/>
      <c r="M88" s="5"/>
      <c r="N88" s="5"/>
      <c r="O88" s="5"/>
      <c r="P88" s="5"/>
    </row>
    <row r="89" spans="1:16" ht="15.75" thickBo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ht="15.75" thickTop="1" x14ac:dyDescent="0.25">
      <c r="A90" s="5"/>
      <c r="B90" s="5"/>
      <c r="C90" s="5"/>
      <c r="D90" s="5"/>
      <c r="E90" s="5"/>
      <c r="F90" s="5"/>
      <c r="G90" s="52"/>
      <c r="H90" s="53" t="s">
        <v>126</v>
      </c>
      <c r="I90" s="54">
        <f>I80/$H$75</f>
        <v>1028.4431003836287</v>
      </c>
      <c r="J90" s="5"/>
      <c r="K90" s="5"/>
      <c r="L90" s="5"/>
      <c r="M90" s="5"/>
      <c r="N90" s="5"/>
      <c r="O90" s="5"/>
      <c r="P90" s="5"/>
    </row>
    <row r="91" spans="1:16" x14ac:dyDescent="0.25">
      <c r="A91" s="5"/>
      <c r="B91" s="5"/>
      <c r="C91" s="5"/>
      <c r="D91" s="5"/>
      <c r="E91" s="5"/>
      <c r="F91" s="5"/>
      <c r="G91" s="5"/>
      <c r="H91" s="19" t="s">
        <v>127</v>
      </c>
      <c r="I91" s="20">
        <f t="shared" ref="I91:I92" si="2">I81/$H$75</f>
        <v>102.39135308052566</v>
      </c>
      <c r="J91" s="5"/>
      <c r="K91" s="5"/>
      <c r="L91" s="5"/>
      <c r="M91" s="5"/>
      <c r="N91" s="5"/>
      <c r="O91" s="5"/>
      <c r="P91" s="5"/>
    </row>
    <row r="92" spans="1:16" x14ac:dyDescent="0.25">
      <c r="A92" s="5"/>
      <c r="B92" s="5"/>
      <c r="C92" s="5"/>
      <c r="D92" s="5"/>
      <c r="E92" s="5"/>
      <c r="F92" s="5"/>
      <c r="G92" s="5"/>
      <c r="H92" s="19" t="s">
        <v>128</v>
      </c>
      <c r="I92" s="20">
        <f t="shared" si="2"/>
        <v>391.18747715380317</v>
      </c>
      <c r="J92" s="5"/>
      <c r="K92" s="5"/>
      <c r="L92" s="5"/>
      <c r="M92" s="5"/>
      <c r="N92" s="5"/>
      <c r="O92" s="5"/>
      <c r="P92" s="5"/>
    </row>
    <row r="93" spans="1:16" x14ac:dyDescent="0.25">
      <c r="A93" s="5"/>
      <c r="B93" s="5"/>
      <c r="C93" s="5"/>
      <c r="D93" s="5"/>
      <c r="E93" s="5"/>
      <c r="F93" s="5"/>
      <c r="G93" s="48"/>
      <c r="H93" s="49" t="s">
        <v>129</v>
      </c>
      <c r="I93" s="50">
        <f>SUM(I90:I92)</f>
        <v>1522.0219306179577</v>
      </c>
      <c r="J93" s="5"/>
      <c r="K93" s="5"/>
      <c r="L93" s="5"/>
      <c r="M93" s="5"/>
      <c r="N93" s="5"/>
      <c r="O93" s="5"/>
      <c r="P93" s="5"/>
    </row>
    <row r="94" spans="1:16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x14ac:dyDescent="0.25">
      <c r="A96" s="5" t="s">
        <v>131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x14ac:dyDescent="0.25">
      <c r="A97" s="5"/>
      <c r="B97" s="5" t="s">
        <v>158</v>
      </c>
      <c r="C97" s="5" t="s">
        <v>15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x14ac:dyDescent="0.25">
      <c r="A98" s="5">
        <v>1</v>
      </c>
      <c r="B98" s="5" t="s">
        <v>160</v>
      </c>
      <c r="C98" s="5">
        <v>1.05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x14ac:dyDescent="0.25">
      <c r="A99" s="5">
        <v>2</v>
      </c>
      <c r="B99" s="5" t="s">
        <v>161</v>
      </c>
      <c r="C99" s="5">
        <v>1.07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x14ac:dyDescent="0.25">
      <c r="A100" s="5">
        <v>3</v>
      </c>
      <c r="B100" s="5" t="s">
        <v>162</v>
      </c>
      <c r="C100" s="5">
        <v>1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x14ac:dyDescent="0.25">
      <c r="A102" s="38"/>
      <c r="B102" s="38"/>
      <c r="C102" s="38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x14ac:dyDescent="0.25">
      <c r="A103" s="38"/>
      <c r="B103" s="38"/>
      <c r="C103" s="39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x14ac:dyDescent="0.25">
      <c r="A104" s="38"/>
      <c r="B104" s="38"/>
      <c r="C104" s="39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x14ac:dyDescent="0.25">
      <c r="A105" s="38"/>
      <c r="B105" s="38"/>
      <c r="C105" s="39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x14ac:dyDescent="0.25">
      <c r="A107" s="5"/>
      <c r="B107" s="5" t="s">
        <v>163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x14ac:dyDescent="0.25">
      <c r="A108" s="5"/>
      <c r="B108" s="23" t="b">
        <v>1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</sheetData>
  <mergeCells count="1">
    <mergeCell ref="D17:F17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590550</xdr:colOff>
                    <xdr:row>16</xdr:row>
                    <xdr:rowOff>171450</xdr:rowOff>
                  </from>
                  <to>
                    <xdr:col>5</xdr:col>
                    <xdr:colOff>171450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7</xdr:col>
                    <xdr:colOff>885825</xdr:colOff>
                    <xdr:row>7</xdr:row>
                    <xdr:rowOff>180975</xdr:rowOff>
                  </from>
                  <to>
                    <xdr:col>9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</xdr:row>
                    <xdr:rowOff>171450</xdr:rowOff>
                  </from>
                  <to>
                    <xdr:col>8</xdr:col>
                    <xdr:colOff>400050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</xdr:row>
                    <xdr:rowOff>171450</xdr:rowOff>
                  </from>
                  <to>
                    <xdr:col>8</xdr:col>
                    <xdr:colOff>400050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3"/>
  <sheetViews>
    <sheetView topLeftCell="A34" zoomScale="85" zoomScaleNormal="85" workbookViewId="0">
      <selection activeCell="B53" sqref="B53"/>
    </sheetView>
  </sheetViews>
  <sheetFormatPr defaultRowHeight="15" x14ac:dyDescent="0.25"/>
  <cols>
    <col min="6" max="6" width="6.28515625" customWidth="1"/>
    <col min="7" max="7" width="12.7109375" customWidth="1"/>
    <col min="8" max="8" width="13.28515625" bestFit="1" customWidth="1"/>
    <col min="9" max="9" width="12.7109375" customWidth="1"/>
    <col min="10" max="10" width="15.28515625" customWidth="1"/>
    <col min="12" max="12" width="56.140625" customWidth="1"/>
  </cols>
  <sheetData>
    <row r="1" spans="1:16" x14ac:dyDescent="0.25">
      <c r="A1" s="5" t="s">
        <v>165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5"/>
      <c r="B2" s="5"/>
      <c r="C2" s="5"/>
      <c r="D2" s="24" t="s">
        <v>0</v>
      </c>
      <c r="E2" s="25"/>
      <c r="F2" s="26"/>
      <c r="G2" s="27" t="s">
        <v>1</v>
      </c>
      <c r="H2" s="27" t="s">
        <v>2</v>
      </c>
      <c r="I2" s="27" t="s">
        <v>3</v>
      </c>
      <c r="J2" s="24" t="s">
        <v>4</v>
      </c>
      <c r="K2" s="7"/>
      <c r="L2" s="8"/>
      <c r="M2" s="5"/>
      <c r="N2" s="5"/>
      <c r="O2" s="5"/>
      <c r="P2" s="5"/>
    </row>
    <row r="3" spans="1:16" x14ac:dyDescent="0.25">
      <c r="A3" s="5"/>
      <c r="B3" s="5"/>
      <c r="C3" s="5"/>
      <c r="D3" s="6" t="s">
        <v>5</v>
      </c>
      <c r="E3" s="7"/>
      <c r="F3" s="8"/>
      <c r="G3" s="31"/>
      <c r="H3" s="31"/>
      <c r="I3" s="56" t="b">
        <v>0</v>
      </c>
      <c r="J3" s="6"/>
      <c r="K3" s="7"/>
      <c r="L3" s="8"/>
      <c r="M3" s="5"/>
      <c r="N3" s="5"/>
      <c r="O3" s="5"/>
      <c r="P3" s="5"/>
    </row>
    <row r="4" spans="1:16" ht="19.5" customHeight="1" x14ac:dyDescent="0.25">
      <c r="A4" s="5"/>
      <c r="B4" s="5"/>
      <c r="C4" s="5"/>
      <c r="D4" s="6" t="s">
        <v>168</v>
      </c>
      <c r="E4" s="7"/>
      <c r="F4" s="8"/>
      <c r="G4" s="41"/>
      <c r="H4" s="41"/>
      <c r="I4" s="1">
        <v>2</v>
      </c>
      <c r="J4" s="6"/>
      <c r="K4" s="7"/>
      <c r="L4" s="8"/>
      <c r="M4" s="5"/>
      <c r="N4" s="5"/>
      <c r="O4" s="5"/>
      <c r="P4" s="5"/>
    </row>
    <row r="5" spans="1:16" x14ac:dyDescent="0.25">
      <c r="A5" s="5"/>
      <c r="B5" s="5"/>
      <c r="C5" s="5"/>
      <c r="D5" s="6" t="s">
        <v>6</v>
      </c>
      <c r="E5" s="7"/>
      <c r="F5" s="8"/>
      <c r="G5" s="31" t="s">
        <v>7</v>
      </c>
      <c r="H5" s="31" t="s">
        <v>8</v>
      </c>
      <c r="I5" s="33">
        <v>500</v>
      </c>
      <c r="J5" s="6" t="s">
        <v>205</v>
      </c>
      <c r="K5" s="7"/>
      <c r="L5" s="8"/>
      <c r="M5" s="5"/>
      <c r="N5" s="5"/>
      <c r="O5" s="5"/>
      <c r="P5" s="5"/>
    </row>
    <row r="6" spans="1:16" x14ac:dyDescent="0.25">
      <c r="A6" s="5"/>
      <c r="B6" s="5"/>
      <c r="C6" s="5"/>
      <c r="D6" s="6" t="s">
        <v>10</v>
      </c>
      <c r="E6" s="7"/>
      <c r="F6" s="8"/>
      <c r="G6" s="31" t="s">
        <v>29</v>
      </c>
      <c r="H6" s="31"/>
      <c r="I6" s="47">
        <v>1</v>
      </c>
      <c r="J6" s="6" t="s">
        <v>59</v>
      </c>
      <c r="K6" s="7"/>
      <c r="L6" s="8"/>
      <c r="M6" s="5"/>
      <c r="N6" s="5"/>
      <c r="O6" s="5"/>
      <c r="P6" s="5"/>
    </row>
    <row r="7" spans="1:16" x14ac:dyDescent="0.25">
      <c r="A7" s="5"/>
      <c r="B7" s="5"/>
      <c r="C7" s="5"/>
      <c r="D7" s="6" t="s">
        <v>11</v>
      </c>
      <c r="E7" s="7"/>
      <c r="F7" s="8"/>
      <c r="G7" s="31" t="s">
        <v>30</v>
      </c>
      <c r="H7" s="31" t="s">
        <v>49</v>
      </c>
      <c r="I7" s="33">
        <v>9500</v>
      </c>
      <c r="J7" s="6" t="s">
        <v>9</v>
      </c>
      <c r="K7" s="7"/>
      <c r="L7" s="8"/>
      <c r="M7" s="5"/>
      <c r="N7" s="5"/>
      <c r="O7" s="5"/>
      <c r="P7" s="5"/>
    </row>
    <row r="8" spans="1:16" x14ac:dyDescent="0.25">
      <c r="A8" s="5"/>
      <c r="B8" s="5"/>
      <c r="C8" s="5"/>
      <c r="D8" s="6" t="s">
        <v>13</v>
      </c>
      <c r="E8" s="7"/>
      <c r="F8" s="8"/>
      <c r="G8" s="31" t="s">
        <v>31</v>
      </c>
      <c r="H8" s="31" t="s">
        <v>50</v>
      </c>
      <c r="I8" s="33">
        <v>3</v>
      </c>
      <c r="J8" s="6" t="s">
        <v>9</v>
      </c>
      <c r="K8" s="7"/>
      <c r="L8" s="8"/>
      <c r="M8" s="5"/>
      <c r="N8" s="5"/>
      <c r="O8" s="5"/>
      <c r="P8" s="5"/>
    </row>
    <row r="9" spans="1:16" ht="18.75" customHeight="1" x14ac:dyDescent="0.25">
      <c r="A9" s="5"/>
      <c r="B9" s="5"/>
      <c r="C9" s="5"/>
      <c r="D9" s="6" t="s">
        <v>14</v>
      </c>
      <c r="E9" s="7"/>
      <c r="F9" s="8"/>
      <c r="G9" s="31" t="s">
        <v>32</v>
      </c>
      <c r="H9" s="9"/>
      <c r="I9" s="2">
        <v>3</v>
      </c>
      <c r="J9" s="6" t="s">
        <v>9</v>
      </c>
      <c r="K9" s="7"/>
      <c r="L9" s="8"/>
      <c r="M9" s="5"/>
      <c r="N9" s="5"/>
      <c r="O9" s="5"/>
      <c r="P9" s="5"/>
    </row>
    <row r="10" spans="1:16" x14ac:dyDescent="0.25">
      <c r="A10" s="5"/>
      <c r="B10" s="5"/>
      <c r="C10" s="5"/>
      <c r="D10" s="6" t="s">
        <v>15</v>
      </c>
      <c r="E10" s="7"/>
      <c r="F10" s="8"/>
      <c r="G10" s="31" t="s">
        <v>33</v>
      </c>
      <c r="H10" s="31"/>
      <c r="I10" s="31">
        <f>VLOOKUP(I9,A100:C102,3)</f>
        <v>1</v>
      </c>
      <c r="J10" s="6" t="s">
        <v>60</v>
      </c>
      <c r="K10" s="7"/>
      <c r="L10" s="8"/>
      <c r="M10" s="5"/>
      <c r="N10" s="5"/>
      <c r="O10" s="5"/>
      <c r="P10" s="5"/>
    </row>
    <row r="11" spans="1:16" x14ac:dyDescent="0.25">
      <c r="A11" s="5"/>
      <c r="B11" s="5"/>
      <c r="C11" s="5"/>
      <c r="D11" s="6" t="s">
        <v>16</v>
      </c>
      <c r="E11" s="7"/>
      <c r="F11" s="8"/>
      <c r="G11" s="31" t="s">
        <v>34</v>
      </c>
      <c r="H11" s="31"/>
      <c r="I11" s="31">
        <f>I7/10000</f>
        <v>0.95</v>
      </c>
      <c r="J11" s="6" t="s">
        <v>61</v>
      </c>
      <c r="K11" s="7"/>
      <c r="L11" s="8"/>
      <c r="M11" s="5"/>
      <c r="N11" s="5"/>
      <c r="O11" s="5"/>
      <c r="P11" s="5"/>
    </row>
    <row r="12" spans="1:16" x14ac:dyDescent="0.25">
      <c r="A12" s="5"/>
      <c r="B12" s="5"/>
      <c r="C12" s="5"/>
      <c r="D12" s="6" t="s">
        <v>17</v>
      </c>
      <c r="E12" s="7"/>
      <c r="F12" s="8"/>
      <c r="G12" s="31" t="s">
        <v>35</v>
      </c>
      <c r="H12" s="31" t="s">
        <v>51</v>
      </c>
      <c r="I12" s="34">
        <f>I5*I7*1000</f>
        <v>4750000000</v>
      </c>
      <c r="J12" s="6" t="s">
        <v>62</v>
      </c>
      <c r="K12" s="7"/>
      <c r="L12" s="8"/>
      <c r="M12" s="5"/>
      <c r="N12" s="5"/>
      <c r="O12" s="5"/>
      <c r="P12" s="5"/>
    </row>
    <row r="13" spans="1:16" x14ac:dyDescent="0.25">
      <c r="A13" s="5"/>
      <c r="B13" s="5"/>
      <c r="C13" s="5"/>
      <c r="D13" s="6" t="s">
        <v>18</v>
      </c>
      <c r="E13" s="7"/>
      <c r="F13" s="8"/>
      <c r="G13" s="31" t="s">
        <v>36</v>
      </c>
      <c r="H13" s="31" t="s">
        <v>52</v>
      </c>
      <c r="I13" s="33">
        <v>85</v>
      </c>
      <c r="J13" s="6" t="s">
        <v>9</v>
      </c>
      <c r="K13" s="7"/>
      <c r="L13" s="8"/>
      <c r="M13" s="5"/>
      <c r="N13" s="5"/>
      <c r="O13" s="5"/>
      <c r="P13" s="5"/>
    </row>
    <row r="14" spans="1:16" x14ac:dyDescent="0.25">
      <c r="A14" s="5"/>
      <c r="B14" s="5"/>
      <c r="C14" s="5"/>
      <c r="D14" s="6" t="s">
        <v>204</v>
      </c>
      <c r="E14" s="7"/>
      <c r="F14" s="8"/>
      <c r="G14" s="31" t="s">
        <v>37</v>
      </c>
      <c r="H14" s="31" t="s">
        <v>52</v>
      </c>
      <c r="I14" s="33">
        <v>95</v>
      </c>
      <c r="J14" s="6" t="s">
        <v>206</v>
      </c>
      <c r="K14" s="7"/>
      <c r="L14" s="8"/>
      <c r="M14" s="5"/>
      <c r="N14" s="5"/>
      <c r="O14" s="5"/>
      <c r="P14" s="5"/>
    </row>
    <row r="15" spans="1:16" x14ac:dyDescent="0.25">
      <c r="A15" s="5"/>
      <c r="B15" s="5"/>
      <c r="C15" s="5"/>
      <c r="D15" s="6" t="s">
        <v>211</v>
      </c>
      <c r="E15" s="7"/>
      <c r="F15" s="8"/>
      <c r="G15" s="31" t="s">
        <v>38</v>
      </c>
      <c r="H15" s="31" t="s">
        <v>213</v>
      </c>
      <c r="I15" s="36">
        <f>17.52*I8*I5*I11/2000</f>
        <v>12.483000000000001</v>
      </c>
      <c r="J15" s="6" t="s">
        <v>214</v>
      </c>
      <c r="K15" s="7"/>
      <c r="L15" s="8"/>
      <c r="M15" s="5"/>
      <c r="N15" s="5"/>
      <c r="O15" s="5"/>
      <c r="P15" s="5"/>
    </row>
    <row r="16" spans="1:16" x14ac:dyDescent="0.25">
      <c r="A16" s="5"/>
      <c r="B16" s="5"/>
      <c r="C16" s="5"/>
      <c r="D16" s="6" t="s">
        <v>212</v>
      </c>
      <c r="E16" s="7"/>
      <c r="F16" s="8"/>
      <c r="G16" s="31" t="s">
        <v>39</v>
      </c>
      <c r="H16" s="31" t="s">
        <v>213</v>
      </c>
      <c r="I16" s="36">
        <f>1.811*I15</f>
        <v>22.606712999999999</v>
      </c>
      <c r="J16" s="6" t="s">
        <v>215</v>
      </c>
      <c r="K16" s="7"/>
      <c r="L16" s="8"/>
      <c r="M16" s="5"/>
      <c r="N16" s="5"/>
      <c r="O16" s="5"/>
      <c r="P16" s="5"/>
    </row>
    <row r="17" spans="1:16" ht="28.5" customHeight="1" x14ac:dyDescent="0.25">
      <c r="A17" s="5"/>
      <c r="B17" s="5"/>
      <c r="C17" s="5"/>
      <c r="D17" s="149" t="s">
        <v>164</v>
      </c>
      <c r="E17" s="131"/>
      <c r="F17" s="132"/>
      <c r="G17" s="31" t="s">
        <v>40</v>
      </c>
      <c r="H17" s="31" t="s">
        <v>52</v>
      </c>
      <c r="I17" s="37">
        <f>(1.12*EXP(0.155*I8))*I10*I11</f>
        <v>1.6939030969758757</v>
      </c>
      <c r="J17" s="6" t="s">
        <v>217</v>
      </c>
      <c r="K17" s="7"/>
      <c r="L17" s="8"/>
      <c r="M17" s="5"/>
      <c r="N17" s="5"/>
      <c r="O17" s="5"/>
      <c r="P17" s="5"/>
    </row>
    <row r="18" spans="1:16" x14ac:dyDescent="0.25">
      <c r="A18" s="5"/>
      <c r="B18" s="5"/>
      <c r="C18" s="5"/>
      <c r="D18" s="6" t="s">
        <v>107</v>
      </c>
      <c r="E18" s="7"/>
      <c r="F18" s="8"/>
      <c r="G18" s="31" t="s">
        <v>41</v>
      </c>
      <c r="H18" s="31" t="s">
        <v>108</v>
      </c>
      <c r="I18" s="36">
        <f>(1.674*I8+74.68)*I5*I10*I11/1000</f>
        <v>37.858450000000005</v>
      </c>
      <c r="J18" s="6" t="s">
        <v>216</v>
      </c>
      <c r="K18" s="7"/>
      <c r="L18" s="8"/>
      <c r="M18" s="5"/>
      <c r="N18" s="5"/>
      <c r="O18" s="5"/>
      <c r="P18" s="5"/>
    </row>
    <row r="19" spans="1:16" x14ac:dyDescent="0.25">
      <c r="A19" s="5"/>
      <c r="B19" s="5"/>
      <c r="C19" s="5"/>
      <c r="D19" s="6" t="s">
        <v>207</v>
      </c>
      <c r="E19" s="7"/>
      <c r="F19" s="8"/>
      <c r="G19" s="31" t="s">
        <v>43</v>
      </c>
      <c r="H19" s="31" t="s">
        <v>54</v>
      </c>
      <c r="I19" s="33">
        <v>30</v>
      </c>
      <c r="J19" s="6" t="s">
        <v>9</v>
      </c>
      <c r="K19" s="7"/>
      <c r="L19" s="8"/>
      <c r="M19" s="5"/>
      <c r="N19" s="5"/>
      <c r="O19" s="5"/>
      <c r="P19" s="5"/>
    </row>
    <row r="20" spans="1:16" x14ac:dyDescent="0.25">
      <c r="A20" s="5"/>
      <c r="B20" s="5"/>
      <c r="C20" s="5"/>
      <c r="D20" s="6" t="s">
        <v>208</v>
      </c>
      <c r="E20" s="7"/>
      <c r="F20" s="8"/>
      <c r="G20" s="31" t="s">
        <v>106</v>
      </c>
      <c r="H20" s="31" t="s">
        <v>54</v>
      </c>
      <c r="I20" s="33">
        <v>30</v>
      </c>
      <c r="J20" s="6" t="s">
        <v>9</v>
      </c>
      <c r="K20" s="7"/>
      <c r="L20" s="8"/>
      <c r="M20" s="5"/>
      <c r="N20" s="5"/>
      <c r="O20" s="5"/>
      <c r="P20" s="5"/>
    </row>
    <row r="21" spans="1:16" x14ac:dyDescent="0.25">
      <c r="A21" s="5"/>
      <c r="B21" s="5"/>
      <c r="C21" s="5"/>
      <c r="D21" s="6" t="s">
        <v>26</v>
      </c>
      <c r="E21" s="7"/>
      <c r="F21" s="8"/>
      <c r="G21" s="31" t="s">
        <v>44</v>
      </c>
      <c r="H21" s="31" t="s">
        <v>56</v>
      </c>
      <c r="I21" s="33">
        <v>0.06</v>
      </c>
      <c r="J21" s="6" t="s">
        <v>9</v>
      </c>
      <c r="K21" s="7"/>
      <c r="L21" s="8"/>
      <c r="M21" s="5"/>
      <c r="N21" s="5"/>
      <c r="O21" s="5"/>
      <c r="P21" s="5"/>
    </row>
    <row r="22" spans="1:16" x14ac:dyDescent="0.25">
      <c r="A22" s="5"/>
      <c r="B22" s="5"/>
      <c r="C22" s="5"/>
      <c r="D22" s="6" t="s">
        <v>209</v>
      </c>
      <c r="E22" s="7"/>
      <c r="F22" s="8"/>
      <c r="G22" s="31" t="s">
        <v>45</v>
      </c>
      <c r="H22" s="31" t="s">
        <v>210</v>
      </c>
      <c r="I22" s="33">
        <v>1</v>
      </c>
      <c r="J22" s="6" t="s">
        <v>9</v>
      </c>
      <c r="K22" s="7"/>
      <c r="L22" s="8"/>
      <c r="M22" s="5"/>
      <c r="N22" s="5"/>
      <c r="O22" s="5"/>
      <c r="P22" s="5"/>
    </row>
    <row r="23" spans="1:16" x14ac:dyDescent="0.25">
      <c r="A23" s="5"/>
      <c r="B23" s="5"/>
      <c r="C23" s="5"/>
      <c r="D23" s="6" t="s">
        <v>28</v>
      </c>
      <c r="E23" s="7"/>
      <c r="F23" s="8"/>
      <c r="G23" s="31" t="s">
        <v>46</v>
      </c>
      <c r="H23" s="31" t="s">
        <v>58</v>
      </c>
      <c r="I23" s="33">
        <v>60</v>
      </c>
      <c r="J23" s="6" t="s">
        <v>73</v>
      </c>
      <c r="K23" s="7"/>
      <c r="L23" s="8"/>
      <c r="M23" s="5"/>
      <c r="N23" s="5"/>
      <c r="O23" s="5"/>
      <c r="P23" s="5"/>
    </row>
    <row r="24" spans="1:16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23.25" x14ac:dyDescent="0.35">
      <c r="A27" s="5"/>
      <c r="B27" s="5"/>
      <c r="C27" s="5"/>
      <c r="D27" s="5"/>
      <c r="E27" s="5"/>
      <c r="F27" s="5"/>
      <c r="G27" s="5"/>
      <c r="H27" s="28" t="s">
        <v>414</v>
      </c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10" t="s">
        <v>68</v>
      </c>
      <c r="B28" s="10"/>
      <c r="C28" s="10"/>
      <c r="D28" s="10"/>
      <c r="E28" s="10"/>
      <c r="F28" s="10"/>
      <c r="G28" s="10"/>
      <c r="H28" s="10"/>
      <c r="I28" s="10"/>
      <c r="J28" s="10" t="s">
        <v>70</v>
      </c>
      <c r="K28" s="10"/>
      <c r="L28" s="10" t="s">
        <v>71</v>
      </c>
      <c r="M28" s="5"/>
      <c r="N28" s="5"/>
      <c r="O28" s="5"/>
      <c r="P28" s="5"/>
    </row>
    <row r="29" spans="1:16" x14ac:dyDescent="0.25">
      <c r="A29" s="5"/>
      <c r="B29" s="5" t="s">
        <v>69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25">
      <c r="A30" s="5"/>
      <c r="B30" s="5" t="s">
        <v>75</v>
      </c>
      <c r="C30" s="5" t="s">
        <v>220</v>
      </c>
      <c r="D30" s="5"/>
      <c r="E30" s="5"/>
      <c r="F30" s="5"/>
      <c r="G30" s="5"/>
      <c r="H30" s="5"/>
      <c r="I30" s="5"/>
      <c r="J30" s="11">
        <f>ROUND(584000*(I6)*((I10*I11)^0.6)*((I8/2)^0.02)*(I5^0.716),-3)</f>
        <v>48869000</v>
      </c>
      <c r="K30" s="5"/>
      <c r="L30" s="5" t="s">
        <v>218</v>
      </c>
      <c r="M30" s="5"/>
      <c r="N30" s="5"/>
      <c r="O30" s="5"/>
      <c r="P30" s="5"/>
    </row>
    <row r="31" spans="1:16" x14ac:dyDescent="0.25">
      <c r="A31" s="5"/>
      <c r="B31" s="5" t="s">
        <v>76</v>
      </c>
      <c r="C31" s="5" t="s">
        <v>221</v>
      </c>
      <c r="D31" s="5"/>
      <c r="E31" s="5"/>
      <c r="F31" s="5"/>
      <c r="G31" s="5"/>
      <c r="H31" s="5"/>
      <c r="I31" s="5"/>
      <c r="J31" s="11">
        <f>ROUND(202000*(I6)*((I8*I11)^0.3)*(I5^0.716),-3)</f>
        <v>23674000</v>
      </c>
      <c r="K31" s="5"/>
      <c r="L31" s="5" t="s">
        <v>134</v>
      </c>
      <c r="M31" s="5"/>
      <c r="N31" s="5"/>
      <c r="O31" s="5"/>
      <c r="P31" s="5"/>
    </row>
    <row r="32" spans="1:16" x14ac:dyDescent="0.25">
      <c r="A32" s="5"/>
      <c r="B32" s="5" t="s">
        <v>222</v>
      </c>
      <c r="C32" s="5" t="s">
        <v>223</v>
      </c>
      <c r="D32" s="5"/>
      <c r="E32" s="5"/>
      <c r="F32" s="5"/>
      <c r="G32" s="5"/>
      <c r="H32" s="5"/>
      <c r="I32" s="5"/>
      <c r="J32" s="11">
        <f>ROUND(106000*(I6)*((I8*I11)^0.45)*(I5^0.716),-3)</f>
        <v>14536000</v>
      </c>
      <c r="K32" s="5"/>
      <c r="L32" s="5" t="s">
        <v>219</v>
      </c>
      <c r="M32" s="5"/>
      <c r="N32" s="5"/>
      <c r="O32" s="5"/>
      <c r="P32" s="5"/>
    </row>
    <row r="33" spans="1:16" x14ac:dyDescent="0.25">
      <c r="A33" s="5"/>
      <c r="B33" s="5" t="s">
        <v>78</v>
      </c>
      <c r="C33" s="5" t="s">
        <v>224</v>
      </c>
      <c r="D33" s="5"/>
      <c r="E33" s="5"/>
      <c r="F33" s="5"/>
      <c r="G33" s="5"/>
      <c r="H33" s="5"/>
      <c r="I33" s="5"/>
      <c r="J33" s="11">
        <f>ROUND(1070000*(I6)*((I10*I11)^0.4)*(I5^0.716),-3)</f>
        <v>89730000</v>
      </c>
      <c r="K33" s="5"/>
      <c r="L33" s="5" t="s">
        <v>227</v>
      </c>
      <c r="M33" s="5"/>
      <c r="N33" s="5"/>
      <c r="O33" s="5"/>
      <c r="P33" s="5"/>
    </row>
    <row r="34" spans="1:16" x14ac:dyDescent="0.25">
      <c r="A34" s="5"/>
      <c r="B34" s="5" t="s">
        <v>225</v>
      </c>
      <c r="C34" s="5" t="s">
        <v>226</v>
      </c>
      <c r="D34" s="5"/>
      <c r="E34" s="5"/>
      <c r="F34" s="5"/>
      <c r="G34" s="5"/>
      <c r="H34" s="5"/>
      <c r="I34" s="5"/>
      <c r="J34" s="11">
        <f>(VLOOKUP(I4,A105:C107,3)/0.17)*10600000*(I6)*((I5/500)^0.6)</f>
        <v>10600000</v>
      </c>
      <c r="K34" s="5"/>
      <c r="L34" s="5" t="s">
        <v>228</v>
      </c>
      <c r="M34" s="5"/>
      <c r="N34" s="5"/>
      <c r="O34" s="5"/>
      <c r="P34" s="5"/>
    </row>
    <row r="35" spans="1:16" x14ac:dyDescent="0.25">
      <c r="A35" s="5"/>
      <c r="B35" s="5" t="s">
        <v>79</v>
      </c>
      <c r="C35" s="5" t="s">
        <v>405</v>
      </c>
      <c r="D35" s="5"/>
      <c r="E35" s="5"/>
      <c r="F35" s="5"/>
      <c r="G35" s="5"/>
      <c r="H35" s="5"/>
      <c r="I35" s="5"/>
      <c r="J35" s="12">
        <f>SUM(J30:J34)</f>
        <v>187409000</v>
      </c>
      <c r="K35" s="5"/>
      <c r="L35" s="5" t="s">
        <v>187</v>
      </c>
      <c r="M35" s="5"/>
      <c r="N35" s="5"/>
      <c r="O35" s="5"/>
      <c r="P35" s="5"/>
    </row>
    <row r="36" spans="1:16" x14ac:dyDescent="0.25">
      <c r="A36" s="5"/>
      <c r="B36" s="5" t="s">
        <v>74</v>
      </c>
      <c r="C36" s="5"/>
      <c r="D36" s="5"/>
      <c r="E36" s="5"/>
      <c r="F36" s="5"/>
      <c r="G36" s="5"/>
      <c r="H36" s="5"/>
      <c r="I36" s="5"/>
      <c r="J36" s="13">
        <f>J35/(I5*1000)</f>
        <v>374.81799999999998</v>
      </c>
      <c r="K36" s="5"/>
      <c r="L36" s="5" t="s">
        <v>137</v>
      </c>
      <c r="M36" s="5"/>
      <c r="N36" s="5"/>
      <c r="O36" s="5"/>
      <c r="P36" s="5"/>
    </row>
    <row r="37" spans="1:16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5">
      <c r="A38" s="10" t="s">
        <v>84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x14ac:dyDescent="0.25">
      <c r="A39" s="5"/>
      <c r="B39" s="5" t="s">
        <v>85</v>
      </c>
      <c r="C39" s="5"/>
      <c r="D39" s="5"/>
      <c r="E39" s="5"/>
      <c r="F39" s="5"/>
      <c r="G39" s="5"/>
      <c r="H39" s="5"/>
      <c r="I39" s="5"/>
      <c r="J39" s="11">
        <f>ROUND($J$35*0.1,-3)</f>
        <v>18741000</v>
      </c>
      <c r="K39" s="5"/>
      <c r="L39" s="5" t="s">
        <v>138</v>
      </c>
      <c r="M39" s="5"/>
      <c r="N39" s="5"/>
      <c r="O39" s="5"/>
      <c r="P39" s="5"/>
    </row>
    <row r="40" spans="1:16" x14ac:dyDescent="0.25">
      <c r="A40" s="5"/>
      <c r="B40" s="5" t="s">
        <v>86</v>
      </c>
      <c r="C40" s="5"/>
      <c r="D40" s="5"/>
      <c r="E40" s="5"/>
      <c r="F40" s="5"/>
      <c r="G40" s="5"/>
      <c r="H40" s="5"/>
      <c r="I40" s="5"/>
      <c r="J40" s="11">
        <f t="shared" ref="J40:J41" si="0">ROUND($J$35*0.1,-3)</f>
        <v>18741000</v>
      </c>
      <c r="K40" s="5"/>
      <c r="L40" s="5" t="s">
        <v>139</v>
      </c>
      <c r="M40" s="5"/>
      <c r="N40" s="5"/>
      <c r="O40" s="5"/>
      <c r="P40" s="5"/>
    </row>
    <row r="41" spans="1:16" x14ac:dyDescent="0.25">
      <c r="A41" s="5"/>
      <c r="B41" s="5" t="s">
        <v>87</v>
      </c>
      <c r="C41" s="5"/>
      <c r="D41" s="5"/>
      <c r="E41" s="5"/>
      <c r="F41" s="5"/>
      <c r="G41" s="5"/>
      <c r="H41" s="5"/>
      <c r="I41" s="5"/>
      <c r="J41" s="11">
        <f t="shared" si="0"/>
        <v>18741000</v>
      </c>
      <c r="K41" s="5"/>
      <c r="L41" s="5" t="s">
        <v>140</v>
      </c>
      <c r="M41" s="5"/>
      <c r="N41" s="5"/>
      <c r="O41" s="5"/>
      <c r="P41" s="5"/>
    </row>
    <row r="42" spans="1:16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x14ac:dyDescent="0.25">
      <c r="A43" s="5"/>
      <c r="B43" s="10" t="s">
        <v>88</v>
      </c>
      <c r="C43" s="10"/>
      <c r="D43" s="10"/>
      <c r="E43" s="10"/>
      <c r="F43" s="10"/>
      <c r="G43" s="10"/>
      <c r="H43" s="10"/>
      <c r="I43" s="10"/>
      <c r="J43" s="14">
        <f>SUM(J35+J39+J40+J41)</f>
        <v>243632000</v>
      </c>
      <c r="K43" s="5"/>
      <c r="L43" s="5" t="s">
        <v>141</v>
      </c>
      <c r="M43" s="5"/>
      <c r="N43" s="5"/>
      <c r="O43" s="5"/>
      <c r="P43" s="5"/>
    </row>
    <row r="44" spans="1:16" x14ac:dyDescent="0.25">
      <c r="A44" s="5"/>
      <c r="B44" s="10" t="s">
        <v>89</v>
      </c>
      <c r="C44" s="10"/>
      <c r="D44" s="10"/>
      <c r="E44" s="10"/>
      <c r="F44" s="10"/>
      <c r="G44" s="10"/>
      <c r="H44" s="10"/>
      <c r="I44" s="10"/>
      <c r="J44" s="15">
        <f>J43/(I5*1000)</f>
        <v>487.26400000000001</v>
      </c>
      <c r="K44" s="5"/>
      <c r="L44" s="5" t="s">
        <v>142</v>
      </c>
      <c r="M44" s="5"/>
      <c r="N44" s="5"/>
      <c r="O44" s="5"/>
      <c r="P44" s="5"/>
    </row>
    <row r="45" spans="1:16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x14ac:dyDescent="0.25">
      <c r="A46" s="5"/>
      <c r="B46" s="5" t="s">
        <v>90</v>
      </c>
      <c r="C46" s="5"/>
      <c r="D46" s="5"/>
      <c r="E46" s="5"/>
      <c r="F46" s="5"/>
      <c r="G46" s="5"/>
      <c r="H46" s="5"/>
      <c r="I46" s="5"/>
      <c r="J46" s="11">
        <f>ROUND($J$43*0.05,-3)</f>
        <v>12182000</v>
      </c>
      <c r="K46" s="5"/>
      <c r="L46" s="5" t="s">
        <v>143</v>
      </c>
      <c r="M46" s="5"/>
      <c r="N46" s="5"/>
      <c r="O46" s="5"/>
      <c r="P46" s="5"/>
    </row>
    <row r="47" spans="1:16" x14ac:dyDescent="0.25">
      <c r="A47" s="5"/>
      <c r="B47" s="10" t="s">
        <v>91</v>
      </c>
      <c r="C47" s="10"/>
      <c r="D47" s="10"/>
      <c r="E47" s="10"/>
      <c r="F47" s="10"/>
      <c r="G47" s="10"/>
      <c r="H47" s="10"/>
      <c r="I47" s="10"/>
      <c r="J47" s="14">
        <f>J46+J43</f>
        <v>255814000</v>
      </c>
      <c r="K47" s="5"/>
      <c r="L47" s="5" t="s">
        <v>144</v>
      </c>
      <c r="M47" s="5"/>
      <c r="N47" s="5"/>
      <c r="O47" s="5"/>
      <c r="P47" s="5"/>
    </row>
    <row r="48" spans="1:16" x14ac:dyDescent="0.25">
      <c r="A48" s="5"/>
      <c r="B48" s="10" t="s">
        <v>92</v>
      </c>
      <c r="C48" s="10"/>
      <c r="D48" s="10"/>
      <c r="E48" s="10"/>
      <c r="F48" s="10"/>
      <c r="G48" s="10"/>
      <c r="H48" s="10"/>
      <c r="I48" s="10"/>
      <c r="J48" s="15">
        <f>J47/(I5*1000)</f>
        <v>511.62799999999999</v>
      </c>
      <c r="K48" s="5"/>
      <c r="L48" s="5" t="s">
        <v>145</v>
      </c>
      <c r="M48" s="5"/>
      <c r="N48" s="5"/>
      <c r="O48" s="5"/>
      <c r="P48" s="5"/>
    </row>
    <row r="49" spans="1:16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5">
      <c r="A50" s="5"/>
      <c r="B50" s="5" t="s">
        <v>229</v>
      </c>
      <c r="C50" s="5"/>
      <c r="D50" s="5"/>
      <c r="E50" s="5"/>
      <c r="F50" s="5"/>
      <c r="G50" s="5"/>
      <c r="H50" s="5"/>
      <c r="I50" s="5"/>
      <c r="J50" s="11">
        <f>ROUND($J$47*0.1,-3)</f>
        <v>25581000</v>
      </c>
      <c r="K50" s="5"/>
      <c r="L50" s="5" t="s">
        <v>230</v>
      </c>
      <c r="M50" s="5"/>
      <c r="N50" s="5"/>
      <c r="O50" s="5"/>
      <c r="P50" s="5"/>
    </row>
    <row r="51" spans="1:16" x14ac:dyDescent="0.25">
      <c r="A51" s="5"/>
      <c r="B51" s="122" t="s">
        <v>232</v>
      </c>
      <c r="C51" s="5"/>
      <c r="D51" s="5"/>
      <c r="E51" s="5"/>
      <c r="F51" s="5"/>
      <c r="G51" s="5"/>
      <c r="H51" s="5"/>
      <c r="I51" s="5"/>
      <c r="J51" s="11">
        <f>ROUND((J43+J50)*IF(I3,0.15,0),-3)</f>
        <v>0</v>
      </c>
      <c r="K51" s="5"/>
      <c r="L51" s="5" t="s">
        <v>231</v>
      </c>
      <c r="M51" s="5"/>
      <c r="N51" s="5"/>
      <c r="O51" s="5"/>
      <c r="P51" s="5"/>
    </row>
    <row r="52" spans="1:16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x14ac:dyDescent="0.25">
      <c r="A53" s="5"/>
      <c r="B53" s="10" t="s">
        <v>419</v>
      </c>
      <c r="C53" s="10"/>
      <c r="D53" s="10"/>
      <c r="E53" s="10"/>
      <c r="F53" s="10"/>
      <c r="G53" s="10"/>
      <c r="H53" s="10"/>
      <c r="I53" s="10"/>
      <c r="J53" s="14">
        <f>J43+J46+J50+J51</f>
        <v>281395000</v>
      </c>
      <c r="K53" s="5"/>
      <c r="L53" s="5" t="s">
        <v>147</v>
      </c>
      <c r="M53" s="5"/>
      <c r="N53" s="5"/>
      <c r="O53" s="5"/>
      <c r="P53" s="5"/>
    </row>
    <row r="54" spans="1:16" x14ac:dyDescent="0.25">
      <c r="A54" s="5"/>
      <c r="B54" s="10" t="s">
        <v>233</v>
      </c>
      <c r="C54" s="10"/>
      <c r="D54" s="10"/>
      <c r="E54" s="10"/>
      <c r="F54" s="10"/>
      <c r="G54" s="10"/>
      <c r="H54" s="10"/>
      <c r="I54" s="10"/>
      <c r="J54" s="15">
        <f>J53/(I5*1000)</f>
        <v>562.79</v>
      </c>
      <c r="K54" s="5"/>
      <c r="L54" s="5" t="s">
        <v>148</v>
      </c>
      <c r="M54" s="5"/>
      <c r="N54" s="5"/>
      <c r="O54" s="5"/>
      <c r="P54" s="5"/>
    </row>
    <row r="55" spans="1:16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x14ac:dyDescent="0.25">
      <c r="A56" s="5" t="s">
        <v>93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x14ac:dyDescent="0.25">
      <c r="A57" s="5"/>
      <c r="B57" s="5" t="s">
        <v>236</v>
      </c>
      <c r="C57" s="5"/>
      <c r="D57" s="5"/>
      <c r="E57" s="5"/>
      <c r="F57" s="5"/>
      <c r="G57" s="5"/>
      <c r="H57" s="5"/>
      <c r="I57" s="5"/>
      <c r="J57" s="16">
        <f>ROUND(IF(I5&gt;500,16,12)*2080*I23/(I5*1000),3)</f>
        <v>2.9950000000000001</v>
      </c>
      <c r="K57" s="5"/>
      <c r="L57" s="5" t="s">
        <v>149</v>
      </c>
      <c r="M57" s="5"/>
      <c r="N57" s="5"/>
      <c r="O57" s="5"/>
      <c r="P57" s="5"/>
    </row>
    <row r="58" spans="1:16" x14ac:dyDescent="0.25">
      <c r="A58" s="5"/>
      <c r="B58" s="5" t="s">
        <v>237</v>
      </c>
      <c r="C58" s="5"/>
      <c r="D58" s="5"/>
      <c r="E58" s="5"/>
      <c r="F58" s="5"/>
      <c r="G58" s="5"/>
      <c r="H58" s="5"/>
      <c r="I58" s="5"/>
      <c r="J58" s="16">
        <f>ROUND((J35*0.015)/(I6*I5*1000),3)</f>
        <v>5.6219999999999999</v>
      </c>
      <c r="K58" s="5"/>
      <c r="L58" s="5" t="s">
        <v>150</v>
      </c>
      <c r="M58" s="5"/>
      <c r="N58" s="5"/>
      <c r="O58" s="5"/>
      <c r="P58" s="5"/>
    </row>
    <row r="59" spans="1:16" x14ac:dyDescent="0.25">
      <c r="A59" s="5"/>
      <c r="B59" s="5" t="s">
        <v>98</v>
      </c>
      <c r="C59" s="5"/>
      <c r="D59" s="5"/>
      <c r="E59" s="5"/>
      <c r="F59" s="5"/>
      <c r="G59" s="5"/>
      <c r="H59" s="5"/>
      <c r="I59" s="5"/>
      <c r="J59" s="16">
        <f>ROUND(0.03*(J57+0.4*J58),4)</f>
        <v>0.1573</v>
      </c>
      <c r="K59" s="5"/>
      <c r="L59" s="5" t="s">
        <v>151</v>
      </c>
      <c r="M59" s="5"/>
      <c r="N59" s="5"/>
      <c r="O59" s="5"/>
      <c r="P59" s="5"/>
    </row>
    <row r="60" spans="1:16" x14ac:dyDescent="0.25">
      <c r="A60" s="5"/>
      <c r="B60" s="5" t="s">
        <v>235</v>
      </c>
      <c r="C60" s="5"/>
      <c r="D60" s="5"/>
      <c r="E60" s="5"/>
      <c r="F60" s="5"/>
      <c r="G60" s="5"/>
      <c r="H60" s="5"/>
      <c r="I60" s="5"/>
      <c r="J60" s="5">
        <v>0</v>
      </c>
      <c r="K60" s="5"/>
      <c r="L60" s="5" t="s">
        <v>234</v>
      </c>
      <c r="M60" s="5"/>
      <c r="N60" s="5"/>
      <c r="O60" s="5"/>
      <c r="P60" s="5"/>
    </row>
    <row r="61" spans="1:16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25">
      <c r="A62" s="5"/>
      <c r="B62" s="10" t="s">
        <v>238</v>
      </c>
      <c r="C62" s="10"/>
      <c r="D62" s="10"/>
      <c r="E62" s="10"/>
      <c r="F62" s="10"/>
      <c r="G62" s="10"/>
      <c r="H62" s="10"/>
      <c r="I62" s="10"/>
      <c r="J62" s="17">
        <f>SUM(J57+J58+J59+J60)</f>
        <v>8.7743000000000002</v>
      </c>
      <c r="K62" s="5"/>
      <c r="L62" s="5" t="s">
        <v>152</v>
      </c>
      <c r="M62" s="5"/>
      <c r="N62" s="5"/>
      <c r="O62" s="5"/>
      <c r="P62" s="5"/>
    </row>
    <row r="63" spans="1:16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x14ac:dyDescent="0.25">
      <c r="A64" s="5" t="s">
        <v>100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x14ac:dyDescent="0.25">
      <c r="A65" s="5"/>
      <c r="B65" s="5" t="s">
        <v>239</v>
      </c>
      <c r="C65" s="5"/>
      <c r="D65" s="5"/>
      <c r="E65" s="5"/>
      <c r="F65" s="5"/>
      <c r="G65" s="5"/>
      <c r="H65" s="5"/>
      <c r="I65" s="5"/>
      <c r="J65" s="16">
        <f>ROUND(I15*I19/I5*I14/98,3)</f>
        <v>0.72599999999999998</v>
      </c>
      <c r="K65" s="5"/>
      <c r="L65" s="5" t="s">
        <v>243</v>
      </c>
      <c r="M65" s="5"/>
      <c r="N65" s="5"/>
      <c r="O65" s="5"/>
      <c r="P65" s="5"/>
    </row>
    <row r="66" spans="1:16" x14ac:dyDescent="0.25">
      <c r="A66" s="5"/>
      <c r="B66" s="5" t="s">
        <v>241</v>
      </c>
      <c r="C66" s="5"/>
      <c r="D66" s="5"/>
      <c r="E66" s="5"/>
      <c r="F66" s="5"/>
      <c r="G66" s="5"/>
      <c r="H66" s="5"/>
      <c r="I66" s="5"/>
      <c r="J66" s="16">
        <f xml:space="preserve"> ROUND(I16*I20/I5*I14/98,3)</f>
        <v>1.3149999999999999</v>
      </c>
      <c r="K66" s="5"/>
      <c r="L66" s="5" t="s">
        <v>244</v>
      </c>
      <c r="M66" s="5"/>
      <c r="N66" s="5"/>
      <c r="O66" s="5"/>
      <c r="P66" s="5"/>
    </row>
    <row r="67" spans="1:16" x14ac:dyDescent="0.25">
      <c r="A67" s="5"/>
      <c r="B67" s="5" t="s">
        <v>242</v>
      </c>
      <c r="C67" s="5"/>
      <c r="D67" s="5"/>
      <c r="E67" s="5"/>
      <c r="F67" s="5"/>
      <c r="G67" s="5"/>
      <c r="H67" s="5"/>
      <c r="I67" s="5"/>
      <c r="J67" s="18">
        <f>IF(B110,I17*I21*10,0)</f>
        <v>1.0163418581855252</v>
      </c>
      <c r="K67" s="5"/>
      <c r="L67" s="5" t="s">
        <v>245</v>
      </c>
      <c r="M67" s="5"/>
      <c r="N67" s="5"/>
      <c r="O67" s="5"/>
      <c r="P67" s="5"/>
    </row>
    <row r="68" spans="1:16" x14ac:dyDescent="0.25">
      <c r="A68" s="5"/>
      <c r="B68" s="5" t="s">
        <v>246</v>
      </c>
      <c r="C68" s="5"/>
      <c r="D68" s="5"/>
      <c r="E68" s="5"/>
      <c r="F68" s="5"/>
      <c r="G68" s="5"/>
      <c r="H68" s="5"/>
      <c r="I68" s="5"/>
      <c r="J68" s="18">
        <f>ROUND(I18*I22/I5,3)</f>
        <v>7.5999999999999998E-2</v>
      </c>
      <c r="K68" s="5"/>
      <c r="L68" s="5" t="s">
        <v>247</v>
      </c>
      <c r="M68" s="5"/>
      <c r="N68" s="5"/>
      <c r="O68" s="5"/>
      <c r="P68" s="5"/>
    </row>
    <row r="69" spans="1:16" x14ac:dyDescent="0.25">
      <c r="A69" s="5"/>
      <c r="B69" s="5" t="s">
        <v>240</v>
      </c>
      <c r="C69" s="5"/>
      <c r="D69" s="5"/>
      <c r="E69" s="5"/>
      <c r="F69" s="5"/>
      <c r="G69" s="5"/>
      <c r="H69" s="5"/>
      <c r="I69" s="5"/>
      <c r="J69" s="18">
        <f>VLOOKUP(I4,A105:C107,3)</f>
        <v>0.17</v>
      </c>
      <c r="K69" s="5"/>
      <c r="L69" s="5" t="s">
        <v>248</v>
      </c>
      <c r="M69" s="5"/>
      <c r="N69" s="5"/>
      <c r="O69" s="5"/>
      <c r="P69" s="5"/>
    </row>
    <row r="70" spans="1:16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x14ac:dyDescent="0.25">
      <c r="A71" s="5"/>
      <c r="B71" s="10" t="s">
        <v>249</v>
      </c>
      <c r="C71" s="10"/>
      <c r="D71" s="10"/>
      <c r="E71" s="10"/>
      <c r="F71" s="10"/>
      <c r="G71" s="10"/>
      <c r="H71" s="10"/>
      <c r="I71" s="10"/>
      <c r="J71" s="17">
        <f>SUM(J65+J66+J67+J68+J69)</f>
        <v>3.3033418581855254</v>
      </c>
      <c r="K71" s="5"/>
      <c r="L71" s="5" t="s">
        <v>157</v>
      </c>
      <c r="M71" s="5"/>
      <c r="N71" s="5"/>
      <c r="O71" s="5"/>
      <c r="P71" s="5"/>
    </row>
    <row r="72" spans="1:16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x14ac:dyDescent="0.25">
      <c r="A73" s="5"/>
      <c r="B73" s="5"/>
      <c r="C73" s="5"/>
      <c r="D73" s="5"/>
      <c r="E73" s="5"/>
      <c r="F73" s="5"/>
      <c r="G73" s="19" t="s">
        <v>110</v>
      </c>
      <c r="H73" s="29">
        <f>I13/100</f>
        <v>0.85</v>
      </c>
      <c r="I73" s="5"/>
      <c r="J73" s="5"/>
      <c r="K73" s="5"/>
      <c r="L73" s="5"/>
      <c r="M73" s="5"/>
      <c r="N73" s="5"/>
      <c r="O73" s="5"/>
      <c r="P73" s="5"/>
    </row>
    <row r="74" spans="1:16" x14ac:dyDescent="0.25">
      <c r="A74" s="5"/>
      <c r="B74" s="5"/>
      <c r="C74" s="5"/>
      <c r="D74" s="5"/>
      <c r="E74" s="5"/>
      <c r="F74" s="5"/>
      <c r="G74" s="19" t="s">
        <v>111</v>
      </c>
      <c r="H74" s="20">
        <f>H73*I5*8760</f>
        <v>3723000</v>
      </c>
      <c r="I74" s="5"/>
      <c r="J74" s="5"/>
      <c r="K74" s="5"/>
      <c r="L74" s="5"/>
      <c r="M74" s="5"/>
      <c r="N74" s="5"/>
      <c r="O74" s="5"/>
      <c r="P74" s="5"/>
    </row>
    <row r="75" spans="1:16" x14ac:dyDescent="0.25">
      <c r="A75" s="5"/>
      <c r="B75" s="5"/>
      <c r="C75" s="5"/>
      <c r="D75" s="5"/>
      <c r="E75" s="5"/>
      <c r="F75" s="5"/>
      <c r="G75" s="19" t="s">
        <v>112</v>
      </c>
      <c r="H75" s="21">
        <f>H74*1000*I7/1000000</f>
        <v>35368500</v>
      </c>
      <c r="I75" s="5"/>
      <c r="J75" s="5"/>
      <c r="K75" s="5"/>
      <c r="L75" s="5"/>
      <c r="M75" s="5"/>
      <c r="N75" s="5"/>
      <c r="O75" s="5"/>
      <c r="P75" s="5"/>
    </row>
    <row r="76" spans="1:16" x14ac:dyDescent="0.25">
      <c r="A76" s="5"/>
      <c r="B76" s="5"/>
      <c r="C76" s="5"/>
      <c r="D76" s="5"/>
      <c r="E76" s="5"/>
      <c r="F76" s="5"/>
      <c r="G76" s="19" t="s">
        <v>250</v>
      </c>
      <c r="H76" s="21">
        <f>I8*H75/2000</f>
        <v>53052.75</v>
      </c>
      <c r="I76" s="5" t="s">
        <v>253</v>
      </c>
      <c r="J76" s="5"/>
      <c r="K76" s="5"/>
      <c r="L76" s="5"/>
      <c r="M76" s="5"/>
      <c r="N76" s="5"/>
      <c r="O76" s="5"/>
      <c r="P76" s="5"/>
    </row>
    <row r="77" spans="1:16" x14ac:dyDescent="0.25">
      <c r="A77" s="5"/>
      <c r="B77" s="5"/>
      <c r="C77" s="5"/>
      <c r="D77" s="5"/>
      <c r="E77" s="5"/>
      <c r="F77" s="5"/>
      <c r="G77" s="19" t="s">
        <v>251</v>
      </c>
      <c r="H77" s="21">
        <f>I14*H76/100</f>
        <v>50400.112500000003</v>
      </c>
      <c r="I77" s="5" t="str">
        <f>"at removal efficiency = "&amp;I14&amp;"%"</f>
        <v>at removal efficiency = 95%</v>
      </c>
      <c r="J77" s="5"/>
      <c r="K77" s="5"/>
      <c r="L77" s="5"/>
      <c r="M77" s="5"/>
      <c r="N77" s="5"/>
      <c r="O77" s="5"/>
      <c r="P77" s="5"/>
    </row>
    <row r="78" spans="1:16" x14ac:dyDescent="0.25">
      <c r="A78" s="5"/>
      <c r="B78" s="5"/>
      <c r="C78" s="5"/>
      <c r="D78" s="5"/>
      <c r="E78" s="5"/>
      <c r="F78" s="5"/>
      <c r="G78" s="19" t="s">
        <v>252</v>
      </c>
      <c r="H78" s="21">
        <f>H76-H77</f>
        <v>2652.6374999999971</v>
      </c>
      <c r="I78" s="5"/>
      <c r="J78" s="5"/>
      <c r="K78" s="5"/>
      <c r="L78" s="5"/>
      <c r="M78" s="5"/>
      <c r="N78" s="5"/>
      <c r="O78" s="5"/>
      <c r="P78" s="5"/>
    </row>
    <row r="79" spans="1:16" x14ac:dyDescent="0.25">
      <c r="A79" s="5"/>
      <c r="B79" s="5"/>
      <c r="C79" s="5"/>
      <c r="D79" s="5"/>
      <c r="E79" s="5"/>
      <c r="F79" s="5"/>
      <c r="G79" s="19" t="s">
        <v>313</v>
      </c>
      <c r="H79" s="57">
        <f>H78*2000/H75</f>
        <v>0.14999999999999986</v>
      </c>
      <c r="I79" s="5" t="str">
        <f>IF(H79&gt;=0.06, "Value is AT or ABOVE a 0.06 floor rate", "Value is BELOW a 0.06 floor rate")</f>
        <v>Value is AT or ABOVE a 0.06 floor rate</v>
      </c>
      <c r="J79" s="5"/>
      <c r="K79" s="5"/>
      <c r="L79" s="5"/>
      <c r="M79" s="5"/>
      <c r="N79" s="5"/>
      <c r="O79" s="5"/>
      <c r="P79" s="5"/>
    </row>
    <row r="80" spans="1:16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x14ac:dyDescent="0.25">
      <c r="A81" s="5"/>
      <c r="B81" s="5"/>
      <c r="C81" s="5"/>
      <c r="D81" s="5"/>
      <c r="E81" s="5"/>
      <c r="F81" s="5"/>
      <c r="G81" s="19" t="s">
        <v>117</v>
      </c>
      <c r="H81" s="30">
        <f>0.143</f>
        <v>0.14299999999999999</v>
      </c>
      <c r="I81" s="5" t="s">
        <v>254</v>
      </c>
      <c r="J81" s="5"/>
      <c r="K81" s="5"/>
      <c r="L81" s="5"/>
      <c r="M81" s="5"/>
      <c r="N81" s="5"/>
      <c r="O81" s="5"/>
      <c r="P81" s="5"/>
    </row>
    <row r="82" spans="1:16" x14ac:dyDescent="0.25">
      <c r="A82" s="5"/>
      <c r="B82" s="5"/>
      <c r="C82" s="5"/>
      <c r="D82" s="5"/>
      <c r="E82" s="5"/>
      <c r="F82" s="5"/>
      <c r="G82" s="5"/>
      <c r="H82" s="19" t="s">
        <v>118</v>
      </c>
      <c r="I82" s="20">
        <f>ROUND(H81*J53,-3)</f>
        <v>40239000</v>
      </c>
      <c r="J82" s="5"/>
      <c r="K82" s="5"/>
      <c r="L82" s="5"/>
      <c r="M82" s="5"/>
      <c r="N82" s="5"/>
      <c r="O82" s="5"/>
      <c r="P82" s="5"/>
    </row>
    <row r="83" spans="1:16" x14ac:dyDescent="0.25">
      <c r="A83" s="5"/>
      <c r="B83" s="5"/>
      <c r="C83" s="5"/>
      <c r="D83" s="5"/>
      <c r="E83" s="5"/>
      <c r="F83" s="5"/>
      <c r="G83" s="5"/>
      <c r="H83" s="19" t="s">
        <v>119</v>
      </c>
      <c r="I83" s="20">
        <f>ROUND(J62*I5*1000,-3)</f>
        <v>4387000</v>
      </c>
      <c r="J83" s="5"/>
      <c r="K83" s="5"/>
      <c r="L83" s="5"/>
      <c r="M83" s="5"/>
      <c r="N83" s="5"/>
      <c r="O83" s="5"/>
      <c r="P83" s="5"/>
    </row>
    <row r="84" spans="1:16" x14ac:dyDescent="0.25">
      <c r="A84" s="5"/>
      <c r="B84" s="5"/>
      <c r="C84" s="5"/>
      <c r="D84" s="5"/>
      <c r="E84" s="5"/>
      <c r="F84" s="5"/>
      <c r="G84" s="5"/>
      <c r="H84" s="19" t="s">
        <v>120</v>
      </c>
      <c r="I84" s="20">
        <f>ROUND(J71*H74,-3)</f>
        <v>12298000</v>
      </c>
      <c r="J84" s="5"/>
      <c r="K84" s="5"/>
      <c r="L84" s="5"/>
      <c r="M84" s="5"/>
      <c r="N84" s="5"/>
      <c r="O84" s="5"/>
      <c r="P84" s="5"/>
    </row>
    <row r="85" spans="1:16" x14ac:dyDescent="0.25">
      <c r="A85" s="5"/>
      <c r="B85" s="5"/>
      <c r="C85" s="5"/>
      <c r="D85" s="5"/>
      <c r="E85" s="5"/>
      <c r="F85" s="5"/>
      <c r="G85" s="48"/>
      <c r="H85" s="49" t="s">
        <v>121</v>
      </c>
      <c r="I85" s="50">
        <f>SUM(I82:I84)</f>
        <v>56924000</v>
      </c>
      <c r="J85" s="5"/>
      <c r="K85" s="5"/>
      <c r="L85" s="5"/>
      <c r="M85" s="5"/>
      <c r="N85" s="5"/>
      <c r="O85" s="5"/>
      <c r="P85" s="5"/>
    </row>
    <row r="86" spans="1:16" ht="15.75" thickBo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15.75" thickTop="1" x14ac:dyDescent="0.25">
      <c r="A87" s="5"/>
      <c r="B87" s="5"/>
      <c r="C87" s="5"/>
      <c r="D87" s="5"/>
      <c r="E87" s="5"/>
      <c r="F87" s="5"/>
      <c r="G87" s="52"/>
      <c r="H87" s="53" t="s">
        <v>122</v>
      </c>
      <c r="I87" s="55">
        <f>I82/$H$74</f>
        <v>10.808219178082192</v>
      </c>
      <c r="J87" s="5"/>
      <c r="K87" s="5"/>
      <c r="L87" s="5"/>
      <c r="M87" s="5"/>
      <c r="N87" s="5"/>
      <c r="O87" s="5"/>
      <c r="P87" s="5"/>
    </row>
    <row r="88" spans="1:16" x14ac:dyDescent="0.25">
      <c r="A88" s="5"/>
      <c r="B88" s="5"/>
      <c r="C88" s="5"/>
      <c r="D88" s="5"/>
      <c r="E88" s="5"/>
      <c r="F88" s="5"/>
      <c r="G88" s="5"/>
      <c r="H88" s="19" t="s">
        <v>123</v>
      </c>
      <c r="I88" s="22">
        <f t="shared" ref="I88:I89" si="1">I83/$H$74</f>
        <v>1.1783507923717431</v>
      </c>
      <c r="J88" s="5"/>
      <c r="K88" s="5"/>
      <c r="L88" s="5"/>
      <c r="M88" s="5"/>
      <c r="N88" s="5"/>
      <c r="O88" s="5"/>
      <c r="P88" s="5"/>
    </row>
    <row r="89" spans="1:16" x14ac:dyDescent="0.25">
      <c r="A89" s="5"/>
      <c r="B89" s="5"/>
      <c r="C89" s="5"/>
      <c r="D89" s="5"/>
      <c r="E89" s="5"/>
      <c r="F89" s="5"/>
      <c r="G89" s="5"/>
      <c r="H89" s="19" t="s">
        <v>124</v>
      </c>
      <c r="I89" s="22">
        <f t="shared" si="1"/>
        <v>3.3032500671501479</v>
      </c>
      <c r="J89" s="5"/>
      <c r="K89" s="5"/>
      <c r="L89" s="5"/>
      <c r="M89" s="5"/>
      <c r="N89" s="5"/>
      <c r="O89" s="5"/>
      <c r="P89" s="5"/>
    </row>
    <row r="90" spans="1:16" x14ac:dyDescent="0.25">
      <c r="A90" s="5"/>
      <c r="B90" s="5"/>
      <c r="C90" s="5"/>
      <c r="D90" s="5"/>
      <c r="E90" s="5"/>
      <c r="F90" s="5"/>
      <c r="G90" s="48"/>
      <c r="H90" s="49" t="s">
        <v>125</v>
      </c>
      <c r="I90" s="51">
        <f>SUM(I87:I89)</f>
        <v>15.289820037604084</v>
      </c>
      <c r="J90" s="5"/>
      <c r="K90" s="5"/>
      <c r="L90" s="5"/>
      <c r="M90" s="5"/>
      <c r="N90" s="5"/>
      <c r="O90" s="5"/>
      <c r="P90" s="5"/>
    </row>
    <row r="91" spans="1:16" ht="15.75" thickBo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ht="15.75" thickTop="1" x14ac:dyDescent="0.25">
      <c r="A92" s="5"/>
      <c r="B92" s="5"/>
      <c r="C92" s="5"/>
      <c r="D92" s="5"/>
      <c r="E92" s="5"/>
      <c r="F92" s="5"/>
      <c r="G92" s="52"/>
      <c r="H92" s="53" t="s">
        <v>126</v>
      </c>
      <c r="I92" s="54">
        <f>I82/$H$77</f>
        <v>798.3910750199218</v>
      </c>
      <c r="J92" s="5"/>
      <c r="K92" s="5"/>
      <c r="L92" s="5"/>
      <c r="M92" s="5"/>
      <c r="N92" s="5"/>
      <c r="O92" s="5"/>
      <c r="P92" s="5"/>
    </row>
    <row r="93" spans="1:16" x14ac:dyDescent="0.25">
      <c r="A93" s="5"/>
      <c r="B93" s="5"/>
      <c r="C93" s="5"/>
      <c r="D93" s="5"/>
      <c r="E93" s="5"/>
      <c r="F93" s="5"/>
      <c r="G93" s="5"/>
      <c r="H93" s="19" t="s">
        <v>127</v>
      </c>
      <c r="I93" s="20">
        <f t="shared" ref="I93:I94" si="2">I83/$H$77</f>
        <v>87.043456500221097</v>
      </c>
      <c r="J93" s="5"/>
      <c r="K93" s="5"/>
      <c r="L93" s="5"/>
      <c r="M93" s="5"/>
      <c r="N93" s="5"/>
      <c r="O93" s="5"/>
      <c r="P93" s="5"/>
    </row>
    <row r="94" spans="1:16" x14ac:dyDescent="0.25">
      <c r="A94" s="5"/>
      <c r="B94" s="5"/>
      <c r="C94" s="5"/>
      <c r="D94" s="5"/>
      <c r="E94" s="5"/>
      <c r="F94" s="5"/>
      <c r="G94" s="5"/>
      <c r="H94" s="19" t="s">
        <v>128</v>
      </c>
      <c r="I94" s="20">
        <f t="shared" si="2"/>
        <v>244.00739184857969</v>
      </c>
      <c r="J94" s="5"/>
      <c r="K94" s="5"/>
      <c r="L94" s="5"/>
      <c r="M94" s="5"/>
      <c r="N94" s="5"/>
      <c r="O94" s="5"/>
      <c r="P94" s="5"/>
    </row>
    <row r="95" spans="1:16" x14ac:dyDescent="0.25">
      <c r="A95" s="5"/>
      <c r="B95" s="5"/>
      <c r="C95" s="5"/>
      <c r="D95" s="5"/>
      <c r="E95" s="5"/>
      <c r="F95" s="5"/>
      <c r="G95" s="48"/>
      <c r="H95" s="49" t="s">
        <v>129</v>
      </c>
      <c r="I95" s="50">
        <f>SUM(I92:I94)</f>
        <v>1129.4419233687227</v>
      </c>
      <c r="J95" s="5"/>
      <c r="K95" s="5"/>
      <c r="L95" s="5"/>
      <c r="M95" s="5"/>
      <c r="N95" s="5"/>
      <c r="O95" s="5"/>
      <c r="P95" s="5"/>
    </row>
    <row r="96" spans="1:16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x14ac:dyDescent="0.25">
      <c r="A98" s="5" t="s">
        <v>131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x14ac:dyDescent="0.25">
      <c r="A99" s="5"/>
      <c r="B99" s="5" t="s">
        <v>158</v>
      </c>
      <c r="C99" s="5" t="s">
        <v>15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x14ac:dyDescent="0.25">
      <c r="A100" s="5">
        <v>1</v>
      </c>
      <c r="B100" s="5" t="s">
        <v>160</v>
      </c>
      <c r="C100" s="5">
        <v>1.05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x14ac:dyDescent="0.25">
      <c r="A101" s="5">
        <v>2</v>
      </c>
      <c r="B101" s="5" t="s">
        <v>161</v>
      </c>
      <c r="C101" s="5">
        <v>1.07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x14ac:dyDescent="0.25">
      <c r="A102" s="5">
        <v>3</v>
      </c>
      <c r="B102" s="5" t="s">
        <v>162</v>
      </c>
      <c r="C102" s="5">
        <v>1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x14ac:dyDescent="0.25">
      <c r="A104" s="38"/>
      <c r="B104" s="38" t="s">
        <v>200</v>
      </c>
      <c r="C104" s="38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x14ac:dyDescent="0.25">
      <c r="A105" s="38">
        <v>1</v>
      </c>
      <c r="B105" s="38" t="s">
        <v>201</v>
      </c>
      <c r="C105" s="39">
        <v>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 x14ac:dyDescent="0.25">
      <c r="A106" s="38">
        <v>2</v>
      </c>
      <c r="B106" s="38" t="s">
        <v>202</v>
      </c>
      <c r="C106" s="39">
        <v>0.17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x14ac:dyDescent="0.25">
      <c r="A107" s="38">
        <v>3</v>
      </c>
      <c r="B107" s="38" t="s">
        <v>203</v>
      </c>
      <c r="C107" s="39">
        <v>0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x14ac:dyDescent="0.25">
      <c r="A109" s="5"/>
      <c r="B109" s="5" t="s">
        <v>163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x14ac:dyDescent="0.25">
      <c r="A110" s="5"/>
      <c r="B110" s="23" t="b">
        <v>1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</sheetData>
  <mergeCells count="1">
    <mergeCell ref="D17:F17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590550</xdr:colOff>
                    <xdr:row>16</xdr:row>
                    <xdr:rowOff>171450</xdr:rowOff>
                  </from>
                  <to>
                    <xdr:col>5</xdr:col>
                    <xdr:colOff>171450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8</xdr:col>
                    <xdr:colOff>19050</xdr:colOff>
                    <xdr:row>8</xdr:row>
                    <xdr:rowOff>19050</xdr:rowOff>
                  </from>
                  <to>
                    <xdr:col>9</xdr:col>
                    <xdr:colOff>66675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</xdr:row>
                    <xdr:rowOff>171450</xdr:rowOff>
                  </from>
                  <to>
                    <xdr:col>8</xdr:col>
                    <xdr:colOff>400050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</xdr:row>
                    <xdr:rowOff>171450</xdr:rowOff>
                  </from>
                  <to>
                    <xdr:col>8</xdr:col>
                    <xdr:colOff>400050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7</xdr:col>
                    <xdr:colOff>19050</xdr:colOff>
                    <xdr:row>3</xdr:row>
                    <xdr:rowOff>19050</xdr:rowOff>
                  </from>
                  <to>
                    <xdr:col>9</xdr:col>
                    <xdr:colOff>133350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7"/>
  <sheetViews>
    <sheetView topLeftCell="A34" zoomScale="85" zoomScaleNormal="85" workbookViewId="0">
      <selection activeCell="J55" sqref="J55"/>
    </sheetView>
  </sheetViews>
  <sheetFormatPr defaultRowHeight="15" x14ac:dyDescent="0.25"/>
  <cols>
    <col min="6" max="6" width="6.28515625" customWidth="1"/>
    <col min="7" max="7" width="12.7109375" customWidth="1"/>
    <col min="8" max="8" width="13.28515625" bestFit="1" customWidth="1"/>
    <col min="9" max="9" width="12.7109375" customWidth="1"/>
    <col min="10" max="10" width="15.28515625" bestFit="1" customWidth="1"/>
    <col min="12" max="12" width="56.140625" customWidth="1"/>
  </cols>
  <sheetData>
    <row r="1" spans="1:16" x14ac:dyDescent="0.25">
      <c r="A1" s="5" t="s">
        <v>165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5"/>
      <c r="B2" s="5"/>
      <c r="C2" s="5"/>
      <c r="D2" s="24" t="s">
        <v>0</v>
      </c>
      <c r="E2" s="25"/>
      <c r="F2" s="26"/>
      <c r="G2" s="27" t="s">
        <v>1</v>
      </c>
      <c r="H2" s="27" t="s">
        <v>2</v>
      </c>
      <c r="I2" s="27" t="s">
        <v>3</v>
      </c>
      <c r="J2" s="24" t="s">
        <v>4</v>
      </c>
      <c r="K2" s="7"/>
      <c r="L2" s="8"/>
      <c r="M2" s="5"/>
      <c r="N2" s="5"/>
      <c r="O2" s="5"/>
      <c r="P2" s="5"/>
    </row>
    <row r="3" spans="1:16" x14ac:dyDescent="0.25">
      <c r="A3" s="5"/>
      <c r="B3" s="5"/>
      <c r="C3" s="5"/>
      <c r="D3" s="6" t="s">
        <v>166</v>
      </c>
      <c r="E3" s="7"/>
      <c r="F3" s="8"/>
      <c r="G3" s="31" t="s">
        <v>167</v>
      </c>
      <c r="H3" s="41"/>
      <c r="I3" s="42">
        <v>2</v>
      </c>
      <c r="J3" s="6" t="s">
        <v>9</v>
      </c>
      <c r="K3" s="7"/>
      <c r="L3" s="8"/>
      <c r="M3" s="5"/>
      <c r="N3" s="5"/>
      <c r="O3" s="5"/>
      <c r="P3" s="5"/>
    </row>
    <row r="4" spans="1:16" x14ac:dyDescent="0.25">
      <c r="A4" s="5"/>
      <c r="B4" s="5"/>
      <c r="C4" s="5"/>
      <c r="D4" s="6" t="s">
        <v>5</v>
      </c>
      <c r="E4" s="7"/>
      <c r="F4" s="8"/>
      <c r="G4" s="31"/>
      <c r="H4" s="31"/>
      <c r="I4" s="56" t="b">
        <v>0</v>
      </c>
      <c r="J4" s="6"/>
      <c r="K4" s="7"/>
      <c r="L4" s="8"/>
      <c r="M4" s="5"/>
      <c r="N4" s="5"/>
      <c r="O4" s="5"/>
      <c r="P4" s="5"/>
    </row>
    <row r="5" spans="1:16" x14ac:dyDescent="0.25">
      <c r="A5" s="5"/>
      <c r="B5" s="5"/>
      <c r="C5" s="5"/>
      <c r="D5" s="6" t="s">
        <v>6</v>
      </c>
      <c r="E5" s="7"/>
      <c r="F5" s="8"/>
      <c r="G5" s="31" t="s">
        <v>7</v>
      </c>
      <c r="H5" s="31" t="s">
        <v>8</v>
      </c>
      <c r="I5" s="32">
        <v>500</v>
      </c>
      <c r="J5" s="6" t="s">
        <v>9</v>
      </c>
      <c r="K5" s="7"/>
      <c r="L5" s="8"/>
      <c r="M5" s="5"/>
      <c r="N5" s="5"/>
      <c r="O5" s="5"/>
      <c r="P5" s="5"/>
    </row>
    <row r="6" spans="1:16" x14ac:dyDescent="0.25">
      <c r="A6" s="5"/>
      <c r="B6" s="5"/>
      <c r="C6" s="5"/>
      <c r="D6" s="6" t="s">
        <v>10</v>
      </c>
      <c r="E6" s="7"/>
      <c r="F6" s="8"/>
      <c r="G6" s="31" t="s">
        <v>29</v>
      </c>
      <c r="H6" s="31"/>
      <c r="I6" s="46">
        <v>1</v>
      </c>
      <c r="J6" s="6" t="s">
        <v>59</v>
      </c>
      <c r="K6" s="7"/>
      <c r="L6" s="8"/>
      <c r="M6" s="5"/>
      <c r="N6" s="5"/>
      <c r="O6" s="5"/>
      <c r="P6" s="5"/>
    </row>
    <row r="7" spans="1:16" x14ac:dyDescent="0.25">
      <c r="A7" s="5"/>
      <c r="B7" s="5"/>
      <c r="C7" s="5"/>
      <c r="D7" s="6" t="s">
        <v>11</v>
      </c>
      <c r="E7" s="7"/>
      <c r="F7" s="8"/>
      <c r="G7" s="31" t="s">
        <v>30</v>
      </c>
      <c r="H7" s="31" t="s">
        <v>49</v>
      </c>
      <c r="I7" s="33">
        <v>9800</v>
      </c>
      <c r="J7" s="6" t="s">
        <v>9</v>
      </c>
      <c r="K7" s="7"/>
      <c r="L7" s="8"/>
      <c r="M7" s="5"/>
      <c r="N7" s="5"/>
      <c r="O7" s="5"/>
      <c r="P7" s="5"/>
    </row>
    <row r="8" spans="1:16" x14ac:dyDescent="0.25">
      <c r="A8" s="5"/>
      <c r="B8" s="5"/>
      <c r="C8" s="5"/>
      <c r="D8" s="6" t="s">
        <v>12</v>
      </c>
      <c r="E8" s="7"/>
      <c r="F8" s="8"/>
      <c r="G8" s="31" t="s">
        <v>31</v>
      </c>
      <c r="H8" s="31" t="s">
        <v>50</v>
      </c>
      <c r="I8" s="32">
        <v>0.22</v>
      </c>
      <c r="J8" s="6" t="s">
        <v>9</v>
      </c>
      <c r="K8" s="7"/>
      <c r="L8" s="8"/>
      <c r="M8" s="5"/>
      <c r="N8" s="5"/>
      <c r="O8" s="5"/>
      <c r="P8" s="5"/>
    </row>
    <row r="9" spans="1:16" x14ac:dyDescent="0.25">
      <c r="A9" s="5"/>
      <c r="B9" s="5"/>
      <c r="C9" s="5"/>
      <c r="D9" s="6" t="s">
        <v>13</v>
      </c>
      <c r="E9" s="7"/>
      <c r="F9" s="8"/>
      <c r="G9" s="31" t="s">
        <v>32</v>
      </c>
      <c r="H9" s="31" t="s">
        <v>50</v>
      </c>
      <c r="I9" s="32">
        <v>2</v>
      </c>
      <c r="J9" s="6" t="s">
        <v>9</v>
      </c>
      <c r="K9" s="7"/>
      <c r="L9" s="8"/>
      <c r="M9" s="5"/>
      <c r="N9" s="5"/>
      <c r="O9" s="5"/>
      <c r="P9" s="5"/>
    </row>
    <row r="10" spans="1:16" ht="18.75" customHeight="1" x14ac:dyDescent="0.25">
      <c r="A10" s="5"/>
      <c r="B10" s="5"/>
      <c r="C10" s="5"/>
      <c r="D10" s="6" t="s">
        <v>14</v>
      </c>
      <c r="E10" s="7"/>
      <c r="F10" s="8"/>
      <c r="G10" s="31" t="s">
        <v>33</v>
      </c>
      <c r="H10" s="9"/>
      <c r="I10" s="2">
        <v>3</v>
      </c>
      <c r="J10" s="6" t="s">
        <v>9</v>
      </c>
      <c r="K10" s="7"/>
      <c r="L10" s="8"/>
      <c r="M10" s="5"/>
      <c r="N10" s="5"/>
      <c r="O10" s="5"/>
      <c r="P10" s="5"/>
    </row>
    <row r="11" spans="1:16" x14ac:dyDescent="0.25">
      <c r="A11" s="5"/>
      <c r="B11" s="5"/>
      <c r="C11" s="5"/>
      <c r="D11" s="6" t="s">
        <v>15</v>
      </c>
      <c r="E11" s="7"/>
      <c r="F11" s="8"/>
      <c r="G11" s="31" t="s">
        <v>34</v>
      </c>
      <c r="H11" s="31"/>
      <c r="I11" s="31">
        <f>VLOOKUP(I10,A102:C104,3)</f>
        <v>1</v>
      </c>
      <c r="J11" s="6" t="s">
        <v>60</v>
      </c>
      <c r="K11" s="7"/>
      <c r="L11" s="8"/>
      <c r="M11" s="5"/>
      <c r="N11" s="5"/>
      <c r="O11" s="5"/>
      <c r="P11" s="5"/>
    </row>
    <row r="12" spans="1:16" x14ac:dyDescent="0.25">
      <c r="A12" s="5"/>
      <c r="B12" s="5"/>
      <c r="C12" s="5"/>
      <c r="D12" s="6" t="s">
        <v>16</v>
      </c>
      <c r="E12" s="7"/>
      <c r="F12" s="8"/>
      <c r="G12" s="31" t="s">
        <v>35</v>
      </c>
      <c r="H12" s="31"/>
      <c r="I12" s="31">
        <f>I7/10000</f>
        <v>0.98</v>
      </c>
      <c r="J12" s="6" t="s">
        <v>61</v>
      </c>
      <c r="K12" s="7"/>
      <c r="L12" s="8"/>
      <c r="M12" s="5"/>
      <c r="N12" s="5"/>
      <c r="O12" s="5"/>
      <c r="P12" s="5"/>
    </row>
    <row r="13" spans="1:16" x14ac:dyDescent="0.25">
      <c r="A13" s="5"/>
      <c r="B13" s="5"/>
      <c r="C13" s="5"/>
      <c r="D13" s="6" t="s">
        <v>17</v>
      </c>
      <c r="E13" s="7"/>
      <c r="F13" s="8"/>
      <c r="G13" s="31" t="s">
        <v>36</v>
      </c>
      <c r="H13" s="31" t="s">
        <v>51</v>
      </c>
      <c r="I13" s="34">
        <f>I5*I7*1000</f>
        <v>4900000000</v>
      </c>
      <c r="J13" s="6" t="s">
        <v>62</v>
      </c>
      <c r="K13" s="7"/>
      <c r="L13" s="8"/>
      <c r="M13" s="5"/>
      <c r="N13" s="5"/>
      <c r="O13" s="5"/>
      <c r="P13" s="5"/>
    </row>
    <row r="14" spans="1:16" x14ac:dyDescent="0.25">
      <c r="A14" s="5"/>
      <c r="B14" s="5"/>
      <c r="C14" s="5"/>
      <c r="D14" s="6" t="s">
        <v>18</v>
      </c>
      <c r="E14" s="7"/>
      <c r="F14" s="8"/>
      <c r="G14" s="31" t="s">
        <v>37</v>
      </c>
      <c r="H14" s="31" t="s">
        <v>52</v>
      </c>
      <c r="I14" s="33">
        <v>85</v>
      </c>
      <c r="J14" s="6" t="s">
        <v>9</v>
      </c>
      <c r="K14" s="7"/>
      <c r="L14" s="8"/>
      <c r="M14" s="5"/>
      <c r="N14" s="5"/>
      <c r="O14" s="5"/>
      <c r="P14" s="5"/>
    </row>
    <row r="15" spans="1:16" x14ac:dyDescent="0.25">
      <c r="A15" s="5"/>
      <c r="B15" s="5"/>
      <c r="C15" s="5"/>
      <c r="D15" s="6" t="s">
        <v>19</v>
      </c>
      <c r="E15" s="7"/>
      <c r="F15" s="8"/>
      <c r="G15" s="31" t="s">
        <v>38</v>
      </c>
      <c r="H15" s="31" t="s">
        <v>52</v>
      </c>
      <c r="I15" s="32">
        <v>25</v>
      </c>
      <c r="J15" s="6" t="s">
        <v>9</v>
      </c>
      <c r="K15" s="7"/>
      <c r="L15" s="8"/>
      <c r="M15" s="5"/>
      <c r="N15" s="5"/>
      <c r="O15" s="5"/>
      <c r="P15" s="5"/>
    </row>
    <row r="16" spans="1:16" x14ac:dyDescent="0.25">
      <c r="A16" s="5"/>
      <c r="B16" s="5"/>
      <c r="C16" s="5"/>
      <c r="D16" s="6" t="s">
        <v>21</v>
      </c>
      <c r="E16" s="7"/>
      <c r="F16" s="8"/>
      <c r="G16" s="31" t="s">
        <v>39</v>
      </c>
      <c r="H16" s="31" t="s">
        <v>53</v>
      </c>
      <c r="I16" s="36">
        <f>I8*I13/10^6*I15/100</f>
        <v>269.5</v>
      </c>
      <c r="J16" s="6" t="s">
        <v>64</v>
      </c>
      <c r="K16" s="7"/>
      <c r="L16" s="8"/>
      <c r="M16" s="5"/>
      <c r="N16" s="5"/>
      <c r="O16" s="5"/>
      <c r="P16" s="5"/>
    </row>
    <row r="17" spans="1:16" x14ac:dyDescent="0.25">
      <c r="A17" s="5"/>
      <c r="B17" s="5"/>
      <c r="C17" s="5"/>
      <c r="D17" s="6" t="s">
        <v>22</v>
      </c>
      <c r="E17" s="7"/>
      <c r="F17" s="8"/>
      <c r="G17" s="31" t="s">
        <v>40</v>
      </c>
      <c r="H17" s="31" t="s">
        <v>53</v>
      </c>
      <c r="I17" s="36">
        <f xml:space="preserve"> I16 / 46 * 30 / (IF(I3=1,0.25,(IF(I8&lt;=0.3,0.15,0.25))))</f>
        <v>1171.7391304347827</v>
      </c>
      <c r="J17" s="6" t="s">
        <v>169</v>
      </c>
      <c r="K17" s="7"/>
      <c r="L17" s="8"/>
      <c r="M17" s="5"/>
      <c r="N17" s="5"/>
      <c r="O17" s="5"/>
      <c r="P17" s="5"/>
    </row>
    <row r="18" spans="1:16" x14ac:dyDescent="0.25">
      <c r="D18" s="6" t="s">
        <v>402</v>
      </c>
      <c r="E18" s="3"/>
      <c r="F18" s="4"/>
      <c r="G18" s="31" t="s">
        <v>41</v>
      </c>
      <c r="H18" s="31" t="s">
        <v>53</v>
      </c>
      <c r="I18" s="36">
        <f>I17*19</f>
        <v>22263.043478260872</v>
      </c>
      <c r="J18" s="6" t="s">
        <v>175</v>
      </c>
      <c r="K18" s="7"/>
      <c r="L18" s="8"/>
    </row>
    <row r="19" spans="1:16" ht="30" customHeight="1" x14ac:dyDescent="0.25">
      <c r="A19" s="5"/>
      <c r="B19" s="5"/>
      <c r="C19" s="5"/>
      <c r="D19" s="150" t="s">
        <v>403</v>
      </c>
      <c r="E19" s="151"/>
      <c r="F19" s="4"/>
      <c r="G19" s="31" t="s">
        <v>48</v>
      </c>
      <c r="H19" s="31" t="s">
        <v>52</v>
      </c>
      <c r="I19" s="37">
        <f>1175*I18/I13*100</f>
        <v>0.53385869565217392</v>
      </c>
      <c r="J19" s="6" t="s">
        <v>176</v>
      </c>
      <c r="K19" s="7"/>
      <c r="L19" s="8"/>
      <c r="M19" s="5"/>
      <c r="N19" s="5"/>
      <c r="O19" s="5"/>
      <c r="P19" s="5"/>
    </row>
    <row r="20" spans="1:16" ht="30" customHeight="1" x14ac:dyDescent="0.25">
      <c r="A20" s="5"/>
      <c r="B20" s="5"/>
      <c r="C20" s="5"/>
      <c r="D20" s="149" t="s">
        <v>164</v>
      </c>
      <c r="E20" s="131"/>
      <c r="F20" s="132"/>
      <c r="G20" s="31" t="s">
        <v>42</v>
      </c>
      <c r="H20" s="31" t="s">
        <v>52</v>
      </c>
      <c r="I20" s="47">
        <v>0.05</v>
      </c>
      <c r="J20" s="6" t="s">
        <v>178</v>
      </c>
      <c r="K20" s="7"/>
      <c r="L20" s="8"/>
      <c r="M20" s="5"/>
      <c r="N20" s="5"/>
      <c r="O20" s="5"/>
      <c r="P20" s="5"/>
    </row>
    <row r="21" spans="1:16" ht="15" customHeight="1" x14ac:dyDescent="0.25">
      <c r="A21" s="5"/>
      <c r="B21" s="5"/>
      <c r="C21" s="5"/>
      <c r="D21" s="44" t="s">
        <v>177</v>
      </c>
      <c r="E21" s="43"/>
      <c r="F21" s="45"/>
      <c r="G21" s="31" t="s">
        <v>43</v>
      </c>
      <c r="H21" s="31" t="s">
        <v>108</v>
      </c>
      <c r="I21" s="37">
        <f>I18*0.1199/1000</f>
        <v>2.6693389130434788</v>
      </c>
      <c r="J21" s="6" t="s">
        <v>179</v>
      </c>
      <c r="K21" s="7"/>
      <c r="L21" s="8"/>
      <c r="M21" s="5"/>
      <c r="N21" s="5"/>
      <c r="O21" s="5"/>
      <c r="P21" s="5"/>
    </row>
    <row r="22" spans="1:16" x14ac:dyDescent="0.25">
      <c r="A22" s="5"/>
      <c r="B22" s="5"/>
      <c r="C22" s="5"/>
      <c r="D22" s="6" t="s">
        <v>24</v>
      </c>
      <c r="E22" s="7"/>
      <c r="F22" s="8"/>
      <c r="G22" s="31" t="s">
        <v>106</v>
      </c>
      <c r="H22" s="31" t="s">
        <v>54</v>
      </c>
      <c r="I22" s="33">
        <v>350</v>
      </c>
      <c r="J22" s="6" t="s">
        <v>9</v>
      </c>
      <c r="K22" s="7"/>
      <c r="L22" s="8"/>
      <c r="M22" s="5"/>
      <c r="N22" s="5"/>
      <c r="O22" s="5"/>
      <c r="P22" s="5"/>
    </row>
    <row r="23" spans="1:16" x14ac:dyDescent="0.25">
      <c r="A23" s="5"/>
      <c r="B23" s="5"/>
      <c r="C23" s="5"/>
      <c r="D23" s="6" t="s">
        <v>26</v>
      </c>
      <c r="E23" s="7"/>
      <c r="F23" s="8"/>
      <c r="G23" s="31" t="s">
        <v>44</v>
      </c>
      <c r="H23" s="31" t="s">
        <v>56</v>
      </c>
      <c r="I23" s="33">
        <v>0.06</v>
      </c>
      <c r="J23" s="6" t="s">
        <v>9</v>
      </c>
      <c r="K23" s="7"/>
      <c r="L23" s="8"/>
      <c r="M23" s="5"/>
      <c r="N23" s="5"/>
      <c r="O23" s="5"/>
      <c r="P23" s="5"/>
    </row>
    <row r="24" spans="1:16" x14ac:dyDescent="0.25">
      <c r="A24" s="5"/>
      <c r="B24" s="5"/>
      <c r="C24" s="5"/>
      <c r="D24" s="6" t="s">
        <v>194</v>
      </c>
      <c r="E24" s="7"/>
      <c r="F24" s="8"/>
      <c r="G24" s="31" t="s">
        <v>45</v>
      </c>
      <c r="H24" s="31" t="s">
        <v>57</v>
      </c>
      <c r="I24" s="33">
        <v>1</v>
      </c>
      <c r="J24" s="6" t="s">
        <v>9</v>
      </c>
      <c r="K24" s="7"/>
      <c r="L24" s="8"/>
      <c r="M24" s="5"/>
      <c r="N24" s="5"/>
      <c r="O24" s="5"/>
      <c r="P24" s="5"/>
    </row>
    <row r="25" spans="1:16" x14ac:dyDescent="0.25">
      <c r="A25" s="5"/>
      <c r="B25" s="5"/>
      <c r="C25" s="5"/>
      <c r="D25" s="6" t="s">
        <v>28</v>
      </c>
      <c r="E25" s="7"/>
      <c r="F25" s="8"/>
      <c r="G25" s="31" t="s">
        <v>46</v>
      </c>
      <c r="H25" s="31" t="s">
        <v>58</v>
      </c>
      <c r="I25" s="33">
        <v>60</v>
      </c>
      <c r="J25" s="6" t="s">
        <v>73</v>
      </c>
      <c r="K25" s="7"/>
      <c r="L25" s="8"/>
      <c r="M25" s="5"/>
      <c r="N25" s="5"/>
      <c r="O25" s="5"/>
      <c r="P25" s="5"/>
    </row>
    <row r="26" spans="1:16" x14ac:dyDescent="0.25">
      <c r="A26" s="5"/>
      <c r="B26" s="5"/>
      <c r="C26" s="5"/>
      <c r="D26" s="6" t="s">
        <v>189</v>
      </c>
      <c r="E26" s="7"/>
      <c r="F26" s="8"/>
      <c r="G26" s="31" t="s">
        <v>47</v>
      </c>
      <c r="H26" s="31" t="s">
        <v>58</v>
      </c>
      <c r="I26" s="33">
        <v>2</v>
      </c>
      <c r="J26" s="6" t="s">
        <v>9</v>
      </c>
      <c r="K26" s="7"/>
      <c r="L26" s="8"/>
      <c r="M26" s="5"/>
      <c r="N26" s="5"/>
      <c r="O26" s="5"/>
      <c r="P26" s="5"/>
    </row>
    <row r="27" spans="1:16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23.25" x14ac:dyDescent="0.35">
      <c r="A30" s="5"/>
      <c r="B30" s="5"/>
      <c r="C30" s="5"/>
      <c r="D30" s="5"/>
      <c r="E30" s="5"/>
      <c r="F30" s="5"/>
      <c r="G30" s="5"/>
      <c r="H30" s="28" t="s">
        <v>414</v>
      </c>
      <c r="I30" s="5"/>
      <c r="J30" s="5"/>
      <c r="K30" s="5"/>
      <c r="L30" s="5"/>
      <c r="M30" s="5"/>
      <c r="N30" s="5"/>
      <c r="O30" s="5"/>
      <c r="P30" s="5"/>
    </row>
    <row r="31" spans="1:16" x14ac:dyDescent="0.25">
      <c r="A31" s="10" t="s">
        <v>68</v>
      </c>
      <c r="B31" s="10"/>
      <c r="C31" s="10"/>
      <c r="D31" s="10"/>
      <c r="E31" s="10"/>
      <c r="F31" s="10"/>
      <c r="G31" s="10"/>
      <c r="H31" s="10"/>
      <c r="I31" s="10"/>
      <c r="J31" s="10" t="s">
        <v>70</v>
      </c>
      <c r="K31" s="10"/>
      <c r="L31" s="10" t="s">
        <v>71</v>
      </c>
      <c r="M31" s="5"/>
      <c r="N31" s="5"/>
      <c r="O31" s="5"/>
      <c r="P31" s="5"/>
    </row>
    <row r="32" spans="1:16" x14ac:dyDescent="0.25">
      <c r="A32" s="5"/>
      <c r="B32" s="5" t="s">
        <v>69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5">
      <c r="A33" s="5"/>
      <c r="B33" s="5" t="s">
        <v>180</v>
      </c>
      <c r="C33" s="5" t="s">
        <v>182</v>
      </c>
      <c r="D33" s="5"/>
      <c r="E33" s="5"/>
      <c r="F33" s="5"/>
      <c r="G33" s="5"/>
      <c r="H33" s="5"/>
      <c r="I33" s="5"/>
      <c r="J33" s="11">
        <f>ROUND((IF(I3=1,0.75,1))*I6*I11*220000*(I5*I12)^0.42,-3)</f>
        <v>2967000</v>
      </c>
      <c r="K33" s="5"/>
      <c r="L33" s="5" t="s">
        <v>181</v>
      </c>
      <c r="M33" s="5"/>
      <c r="N33" s="5"/>
      <c r="O33" s="5"/>
      <c r="P33" s="5"/>
    </row>
    <row r="34" spans="1:16" x14ac:dyDescent="0.25">
      <c r="A34" s="5"/>
      <c r="B34" s="5" t="s">
        <v>77</v>
      </c>
      <c r="C34" s="5" t="s">
        <v>82</v>
      </c>
      <c r="D34" s="5"/>
      <c r="E34" s="5"/>
      <c r="F34" s="5"/>
      <c r="G34" s="5"/>
      <c r="H34" s="5"/>
      <c r="I34" s="5"/>
      <c r="J34" s="11">
        <f>ROUND(69000*(I6)*(I5*IF(AND(I11=1,I9&gt;=3),I11,0)*I12)^0.78,-3)</f>
        <v>0</v>
      </c>
      <c r="K34" s="5"/>
      <c r="L34" s="5" t="s">
        <v>135</v>
      </c>
      <c r="M34" s="5"/>
      <c r="N34" s="5"/>
      <c r="O34" s="5"/>
      <c r="P34" s="5"/>
    </row>
    <row r="35" spans="1:16" x14ac:dyDescent="0.25">
      <c r="A35" s="5"/>
      <c r="B35" s="5" t="s">
        <v>78</v>
      </c>
      <c r="C35" s="5" t="s">
        <v>183</v>
      </c>
      <c r="D35" s="5"/>
      <c r="E35" s="5"/>
      <c r="F35" s="5"/>
      <c r="G35" s="5"/>
      <c r="H35" s="5"/>
      <c r="I35" s="5"/>
      <c r="J35" s="11">
        <f>ROUND((IF(I3=1,0.75,1))*(I16^0.12)*320000*(I5)^0.33,-3)</f>
        <v>4869000</v>
      </c>
      <c r="K35" s="5"/>
      <c r="L35" s="5" t="s">
        <v>186</v>
      </c>
      <c r="M35" s="5"/>
      <c r="N35" s="5"/>
      <c r="O35" s="5"/>
      <c r="P35" s="5"/>
    </row>
    <row r="36" spans="1:16" x14ac:dyDescent="0.25">
      <c r="A36" s="5"/>
      <c r="B36" s="5" t="s">
        <v>79</v>
      </c>
      <c r="C36" s="5" t="s">
        <v>404</v>
      </c>
      <c r="D36" s="5"/>
      <c r="E36" s="5"/>
      <c r="F36" s="5"/>
      <c r="G36" s="5"/>
      <c r="H36" s="5"/>
      <c r="I36" s="5"/>
      <c r="J36" s="12">
        <f>SUM(J33:J35)</f>
        <v>7836000</v>
      </c>
      <c r="K36" s="5"/>
      <c r="L36" s="5" t="s">
        <v>187</v>
      </c>
      <c r="M36" s="5"/>
      <c r="N36" s="5"/>
      <c r="O36" s="5"/>
      <c r="P36" s="5"/>
    </row>
    <row r="37" spans="1:16" x14ac:dyDescent="0.25">
      <c r="A37" s="5"/>
      <c r="B37" s="5" t="s">
        <v>74</v>
      </c>
      <c r="C37" s="5"/>
      <c r="D37" s="5"/>
      <c r="E37" s="5"/>
      <c r="F37" s="5"/>
      <c r="G37" s="5"/>
      <c r="H37" s="5"/>
      <c r="I37" s="5"/>
      <c r="J37" s="13">
        <f>J36/(I5*1000)</f>
        <v>15.672000000000001</v>
      </c>
      <c r="K37" s="5"/>
      <c r="L37" s="5" t="s">
        <v>137</v>
      </c>
      <c r="M37" s="5"/>
      <c r="N37" s="5"/>
      <c r="O37" s="5"/>
      <c r="P37" s="5"/>
    </row>
    <row r="38" spans="1:16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x14ac:dyDescent="0.25">
      <c r="A39" s="10" t="s">
        <v>84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25">
      <c r="A40" s="5"/>
      <c r="B40" s="5" t="s">
        <v>85</v>
      </c>
      <c r="C40" s="5"/>
      <c r="D40" s="5"/>
      <c r="E40" s="5"/>
      <c r="F40" s="5"/>
      <c r="G40" s="5"/>
      <c r="H40" s="5"/>
      <c r="I40" s="5"/>
      <c r="J40" s="11">
        <f>ROUND($J$36*0.1,-3)</f>
        <v>784000</v>
      </c>
      <c r="K40" s="5"/>
      <c r="L40" s="5" t="s">
        <v>138</v>
      </c>
      <c r="M40" s="5"/>
      <c r="N40" s="5"/>
      <c r="O40" s="5"/>
      <c r="P40" s="5"/>
    </row>
    <row r="41" spans="1:16" x14ac:dyDescent="0.25">
      <c r="A41" s="5"/>
      <c r="B41" s="5" t="s">
        <v>86</v>
      </c>
      <c r="C41" s="5"/>
      <c r="D41" s="5"/>
      <c r="E41" s="5"/>
      <c r="F41" s="5"/>
      <c r="G41" s="5"/>
      <c r="H41" s="5"/>
      <c r="I41" s="5"/>
      <c r="J41" s="11">
        <f t="shared" ref="J41:J42" si="0">ROUND($J$36*0.1,-3)</f>
        <v>784000</v>
      </c>
      <c r="K41" s="5"/>
      <c r="L41" s="5" t="s">
        <v>139</v>
      </c>
      <c r="M41" s="5"/>
      <c r="N41" s="5"/>
      <c r="O41" s="5"/>
      <c r="P41" s="5"/>
    </row>
    <row r="42" spans="1:16" x14ac:dyDescent="0.25">
      <c r="A42" s="5"/>
      <c r="B42" s="5" t="s">
        <v>87</v>
      </c>
      <c r="C42" s="5"/>
      <c r="D42" s="5"/>
      <c r="E42" s="5"/>
      <c r="F42" s="5"/>
      <c r="G42" s="5"/>
      <c r="H42" s="5"/>
      <c r="I42" s="5"/>
      <c r="J42" s="11">
        <f t="shared" si="0"/>
        <v>784000</v>
      </c>
      <c r="K42" s="5"/>
      <c r="L42" s="5" t="s">
        <v>140</v>
      </c>
      <c r="M42" s="5"/>
      <c r="N42" s="5"/>
      <c r="O42" s="5"/>
      <c r="P42" s="5"/>
    </row>
    <row r="43" spans="1:16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x14ac:dyDescent="0.25">
      <c r="A44" s="5"/>
      <c r="B44" s="10" t="s">
        <v>88</v>
      </c>
      <c r="C44" s="10"/>
      <c r="D44" s="10"/>
      <c r="E44" s="10"/>
      <c r="F44" s="10"/>
      <c r="G44" s="10"/>
      <c r="H44" s="10"/>
      <c r="I44" s="10"/>
      <c r="J44" s="14">
        <f>SUM(J36+J40+J41+J42)</f>
        <v>10188000</v>
      </c>
      <c r="K44" s="5"/>
      <c r="L44" s="5" t="s">
        <v>141</v>
      </c>
      <c r="M44" s="5"/>
      <c r="N44" s="5"/>
      <c r="O44" s="5"/>
      <c r="P44" s="5"/>
    </row>
    <row r="45" spans="1:16" x14ac:dyDescent="0.25">
      <c r="A45" s="5"/>
      <c r="B45" s="10" t="s">
        <v>89</v>
      </c>
      <c r="C45" s="10"/>
      <c r="D45" s="10"/>
      <c r="E45" s="10"/>
      <c r="F45" s="10"/>
      <c r="G45" s="10"/>
      <c r="H45" s="10"/>
      <c r="I45" s="10"/>
      <c r="J45" s="15">
        <f>J44/(I5*1000)</f>
        <v>20.376000000000001</v>
      </c>
      <c r="K45" s="5"/>
      <c r="L45" s="5" t="s">
        <v>142</v>
      </c>
      <c r="M45" s="5"/>
      <c r="N45" s="5"/>
      <c r="O45" s="5"/>
      <c r="P45" s="5"/>
    </row>
    <row r="46" spans="1:16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x14ac:dyDescent="0.25">
      <c r="A47" s="5"/>
      <c r="B47" s="5" t="s">
        <v>90</v>
      </c>
      <c r="C47" s="5"/>
      <c r="D47" s="5"/>
      <c r="E47" s="5"/>
      <c r="F47" s="5"/>
      <c r="G47" s="5"/>
      <c r="H47" s="5"/>
      <c r="I47" s="5"/>
      <c r="J47" s="11">
        <f>ROUND($J$44*0.05,-3)</f>
        <v>509000</v>
      </c>
      <c r="K47" s="5"/>
      <c r="L47" s="5" t="s">
        <v>143</v>
      </c>
      <c r="M47" s="5"/>
      <c r="N47" s="5"/>
      <c r="O47" s="5"/>
      <c r="P47" s="5"/>
    </row>
    <row r="48" spans="1:16" x14ac:dyDescent="0.25">
      <c r="A48" s="5"/>
      <c r="B48" s="10" t="s">
        <v>91</v>
      </c>
      <c r="C48" s="10"/>
      <c r="D48" s="10"/>
      <c r="E48" s="10"/>
      <c r="F48" s="10"/>
      <c r="G48" s="10"/>
      <c r="H48" s="10"/>
      <c r="I48" s="10"/>
      <c r="J48" s="14">
        <f>J47+J44</f>
        <v>10697000</v>
      </c>
      <c r="K48" s="5"/>
      <c r="L48" s="5" t="s">
        <v>144</v>
      </c>
      <c r="M48" s="5"/>
      <c r="N48" s="5"/>
      <c r="O48" s="5"/>
      <c r="P48" s="5"/>
    </row>
    <row r="49" spans="1:16" x14ac:dyDescent="0.25">
      <c r="A49" s="5"/>
      <c r="B49" s="10" t="s">
        <v>92</v>
      </c>
      <c r="C49" s="10"/>
      <c r="D49" s="10"/>
      <c r="E49" s="10"/>
      <c r="F49" s="10"/>
      <c r="G49" s="10"/>
      <c r="H49" s="10"/>
      <c r="I49" s="10"/>
      <c r="J49" s="15">
        <f>J48/(I5*1000)</f>
        <v>21.393999999999998</v>
      </c>
      <c r="K49" s="5"/>
      <c r="L49" s="5" t="s">
        <v>145</v>
      </c>
      <c r="M49" s="5"/>
      <c r="N49" s="5"/>
      <c r="O49" s="5"/>
      <c r="P49" s="5"/>
    </row>
    <row r="50" spans="1:16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x14ac:dyDescent="0.25">
      <c r="A51" s="5"/>
      <c r="B51" s="5" t="s">
        <v>184</v>
      </c>
      <c r="C51" s="5"/>
      <c r="D51" s="5"/>
      <c r="E51" s="5"/>
      <c r="F51" s="5"/>
      <c r="G51" s="5"/>
      <c r="H51" s="5"/>
      <c r="I51" s="5"/>
      <c r="J51" s="11">
        <v>0</v>
      </c>
      <c r="K51" s="5"/>
      <c r="L51" s="5" t="s">
        <v>185</v>
      </c>
      <c r="M51" s="5"/>
      <c r="N51" s="5"/>
      <c r="O51" s="5"/>
      <c r="P51" s="5"/>
    </row>
    <row r="52" spans="1:16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x14ac:dyDescent="0.25">
      <c r="A53" s="5"/>
      <c r="B53" s="122" t="s">
        <v>267</v>
      </c>
      <c r="C53" s="5"/>
      <c r="D53" s="5"/>
      <c r="E53" s="5"/>
      <c r="F53" s="5"/>
      <c r="G53" s="5"/>
      <c r="H53" s="5"/>
      <c r="I53" s="5"/>
      <c r="J53" s="11">
        <f>ROUND((J45+J48)*IF(I4,0.15,0),-3)</f>
        <v>0</v>
      </c>
      <c r="K53" s="5"/>
      <c r="L53" s="5" t="s">
        <v>231</v>
      </c>
      <c r="M53" s="5"/>
      <c r="N53" s="5"/>
      <c r="O53" s="5"/>
      <c r="P53" s="5"/>
    </row>
    <row r="54" spans="1:16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x14ac:dyDescent="0.25">
      <c r="A55" s="5"/>
      <c r="B55" s="10" t="s">
        <v>413</v>
      </c>
      <c r="C55" s="10"/>
      <c r="D55" s="10"/>
      <c r="E55" s="10"/>
      <c r="F55" s="10"/>
      <c r="G55" s="10"/>
      <c r="H55" s="10"/>
      <c r="I55" s="10"/>
      <c r="J55" s="14">
        <f>J44+J47+J51+J53</f>
        <v>10697000</v>
      </c>
      <c r="K55" s="5"/>
      <c r="L55" s="5" t="s">
        <v>147</v>
      </c>
      <c r="M55" s="5"/>
      <c r="N55" s="5"/>
      <c r="O55" s="5"/>
      <c r="P55" s="5"/>
    </row>
    <row r="56" spans="1:16" x14ac:dyDescent="0.25">
      <c r="A56" s="5"/>
      <c r="B56" s="10" t="s">
        <v>95</v>
      </c>
      <c r="C56" s="10"/>
      <c r="D56" s="10"/>
      <c r="E56" s="10"/>
      <c r="F56" s="10"/>
      <c r="G56" s="10"/>
      <c r="H56" s="10"/>
      <c r="I56" s="10"/>
      <c r="J56" s="15">
        <f>J55/(I5*1000)</f>
        <v>21.393999999999998</v>
      </c>
      <c r="K56" s="5"/>
      <c r="L56" s="5" t="s">
        <v>148</v>
      </c>
      <c r="M56" s="5"/>
      <c r="N56" s="5"/>
      <c r="O56" s="5"/>
      <c r="P56" s="5"/>
    </row>
    <row r="57" spans="1:16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x14ac:dyDescent="0.25">
      <c r="A58" s="5" t="s">
        <v>93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x14ac:dyDescent="0.25">
      <c r="A59" s="5"/>
      <c r="B59" s="5" t="s">
        <v>188</v>
      </c>
      <c r="C59" s="5"/>
      <c r="D59" s="5"/>
      <c r="E59" s="5"/>
      <c r="F59" s="5"/>
      <c r="G59" s="5"/>
      <c r="H59" s="5"/>
      <c r="I59" s="5"/>
      <c r="J59" s="16">
        <f>ROUND(0*2080*I25/(I5*1000),3)</f>
        <v>0</v>
      </c>
      <c r="K59" s="5"/>
      <c r="L59" s="5" t="s">
        <v>149</v>
      </c>
      <c r="M59" s="5"/>
      <c r="N59" s="5"/>
      <c r="O59" s="5"/>
      <c r="P59" s="5"/>
    </row>
    <row r="60" spans="1:16" x14ac:dyDescent="0.25">
      <c r="A60" s="5"/>
      <c r="B60" s="5" t="s">
        <v>190</v>
      </c>
      <c r="C60" s="5"/>
      <c r="D60" s="5"/>
      <c r="E60" s="5"/>
      <c r="F60" s="5"/>
      <c r="G60" s="5"/>
      <c r="H60" s="5"/>
      <c r="I60" s="5"/>
      <c r="J60" s="16">
        <f>ROUND((J36*0.012)/(I6*I5*1000),2)</f>
        <v>0.19</v>
      </c>
      <c r="K60" s="5"/>
      <c r="L60" s="5" t="s">
        <v>150</v>
      </c>
      <c r="M60" s="5"/>
      <c r="N60" s="5"/>
      <c r="O60" s="5"/>
      <c r="P60" s="5"/>
    </row>
    <row r="61" spans="1:16" x14ac:dyDescent="0.25">
      <c r="A61" s="5"/>
      <c r="B61" s="5" t="s">
        <v>98</v>
      </c>
      <c r="C61" s="5"/>
      <c r="D61" s="5"/>
      <c r="E61" s="5"/>
      <c r="F61" s="5"/>
      <c r="G61" s="5"/>
      <c r="H61" s="5"/>
      <c r="I61" s="5"/>
      <c r="J61" s="16">
        <f>ROUND(0.03*(J59+0.4*J60),4)</f>
        <v>2.3E-3</v>
      </c>
      <c r="K61" s="5"/>
      <c r="L61" s="5" t="s">
        <v>151</v>
      </c>
      <c r="M61" s="5"/>
      <c r="N61" s="5"/>
      <c r="O61" s="5"/>
      <c r="P61" s="5"/>
    </row>
    <row r="62" spans="1:16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x14ac:dyDescent="0.25">
      <c r="A63" s="5"/>
      <c r="B63" s="5"/>
      <c r="C63" s="5"/>
      <c r="D63" s="5"/>
      <c r="E63" s="5"/>
      <c r="F63" s="5"/>
      <c r="G63" s="10"/>
      <c r="H63" s="5"/>
      <c r="I63" s="5"/>
      <c r="J63" s="5"/>
      <c r="K63" s="5"/>
      <c r="L63" s="5"/>
      <c r="M63" s="5"/>
      <c r="N63" s="5"/>
      <c r="O63" s="5"/>
      <c r="P63" s="5"/>
    </row>
    <row r="64" spans="1:16" x14ac:dyDescent="0.25">
      <c r="A64" s="5"/>
      <c r="B64" s="10" t="s">
        <v>99</v>
      </c>
      <c r="C64" s="10"/>
      <c r="D64" s="10"/>
      <c r="E64" s="10"/>
      <c r="F64" s="10"/>
      <c r="G64" s="5"/>
      <c r="H64" s="10"/>
      <c r="I64" s="10"/>
      <c r="J64" s="17">
        <f>SUM(J59+J60+J61)</f>
        <v>0.1923</v>
      </c>
      <c r="K64" s="5"/>
      <c r="L64" s="5" t="s">
        <v>152</v>
      </c>
      <c r="M64" s="5"/>
      <c r="N64" s="5"/>
      <c r="O64" s="5"/>
      <c r="P64" s="5"/>
    </row>
    <row r="65" spans="1:16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x14ac:dyDescent="0.25">
      <c r="A66" s="5" t="s">
        <v>100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x14ac:dyDescent="0.25">
      <c r="A67" s="5"/>
      <c r="B67" s="5" t="s">
        <v>191</v>
      </c>
      <c r="C67" s="5"/>
      <c r="D67" s="5"/>
      <c r="E67" s="5"/>
      <c r="F67" s="5"/>
      <c r="G67" s="5"/>
      <c r="H67" s="5"/>
      <c r="I67" s="5"/>
      <c r="J67" s="16">
        <f>ROUND(I17*I22/(I5*1000),2)</f>
        <v>0.82</v>
      </c>
      <c r="K67" s="5"/>
      <c r="L67" s="5" t="s">
        <v>153</v>
      </c>
      <c r="M67" s="5"/>
      <c r="N67" s="5"/>
      <c r="O67" s="5"/>
      <c r="P67" s="5"/>
    </row>
    <row r="68" spans="1:16" x14ac:dyDescent="0.25">
      <c r="A68" s="5"/>
      <c r="B68" s="5" t="s">
        <v>193</v>
      </c>
      <c r="C68" s="5"/>
      <c r="D68" s="5"/>
      <c r="E68" s="5"/>
      <c r="F68" s="5"/>
      <c r="G68" s="5"/>
      <c r="H68" s="5"/>
      <c r="I68" s="5"/>
      <c r="J68" s="16">
        <f>ROUND(I21*I24/I5,3)</f>
        <v>5.0000000000000001E-3</v>
      </c>
      <c r="K68" s="5"/>
      <c r="L68" s="5" t="s">
        <v>192</v>
      </c>
      <c r="M68" s="5"/>
      <c r="N68" s="5"/>
      <c r="O68" s="5"/>
      <c r="P68" s="5"/>
    </row>
    <row r="69" spans="1:16" x14ac:dyDescent="0.25">
      <c r="A69" s="5"/>
      <c r="B69" s="5" t="s">
        <v>195</v>
      </c>
      <c r="C69" s="5"/>
      <c r="D69" s="5"/>
      <c r="E69" s="5"/>
      <c r="F69" s="5"/>
      <c r="G69" s="5"/>
      <c r="H69" s="5"/>
      <c r="I69" s="5"/>
      <c r="J69" s="18">
        <f>IF(B114,I20*I23*10,0)</f>
        <v>0.03</v>
      </c>
      <c r="K69" s="5"/>
      <c r="L69" s="5" t="s">
        <v>196</v>
      </c>
      <c r="M69" s="5"/>
      <c r="N69" s="5"/>
      <c r="O69" s="5"/>
      <c r="P69" s="5"/>
    </row>
    <row r="70" spans="1:16" x14ac:dyDescent="0.25">
      <c r="A70" s="5"/>
      <c r="B70" s="5" t="s">
        <v>198</v>
      </c>
      <c r="C70" s="5"/>
      <c r="D70" s="5"/>
      <c r="E70" s="5"/>
      <c r="F70" s="5"/>
      <c r="G70" s="5"/>
      <c r="H70" s="5"/>
      <c r="I70" s="5"/>
      <c r="J70" s="18">
        <f>IF(B117,0.001175*I18*I26/I5,0)</f>
        <v>0.1046363043478261</v>
      </c>
      <c r="K70" s="5"/>
      <c r="L70" s="5" t="s">
        <v>197</v>
      </c>
      <c r="M70" s="5"/>
      <c r="N70" s="5"/>
      <c r="O70" s="5"/>
      <c r="P70" s="5"/>
    </row>
    <row r="71" spans="1:16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x14ac:dyDescent="0.25">
      <c r="A72" s="5"/>
      <c r="B72" s="5"/>
      <c r="C72" s="5"/>
      <c r="D72" s="5"/>
      <c r="E72" s="5"/>
      <c r="F72" s="5"/>
      <c r="G72" s="10"/>
      <c r="H72" s="5"/>
      <c r="I72" s="5"/>
      <c r="J72" s="5"/>
      <c r="K72" s="5"/>
      <c r="L72" s="5"/>
      <c r="M72" s="5"/>
      <c r="N72" s="5"/>
      <c r="O72" s="5"/>
      <c r="P72" s="5"/>
    </row>
    <row r="73" spans="1:16" x14ac:dyDescent="0.25">
      <c r="A73" s="5"/>
      <c r="B73" s="10" t="s">
        <v>104</v>
      </c>
      <c r="C73" s="10"/>
      <c r="D73" s="10"/>
      <c r="E73" s="10"/>
      <c r="F73" s="10"/>
      <c r="G73" s="5"/>
      <c r="H73" s="10"/>
      <c r="I73" s="10"/>
      <c r="J73" s="17">
        <f>SUM(J67+J68+J69+J70)</f>
        <v>0.9596363043478261</v>
      </c>
      <c r="K73" s="5"/>
      <c r="L73" s="5" t="s">
        <v>157</v>
      </c>
      <c r="M73" s="5"/>
      <c r="N73" s="5"/>
      <c r="O73" s="5"/>
      <c r="P73" s="5"/>
    </row>
    <row r="74" spans="1:16" x14ac:dyDescent="0.25">
      <c r="A74" s="5"/>
      <c r="B74" s="5"/>
      <c r="C74" s="5"/>
      <c r="D74" s="5"/>
      <c r="E74" s="5"/>
      <c r="F74" s="5"/>
      <c r="G74" s="19" t="s">
        <v>110</v>
      </c>
      <c r="H74" s="5"/>
      <c r="I74" s="5"/>
      <c r="J74" s="5"/>
      <c r="K74" s="5"/>
      <c r="L74" s="5"/>
      <c r="M74" s="5"/>
      <c r="N74" s="5"/>
      <c r="O74" s="5"/>
      <c r="P74" s="5"/>
    </row>
    <row r="75" spans="1:16" x14ac:dyDescent="0.25">
      <c r="A75" s="5"/>
      <c r="B75" s="5"/>
      <c r="C75" s="5"/>
      <c r="D75" s="5"/>
      <c r="E75" s="5"/>
      <c r="F75" s="5"/>
      <c r="G75" s="19" t="s">
        <v>111</v>
      </c>
      <c r="H75" s="29">
        <f>I14/100</f>
        <v>0.85</v>
      </c>
      <c r="I75" s="5"/>
      <c r="J75" s="5"/>
      <c r="K75" s="5"/>
      <c r="L75" s="5"/>
      <c r="M75" s="5"/>
      <c r="N75" s="5"/>
      <c r="O75" s="5"/>
      <c r="P75" s="5"/>
    </row>
    <row r="76" spans="1:16" x14ac:dyDescent="0.25">
      <c r="A76" s="5"/>
      <c r="B76" s="5"/>
      <c r="C76" s="5"/>
      <c r="D76" s="5"/>
      <c r="E76" s="5"/>
      <c r="F76" s="5"/>
      <c r="G76" s="19" t="s">
        <v>112</v>
      </c>
      <c r="H76" s="20">
        <f>H75*I5*8760</f>
        <v>3723000</v>
      </c>
      <c r="I76" s="5"/>
      <c r="J76" s="5"/>
      <c r="K76" s="5"/>
      <c r="L76" s="5"/>
      <c r="M76" s="5"/>
      <c r="N76" s="5"/>
      <c r="O76" s="5"/>
      <c r="P76" s="5"/>
    </row>
    <row r="77" spans="1:16" x14ac:dyDescent="0.25">
      <c r="A77" s="5"/>
      <c r="B77" s="5"/>
      <c r="C77" s="5"/>
      <c r="D77" s="5"/>
      <c r="E77" s="5"/>
      <c r="F77" s="5"/>
      <c r="G77" s="19" t="s">
        <v>113</v>
      </c>
      <c r="H77" s="21">
        <f>H76*1000*I7/1000000</f>
        <v>36485400</v>
      </c>
      <c r="I77" s="5"/>
      <c r="J77" s="5"/>
      <c r="K77" s="5"/>
      <c r="L77" s="5"/>
      <c r="M77" s="5"/>
      <c r="N77" s="5"/>
      <c r="O77" s="5"/>
      <c r="P77" s="5"/>
    </row>
    <row r="78" spans="1:16" x14ac:dyDescent="0.25">
      <c r="A78" s="5"/>
      <c r="B78" s="5"/>
      <c r="C78" s="5"/>
      <c r="D78" s="5"/>
      <c r="E78" s="5"/>
      <c r="F78" s="5"/>
      <c r="G78" s="19" t="s">
        <v>114</v>
      </c>
      <c r="H78" s="21">
        <f>I8*H77/2000</f>
        <v>4013.3939999999998</v>
      </c>
      <c r="I78" s="5" t="s">
        <v>130</v>
      </c>
      <c r="J78" s="5"/>
      <c r="K78" s="5"/>
      <c r="L78" s="5"/>
      <c r="M78" s="5"/>
      <c r="N78" s="5"/>
      <c r="O78" s="5"/>
      <c r="P78" s="5"/>
    </row>
    <row r="79" spans="1:16" x14ac:dyDescent="0.25">
      <c r="A79" s="5"/>
      <c r="B79" s="5"/>
      <c r="C79" s="5"/>
      <c r="D79" s="5"/>
      <c r="E79" s="5"/>
      <c r="F79" s="5"/>
      <c r="G79" s="19" t="s">
        <v>115</v>
      </c>
      <c r="H79" s="21">
        <f>I15*H78/100</f>
        <v>1003.3484999999999</v>
      </c>
      <c r="I79" s="5" t="str">
        <f>"at removal efficiency = "&amp;I15&amp;"%"</f>
        <v>at removal efficiency = 25%</v>
      </c>
      <c r="J79" s="5"/>
      <c r="K79" s="5"/>
      <c r="L79" s="5"/>
      <c r="M79" s="5"/>
      <c r="N79" s="5"/>
      <c r="O79" s="5"/>
      <c r="P79" s="5"/>
    </row>
    <row r="80" spans="1:16" x14ac:dyDescent="0.25">
      <c r="A80" s="5"/>
      <c r="B80" s="5"/>
      <c r="C80" s="5"/>
      <c r="D80" s="5"/>
      <c r="E80" s="5"/>
      <c r="F80" s="5"/>
      <c r="G80" s="19" t="s">
        <v>116</v>
      </c>
      <c r="H80" s="21">
        <f>H78-H79</f>
        <v>3010.0454999999997</v>
      </c>
      <c r="I80" s="5"/>
      <c r="J80" s="5"/>
      <c r="K80" s="5"/>
      <c r="L80" s="5"/>
      <c r="M80" s="5"/>
      <c r="N80" s="5"/>
      <c r="O80" s="5"/>
      <c r="P80" s="5"/>
    </row>
    <row r="81" spans="1:16" x14ac:dyDescent="0.25">
      <c r="A81" s="5"/>
      <c r="B81" s="5"/>
      <c r="C81" s="5"/>
      <c r="D81" s="5"/>
      <c r="E81" s="5"/>
      <c r="F81" s="5"/>
      <c r="G81" s="5"/>
      <c r="H81" s="5">
        <f>H80*2000/H77</f>
        <v>0.16499999999999998</v>
      </c>
      <c r="I81" s="5"/>
      <c r="J81" s="5"/>
      <c r="K81" s="5"/>
      <c r="L81" s="5"/>
      <c r="M81" s="5"/>
      <c r="N81" s="5"/>
      <c r="O81" s="5"/>
      <c r="P81" s="5"/>
    </row>
    <row r="82" spans="1:16" x14ac:dyDescent="0.25">
      <c r="A82" s="5"/>
      <c r="B82" s="5"/>
      <c r="C82" s="5"/>
      <c r="D82" s="5"/>
      <c r="E82" s="5"/>
      <c r="F82" s="5"/>
      <c r="G82" s="19" t="s">
        <v>117</v>
      </c>
      <c r="H82" s="5"/>
      <c r="I82" s="5"/>
      <c r="J82" s="5"/>
      <c r="K82" s="5"/>
      <c r="L82" s="5"/>
      <c r="M82" s="5"/>
      <c r="N82" s="5"/>
      <c r="O82" s="5"/>
      <c r="P82" s="5"/>
    </row>
    <row r="83" spans="1:16" x14ac:dyDescent="0.25">
      <c r="A83" s="5"/>
      <c r="B83" s="5"/>
      <c r="C83" s="5"/>
      <c r="D83" s="5"/>
      <c r="E83" s="5"/>
      <c r="F83" s="5"/>
      <c r="G83" s="5"/>
      <c r="H83" s="30">
        <f>0.143</f>
        <v>0.14299999999999999</v>
      </c>
      <c r="I83" s="19" t="s">
        <v>199</v>
      </c>
      <c r="J83" s="5"/>
      <c r="K83" s="5"/>
      <c r="L83" s="5"/>
      <c r="M83" s="5"/>
      <c r="N83" s="5"/>
      <c r="O83" s="5"/>
      <c r="P83" s="5"/>
    </row>
    <row r="84" spans="1:16" x14ac:dyDescent="0.25">
      <c r="A84" s="5"/>
      <c r="B84" s="5"/>
      <c r="C84" s="5"/>
      <c r="D84" s="5"/>
      <c r="E84" s="5"/>
      <c r="F84" s="5"/>
      <c r="G84" s="5"/>
      <c r="H84" s="19" t="s">
        <v>118</v>
      </c>
      <c r="I84" s="20">
        <f>ROUND(H83*J55,-3)</f>
        <v>1530000</v>
      </c>
      <c r="J84" s="5"/>
      <c r="K84" s="5"/>
      <c r="L84" s="5"/>
      <c r="M84" s="5"/>
      <c r="N84" s="5"/>
      <c r="O84" s="5"/>
      <c r="P84" s="5"/>
    </row>
    <row r="85" spans="1:16" x14ac:dyDescent="0.25">
      <c r="A85" s="5"/>
      <c r="B85" s="5"/>
      <c r="C85" s="5"/>
      <c r="D85" s="5"/>
      <c r="E85" s="5"/>
      <c r="F85" s="5"/>
      <c r="G85" s="115"/>
      <c r="H85" s="19" t="s">
        <v>119</v>
      </c>
      <c r="I85" s="20">
        <f>ROUND(J64*I5*1000,-3)</f>
        <v>96000</v>
      </c>
      <c r="J85" s="5"/>
      <c r="K85" s="5"/>
      <c r="L85" s="5"/>
      <c r="M85" s="5"/>
      <c r="N85" s="5"/>
      <c r="O85" s="5"/>
      <c r="P85" s="5"/>
    </row>
    <row r="86" spans="1:16" x14ac:dyDescent="0.25">
      <c r="A86" s="5"/>
      <c r="B86" s="5"/>
      <c r="C86" s="5"/>
      <c r="D86" s="5"/>
      <c r="E86" s="5"/>
      <c r="F86" s="5"/>
      <c r="G86" s="115"/>
      <c r="H86" s="19" t="s">
        <v>120</v>
      </c>
      <c r="I86" s="20">
        <f>ROUND(J73*H76,-3)</f>
        <v>3573000</v>
      </c>
      <c r="J86" s="5"/>
      <c r="K86" s="5"/>
      <c r="L86" s="5"/>
      <c r="M86" s="5"/>
      <c r="N86" s="5"/>
      <c r="O86" s="5"/>
      <c r="P86" s="5"/>
    </row>
    <row r="87" spans="1:16" x14ac:dyDescent="0.25">
      <c r="A87" s="5"/>
      <c r="B87" s="5"/>
      <c r="C87" s="5"/>
      <c r="D87" s="5"/>
      <c r="E87" s="5"/>
      <c r="F87" s="5"/>
      <c r="G87" s="115"/>
      <c r="H87" s="49" t="s">
        <v>121</v>
      </c>
      <c r="I87" s="50">
        <f>SUM(I84:I86)</f>
        <v>5199000</v>
      </c>
      <c r="J87" s="5"/>
      <c r="K87" s="5"/>
      <c r="L87" s="5"/>
      <c r="M87" s="5"/>
      <c r="N87" s="5"/>
      <c r="O87" s="5"/>
      <c r="P87" s="5"/>
    </row>
    <row r="88" spans="1:16" ht="15.75" thickBot="1" x14ac:dyDescent="0.3">
      <c r="A88" s="5"/>
      <c r="B88" s="5"/>
      <c r="C88" s="5"/>
      <c r="D88" s="5"/>
      <c r="E88" s="5"/>
      <c r="F88" s="5"/>
      <c r="G88" s="115"/>
      <c r="H88" s="5"/>
      <c r="I88" s="5"/>
      <c r="J88" s="5"/>
      <c r="K88" s="5"/>
      <c r="L88" s="5"/>
      <c r="M88" s="5"/>
      <c r="N88" s="5"/>
      <c r="O88" s="5"/>
      <c r="P88" s="5"/>
    </row>
    <row r="89" spans="1:16" ht="15.75" thickTop="1" x14ac:dyDescent="0.25">
      <c r="A89" s="5"/>
      <c r="B89" s="5"/>
      <c r="C89" s="5"/>
      <c r="D89" s="5"/>
      <c r="E89" s="5"/>
      <c r="F89" s="5"/>
      <c r="G89" s="115"/>
      <c r="H89" s="53" t="s">
        <v>122</v>
      </c>
      <c r="I89" s="55">
        <f>I84/$H$76</f>
        <v>0.41095890410958902</v>
      </c>
      <c r="J89" s="5"/>
      <c r="K89" s="5"/>
      <c r="L89" s="5"/>
      <c r="M89" s="5"/>
      <c r="N89" s="5"/>
      <c r="O89" s="5"/>
      <c r="P89" s="5"/>
    </row>
    <row r="90" spans="1:16" x14ac:dyDescent="0.25">
      <c r="A90" s="5"/>
      <c r="B90" s="5"/>
      <c r="C90" s="5"/>
      <c r="D90" s="5"/>
      <c r="E90" s="5"/>
      <c r="F90" s="5"/>
      <c r="G90" s="115"/>
      <c r="H90" s="19" t="s">
        <v>123</v>
      </c>
      <c r="I90" s="22">
        <f t="shared" ref="I90:I91" si="1">I85/$H$76</f>
        <v>2.5785656728444802E-2</v>
      </c>
      <c r="J90" s="5"/>
      <c r="K90" s="5"/>
      <c r="L90" s="5"/>
      <c r="M90" s="5"/>
      <c r="N90" s="5"/>
      <c r="O90" s="5"/>
      <c r="P90" s="5"/>
    </row>
    <row r="91" spans="1:16" x14ac:dyDescent="0.25">
      <c r="A91" s="5"/>
      <c r="B91" s="5"/>
      <c r="C91" s="5"/>
      <c r="D91" s="5"/>
      <c r="E91" s="5"/>
      <c r="F91" s="5"/>
      <c r="G91" s="115"/>
      <c r="H91" s="19" t="s">
        <v>124</v>
      </c>
      <c r="I91" s="22">
        <f t="shared" si="1"/>
        <v>0.95970991136180495</v>
      </c>
      <c r="J91" s="5"/>
      <c r="K91" s="5"/>
      <c r="L91" s="5"/>
      <c r="M91" s="5"/>
      <c r="N91" s="5"/>
      <c r="O91" s="5"/>
      <c r="P91" s="5"/>
    </row>
    <row r="92" spans="1:16" x14ac:dyDescent="0.25">
      <c r="A92" s="5"/>
      <c r="B92" s="5"/>
      <c r="C92" s="5"/>
      <c r="D92" s="5"/>
      <c r="E92" s="5"/>
      <c r="F92" s="5"/>
      <c r="G92" s="115"/>
      <c r="H92" s="49" t="s">
        <v>125</v>
      </c>
      <c r="I92" s="51">
        <f>SUM(I89:I91)</f>
        <v>1.3964544721998386</v>
      </c>
      <c r="J92" s="5"/>
      <c r="K92" s="5"/>
      <c r="L92" s="5"/>
      <c r="M92" s="5"/>
      <c r="N92" s="5"/>
      <c r="O92" s="5"/>
      <c r="P92" s="5"/>
    </row>
    <row r="93" spans="1:16" ht="15.75" thickBot="1" x14ac:dyDescent="0.3">
      <c r="A93" s="5"/>
      <c r="B93" s="5"/>
      <c r="C93" s="5"/>
      <c r="D93" s="5"/>
      <c r="E93" s="5"/>
      <c r="F93" s="5"/>
      <c r="G93" s="115"/>
      <c r="H93" s="5"/>
      <c r="I93" s="5"/>
      <c r="J93" s="5"/>
      <c r="K93" s="5"/>
      <c r="L93" s="5"/>
      <c r="M93" s="5"/>
      <c r="N93" s="5"/>
      <c r="O93" s="5"/>
      <c r="P93" s="5"/>
    </row>
    <row r="94" spans="1:16" ht="15.75" thickTop="1" x14ac:dyDescent="0.25">
      <c r="A94" s="5"/>
      <c r="B94" s="5"/>
      <c r="C94" s="5"/>
      <c r="D94" s="5"/>
      <c r="E94" s="5"/>
      <c r="F94" s="5"/>
      <c r="G94" s="115"/>
      <c r="H94" s="53" t="s">
        <v>126</v>
      </c>
      <c r="I94" s="54">
        <f>I84/$H$79</f>
        <v>1524.8938927999595</v>
      </c>
      <c r="J94" s="5"/>
      <c r="K94" s="5"/>
      <c r="L94" s="5"/>
      <c r="M94" s="5"/>
      <c r="N94" s="5"/>
      <c r="O94" s="5"/>
      <c r="P94" s="5"/>
    </row>
    <row r="95" spans="1:16" x14ac:dyDescent="0.25">
      <c r="A95" s="5"/>
      <c r="B95" s="5"/>
      <c r="C95" s="5"/>
      <c r="D95" s="5"/>
      <c r="E95" s="5"/>
      <c r="F95" s="5"/>
      <c r="G95" s="115"/>
      <c r="H95" s="19" t="s">
        <v>127</v>
      </c>
      <c r="I95" s="20">
        <f t="shared" ref="I95:I96" si="2">I85/$H$79</f>
        <v>95.679616803134707</v>
      </c>
      <c r="J95" s="5"/>
      <c r="K95" s="5"/>
      <c r="L95" s="5"/>
      <c r="M95" s="5"/>
      <c r="N95" s="5"/>
      <c r="O95" s="5"/>
      <c r="P95" s="5"/>
    </row>
    <row r="96" spans="1:16" x14ac:dyDescent="0.25">
      <c r="A96" s="5"/>
      <c r="B96" s="5"/>
      <c r="C96" s="5"/>
      <c r="D96" s="5"/>
      <c r="E96" s="5"/>
      <c r="F96" s="5"/>
      <c r="G96" s="115"/>
      <c r="H96" s="19" t="s">
        <v>128</v>
      </c>
      <c r="I96" s="20">
        <f t="shared" si="2"/>
        <v>3561.0757378916701</v>
      </c>
      <c r="J96" s="5"/>
      <c r="K96" s="5"/>
      <c r="L96" s="5"/>
      <c r="M96" s="5"/>
      <c r="N96" s="5"/>
      <c r="O96" s="5"/>
      <c r="P96" s="5"/>
    </row>
    <row r="97" spans="1:16" x14ac:dyDescent="0.25">
      <c r="A97" s="5"/>
      <c r="B97" s="5"/>
      <c r="C97" s="5"/>
      <c r="D97" s="5"/>
      <c r="E97" s="5"/>
      <c r="F97" s="5"/>
      <c r="G97" s="115"/>
      <c r="H97" s="49" t="s">
        <v>129</v>
      </c>
      <c r="I97" s="50">
        <f>SUM(I94:I96)</f>
        <v>5181.6492474947645</v>
      </c>
      <c r="J97" s="5"/>
      <c r="K97" s="5"/>
      <c r="L97" s="5"/>
      <c r="M97" s="5"/>
      <c r="N97" s="5"/>
      <c r="O97" s="5"/>
      <c r="P97" s="5"/>
    </row>
    <row r="98" spans="1:16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x14ac:dyDescent="0.25">
      <c r="A100" s="5" t="s">
        <v>131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x14ac:dyDescent="0.25">
      <c r="A101" s="5"/>
      <c r="B101" s="5" t="s">
        <v>158</v>
      </c>
      <c r="C101" s="5" t="s">
        <v>15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x14ac:dyDescent="0.25">
      <c r="A102" s="5">
        <v>1</v>
      </c>
      <c r="B102" s="5" t="s">
        <v>160</v>
      </c>
      <c r="C102" s="5">
        <v>1.05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x14ac:dyDescent="0.25">
      <c r="A103" s="5">
        <v>2</v>
      </c>
      <c r="B103" s="5" t="s">
        <v>161</v>
      </c>
      <c r="C103" s="5">
        <v>1.07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x14ac:dyDescent="0.25">
      <c r="A104" s="5">
        <v>3</v>
      </c>
      <c r="B104" s="5" t="s">
        <v>162</v>
      </c>
      <c r="C104" s="5">
        <v>1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x14ac:dyDescent="0.25">
      <c r="A107" s="5"/>
      <c r="B107" s="38" t="s">
        <v>166</v>
      </c>
      <c r="C107" s="38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x14ac:dyDescent="0.25">
      <c r="A108" s="5"/>
      <c r="B108" s="38" t="s">
        <v>170</v>
      </c>
      <c r="C108" s="39">
        <v>1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x14ac:dyDescent="0.25">
      <c r="A109" s="5"/>
      <c r="B109" s="38" t="s">
        <v>171</v>
      </c>
      <c r="C109" s="39">
        <v>2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x14ac:dyDescent="0.25">
      <c r="A110" s="5"/>
      <c r="B110" s="38" t="s">
        <v>172</v>
      </c>
      <c r="C110" s="39">
        <v>3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x14ac:dyDescent="0.25">
      <c r="A111" s="5"/>
      <c r="B111" s="38" t="s">
        <v>173</v>
      </c>
      <c r="C111" s="39">
        <v>4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 x14ac:dyDescent="0.25">
      <c r="A112" s="5"/>
      <c r="B112" s="38"/>
      <c r="C112" s="38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 x14ac:dyDescent="0.25">
      <c r="A113" s="5"/>
      <c r="B113" s="38" t="s">
        <v>163</v>
      </c>
      <c r="C113" s="3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 x14ac:dyDescent="0.25">
      <c r="A114" s="5"/>
      <c r="B114" s="40" t="b">
        <v>1</v>
      </c>
      <c r="C114" s="38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x14ac:dyDescent="0.25">
      <c r="A115" s="5"/>
      <c r="B115" s="38"/>
      <c r="C115" s="38"/>
      <c r="D115" s="5"/>
      <c r="E115" s="5"/>
      <c r="F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x14ac:dyDescent="0.25">
      <c r="B116" s="38" t="s">
        <v>174</v>
      </c>
      <c r="C116" s="38"/>
    </row>
    <row r="117" spans="1:16" x14ac:dyDescent="0.25">
      <c r="B117" s="40" t="b">
        <v>1</v>
      </c>
      <c r="C117" s="38"/>
    </row>
  </sheetData>
  <mergeCells count="2">
    <mergeCell ref="D20:F20"/>
    <mergeCell ref="D19:E19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defaultSize="0" autoLine="0" autoPict="0">
                <anchor moveWithCells="1">
                  <from>
                    <xdr:col>8</xdr:col>
                    <xdr:colOff>19050</xdr:colOff>
                    <xdr:row>9</xdr:row>
                    <xdr:rowOff>19050</xdr:rowOff>
                  </from>
                  <to>
                    <xdr:col>9</xdr:col>
                    <xdr:colOff>66675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Drop Down 3">
              <controlPr defaultSize="0" autoLine="0" autoPict="0">
                <anchor moveWithCells="1">
                  <from>
                    <xdr:col>8</xdr:col>
                    <xdr:colOff>0</xdr:colOff>
                    <xdr:row>2</xdr:row>
                    <xdr:rowOff>0</xdr:rowOff>
                  </from>
                  <to>
                    <xdr:col>9</xdr:col>
                    <xdr:colOff>9525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123825</xdr:rowOff>
                  </from>
                  <to>
                    <xdr:col>5</xdr:col>
                    <xdr:colOff>228600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4</xdr:col>
                    <xdr:colOff>590550</xdr:colOff>
                    <xdr:row>18</xdr:row>
                    <xdr:rowOff>9525</xdr:rowOff>
                  </from>
                  <to>
                    <xdr:col>5</xdr:col>
                    <xdr:colOff>190500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2</xdr:row>
                    <xdr:rowOff>171450</xdr:rowOff>
                  </from>
                  <to>
                    <xdr:col>8</xdr:col>
                    <xdr:colOff>400050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6"/>
  <sheetViews>
    <sheetView tabSelected="1" topLeftCell="A28" zoomScale="85" zoomScaleNormal="85" workbookViewId="0">
      <selection activeCell="A28" sqref="A28"/>
    </sheetView>
  </sheetViews>
  <sheetFormatPr defaultRowHeight="15" x14ac:dyDescent="0.25"/>
  <cols>
    <col min="6" max="6" width="6.28515625" customWidth="1"/>
    <col min="7" max="7" width="12.7109375" customWidth="1"/>
    <col min="8" max="8" width="13.28515625" bestFit="1" customWidth="1"/>
    <col min="9" max="9" width="12.7109375" customWidth="1"/>
    <col min="10" max="10" width="15.28515625" bestFit="1" customWidth="1"/>
    <col min="12" max="12" width="56.140625" customWidth="1"/>
  </cols>
  <sheetData>
    <row r="1" spans="1:16" x14ac:dyDescent="0.25">
      <c r="A1" s="5" t="s">
        <v>165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5"/>
      <c r="B2" s="5"/>
      <c r="C2" s="5"/>
      <c r="D2" s="24" t="s">
        <v>0</v>
      </c>
      <c r="E2" s="25"/>
      <c r="F2" s="26"/>
      <c r="G2" s="27" t="s">
        <v>1</v>
      </c>
      <c r="H2" s="27" t="s">
        <v>2</v>
      </c>
      <c r="I2" s="27" t="s">
        <v>3</v>
      </c>
      <c r="J2" s="24" t="s">
        <v>4</v>
      </c>
      <c r="K2" s="7"/>
      <c r="L2" s="8"/>
      <c r="M2" s="5"/>
      <c r="N2" s="5"/>
      <c r="O2" s="5"/>
      <c r="P2" s="5"/>
    </row>
    <row r="3" spans="1:16" x14ac:dyDescent="0.25">
      <c r="A3" s="5"/>
      <c r="B3" s="5"/>
      <c r="C3" s="5"/>
      <c r="D3" s="6" t="s">
        <v>5</v>
      </c>
      <c r="E3" s="7"/>
      <c r="F3" s="8"/>
      <c r="G3" s="31"/>
      <c r="H3" s="31"/>
      <c r="I3" s="56" t="b">
        <v>0</v>
      </c>
      <c r="J3" s="6"/>
      <c r="K3" s="7"/>
      <c r="L3" s="8"/>
      <c r="M3" s="5"/>
      <c r="N3" s="5"/>
      <c r="O3" s="5"/>
      <c r="P3" s="5"/>
    </row>
    <row r="4" spans="1:16" x14ac:dyDescent="0.25">
      <c r="A4" s="5"/>
      <c r="B4" s="5"/>
      <c r="C4" s="5"/>
      <c r="D4" s="6"/>
      <c r="E4" s="7"/>
      <c r="F4" s="8"/>
      <c r="G4" s="31"/>
      <c r="H4" s="31"/>
      <c r="I4" s="116"/>
      <c r="J4" s="6"/>
      <c r="K4" s="7"/>
      <c r="L4" s="8"/>
      <c r="M4" s="5"/>
      <c r="N4" s="5"/>
      <c r="O4" s="5"/>
      <c r="P4" s="5"/>
    </row>
    <row r="5" spans="1:16" x14ac:dyDescent="0.25">
      <c r="A5" s="5"/>
      <c r="B5" s="5"/>
      <c r="C5" s="5"/>
      <c r="D5" s="6" t="s">
        <v>6</v>
      </c>
      <c r="E5" s="7"/>
      <c r="F5" s="8"/>
      <c r="G5" s="31" t="s">
        <v>7</v>
      </c>
      <c r="H5" s="31" t="s">
        <v>8</v>
      </c>
      <c r="I5" s="33">
        <v>500</v>
      </c>
      <c r="J5" s="6" t="s">
        <v>9</v>
      </c>
      <c r="K5" s="7"/>
      <c r="L5" s="8"/>
      <c r="M5" s="5"/>
      <c r="N5" s="5"/>
      <c r="O5" s="5"/>
      <c r="P5" s="5"/>
    </row>
    <row r="6" spans="1:16" x14ac:dyDescent="0.25">
      <c r="A6" s="5"/>
      <c r="B6" s="5"/>
      <c r="C6" s="5"/>
      <c r="D6" s="6" t="s">
        <v>10</v>
      </c>
      <c r="E6" s="7"/>
      <c r="F6" s="8"/>
      <c r="G6" s="31" t="s">
        <v>29</v>
      </c>
      <c r="H6" s="31"/>
      <c r="I6" s="47">
        <v>1</v>
      </c>
      <c r="J6" s="6" t="s">
        <v>59</v>
      </c>
      <c r="K6" s="7"/>
      <c r="L6" s="8"/>
      <c r="M6" s="5"/>
      <c r="N6" s="5"/>
      <c r="O6" s="5"/>
      <c r="P6" s="5"/>
    </row>
    <row r="7" spans="1:16" x14ac:dyDescent="0.25">
      <c r="A7" s="5"/>
      <c r="B7" s="5"/>
      <c r="C7" s="5"/>
      <c r="D7" s="6" t="s">
        <v>11</v>
      </c>
      <c r="E7" s="7"/>
      <c r="F7" s="8"/>
      <c r="G7" s="31" t="s">
        <v>30</v>
      </c>
      <c r="H7" s="31" t="s">
        <v>49</v>
      </c>
      <c r="I7" s="33">
        <v>9500</v>
      </c>
      <c r="J7" s="6" t="s">
        <v>9</v>
      </c>
      <c r="K7" s="7"/>
      <c r="L7" s="8"/>
      <c r="M7" s="5"/>
      <c r="N7" s="5"/>
      <c r="O7" s="5"/>
      <c r="P7" s="5"/>
    </row>
    <row r="8" spans="1:16" x14ac:dyDescent="0.25">
      <c r="A8" s="5"/>
      <c r="B8" s="5"/>
      <c r="C8" s="5"/>
      <c r="D8" s="6" t="s">
        <v>12</v>
      </c>
      <c r="E8" s="7"/>
      <c r="F8" s="8"/>
      <c r="G8" s="31" t="s">
        <v>31</v>
      </c>
      <c r="H8" s="31" t="s">
        <v>50</v>
      </c>
      <c r="I8" s="33">
        <v>0.3</v>
      </c>
      <c r="J8" s="6" t="s">
        <v>9</v>
      </c>
      <c r="K8" s="7"/>
      <c r="L8" s="8"/>
      <c r="M8" s="5"/>
      <c r="N8" s="5"/>
      <c r="O8" s="5"/>
      <c r="P8" s="5"/>
    </row>
    <row r="9" spans="1:16" x14ac:dyDescent="0.25">
      <c r="A9" s="5"/>
      <c r="B9" s="5"/>
      <c r="C9" s="5"/>
      <c r="D9" s="6" t="s">
        <v>13</v>
      </c>
      <c r="E9" s="7"/>
      <c r="F9" s="8"/>
      <c r="G9" s="31" t="s">
        <v>32</v>
      </c>
      <c r="H9" s="31" t="s">
        <v>50</v>
      </c>
      <c r="I9" s="33">
        <v>3</v>
      </c>
      <c r="J9" s="6" t="s">
        <v>9</v>
      </c>
      <c r="K9" s="7"/>
      <c r="L9" s="8"/>
      <c r="M9" s="5"/>
      <c r="N9" s="5"/>
      <c r="O9" s="5"/>
      <c r="P9" s="5"/>
    </row>
    <row r="10" spans="1:16" ht="18.75" customHeight="1" x14ac:dyDescent="0.25">
      <c r="A10" s="5"/>
      <c r="B10" s="5"/>
      <c r="C10" s="5"/>
      <c r="D10" s="6" t="s">
        <v>14</v>
      </c>
      <c r="E10" s="7"/>
      <c r="F10" s="8"/>
      <c r="G10" s="31" t="s">
        <v>33</v>
      </c>
      <c r="H10" s="9"/>
      <c r="I10" s="2">
        <v>3</v>
      </c>
      <c r="J10" s="6" t="s">
        <v>9</v>
      </c>
      <c r="K10" s="7"/>
      <c r="L10" s="8"/>
      <c r="M10" s="5"/>
      <c r="N10" s="5"/>
      <c r="O10" s="5"/>
      <c r="P10" s="5"/>
    </row>
    <row r="11" spans="1:16" x14ac:dyDescent="0.25">
      <c r="A11" s="5"/>
      <c r="B11" s="5"/>
      <c r="C11" s="5"/>
      <c r="D11" s="6" t="s">
        <v>15</v>
      </c>
      <c r="E11" s="7"/>
      <c r="F11" s="8"/>
      <c r="G11" s="31" t="s">
        <v>34</v>
      </c>
      <c r="H11" s="31"/>
      <c r="I11" s="31">
        <f>VLOOKUP(I10,A103:C105,3)</f>
        <v>1</v>
      </c>
      <c r="J11" s="6" t="s">
        <v>60</v>
      </c>
      <c r="K11" s="7"/>
      <c r="L11" s="8"/>
      <c r="M11" s="5"/>
      <c r="N11" s="5"/>
      <c r="O11" s="5"/>
      <c r="P11" s="5"/>
    </row>
    <row r="12" spans="1:16" x14ac:dyDescent="0.25">
      <c r="A12" s="5"/>
      <c r="B12" s="5"/>
      <c r="C12" s="5"/>
      <c r="D12" s="6" t="s">
        <v>16</v>
      </c>
      <c r="E12" s="7"/>
      <c r="F12" s="8"/>
      <c r="G12" s="31" t="s">
        <v>35</v>
      </c>
      <c r="H12" s="31"/>
      <c r="I12" s="31">
        <f>I7/10000</f>
        <v>0.95</v>
      </c>
      <c r="J12" s="6" t="s">
        <v>61</v>
      </c>
      <c r="K12" s="7"/>
      <c r="L12" s="8"/>
      <c r="M12" s="5"/>
      <c r="N12" s="5"/>
      <c r="O12" s="5"/>
      <c r="P12" s="5"/>
    </row>
    <row r="13" spans="1:16" x14ac:dyDescent="0.25">
      <c r="A13" s="5"/>
      <c r="B13" s="5"/>
      <c r="C13" s="5"/>
      <c r="D13" s="6" t="s">
        <v>17</v>
      </c>
      <c r="E13" s="7"/>
      <c r="F13" s="8"/>
      <c r="G13" s="31" t="s">
        <v>36</v>
      </c>
      <c r="H13" s="31" t="s">
        <v>51</v>
      </c>
      <c r="I13" s="34">
        <f>I5*I7*1000</f>
        <v>4750000000</v>
      </c>
      <c r="J13" s="6" t="s">
        <v>62</v>
      </c>
      <c r="K13" s="7"/>
      <c r="L13" s="8"/>
      <c r="M13" s="5"/>
      <c r="N13" s="5"/>
      <c r="O13" s="5"/>
      <c r="P13" s="5"/>
    </row>
    <row r="14" spans="1:16" x14ac:dyDescent="0.25">
      <c r="A14" s="5"/>
      <c r="B14" s="5"/>
      <c r="C14" s="5"/>
      <c r="D14" s="6" t="s">
        <v>18</v>
      </c>
      <c r="E14" s="7"/>
      <c r="F14" s="8"/>
      <c r="G14" s="31" t="s">
        <v>37</v>
      </c>
      <c r="H14" s="31" t="s">
        <v>52</v>
      </c>
      <c r="I14" s="33">
        <v>85</v>
      </c>
      <c r="J14" s="6" t="s">
        <v>9</v>
      </c>
      <c r="K14" s="7"/>
      <c r="L14" s="8"/>
      <c r="M14" s="5"/>
      <c r="N14" s="5"/>
      <c r="O14" s="5"/>
      <c r="P14" s="5"/>
    </row>
    <row r="15" spans="1:16" x14ac:dyDescent="0.25">
      <c r="A15" s="5"/>
      <c r="B15" s="5"/>
      <c r="C15" s="5"/>
      <c r="D15" s="6" t="s">
        <v>19</v>
      </c>
      <c r="E15" s="7"/>
      <c r="F15" s="8"/>
      <c r="G15" s="31" t="s">
        <v>38</v>
      </c>
      <c r="H15" s="31" t="s">
        <v>52</v>
      </c>
      <c r="I15" s="33">
        <v>75</v>
      </c>
      <c r="J15" s="6" t="s">
        <v>9</v>
      </c>
      <c r="K15" s="7"/>
      <c r="L15" s="8"/>
      <c r="M15" s="5"/>
      <c r="N15" s="5"/>
      <c r="O15" s="5"/>
      <c r="P15" s="5"/>
    </row>
    <row r="16" spans="1:16" x14ac:dyDescent="0.25">
      <c r="A16" s="5"/>
      <c r="B16" s="5"/>
      <c r="C16" s="5"/>
      <c r="D16" s="6" t="s">
        <v>20</v>
      </c>
      <c r="E16" s="7"/>
      <c r="F16" s="8"/>
      <c r="G16" s="31" t="s">
        <v>39</v>
      </c>
      <c r="H16" s="31"/>
      <c r="I16" s="35">
        <f>I15/80</f>
        <v>0.9375</v>
      </c>
      <c r="J16" s="6" t="s">
        <v>63</v>
      </c>
      <c r="K16" s="7"/>
      <c r="L16" s="8"/>
      <c r="M16" s="5"/>
      <c r="N16" s="5"/>
      <c r="O16" s="5"/>
      <c r="P16" s="5"/>
    </row>
    <row r="17" spans="1:16" x14ac:dyDescent="0.25">
      <c r="A17" s="5"/>
      <c r="B17" s="5"/>
      <c r="C17" s="5"/>
      <c r="D17" s="6" t="s">
        <v>21</v>
      </c>
      <c r="E17" s="7"/>
      <c r="F17" s="8"/>
      <c r="G17" s="31" t="s">
        <v>40</v>
      </c>
      <c r="H17" s="31" t="s">
        <v>53</v>
      </c>
      <c r="I17" s="36">
        <f>I8*I13/10^6*I15/100</f>
        <v>1068.75</v>
      </c>
      <c r="J17" s="6" t="s">
        <v>64</v>
      </c>
      <c r="K17" s="7"/>
      <c r="L17" s="8"/>
      <c r="M17" s="5"/>
      <c r="N17" s="5"/>
      <c r="O17" s="5"/>
      <c r="P17" s="5"/>
    </row>
    <row r="18" spans="1:16" x14ac:dyDescent="0.25">
      <c r="A18" s="5"/>
      <c r="B18" s="5"/>
      <c r="C18" s="5"/>
      <c r="D18" s="6" t="s">
        <v>22</v>
      </c>
      <c r="E18" s="7"/>
      <c r="F18" s="8"/>
      <c r="G18" s="31" t="s">
        <v>41</v>
      </c>
      <c r="H18" s="31" t="s">
        <v>53</v>
      </c>
      <c r="I18" s="36">
        <f>I17*0.525*60/46*1.01/0.99</f>
        <v>746.64649209486163</v>
      </c>
      <c r="J18" s="6" t="s">
        <v>65</v>
      </c>
      <c r="K18" s="7"/>
      <c r="L18" s="8"/>
      <c r="M18" s="5"/>
      <c r="N18" s="5"/>
      <c r="O18" s="5"/>
      <c r="P18" s="5"/>
    </row>
    <row r="19" spans="1:16" x14ac:dyDescent="0.25">
      <c r="A19" s="5"/>
      <c r="B19" s="5"/>
      <c r="C19" s="5"/>
      <c r="D19" s="6" t="s">
        <v>23</v>
      </c>
      <c r="E19" s="7"/>
      <c r="F19" s="8"/>
      <c r="G19" s="31" t="s">
        <v>42</v>
      </c>
      <c r="H19" s="31" t="s">
        <v>53</v>
      </c>
      <c r="I19" s="36">
        <f>I18*1.1315</f>
        <v>844.83050580533586</v>
      </c>
      <c r="J19" s="6" t="s">
        <v>66</v>
      </c>
      <c r="K19" s="7"/>
      <c r="L19" s="8"/>
      <c r="M19" s="5"/>
      <c r="N19" s="5"/>
      <c r="O19" s="5"/>
      <c r="P19" s="5"/>
    </row>
    <row r="20" spans="1:16" ht="28.5" customHeight="1" x14ac:dyDescent="0.25">
      <c r="A20" s="5"/>
      <c r="B20" s="5"/>
      <c r="C20" s="5"/>
      <c r="D20" s="149" t="s">
        <v>164</v>
      </c>
      <c r="E20" s="131"/>
      <c r="F20" s="132"/>
      <c r="G20" s="31" t="s">
        <v>43</v>
      </c>
      <c r="H20" s="31" t="s">
        <v>52</v>
      </c>
      <c r="I20" s="37">
        <f>0.56*(I11*I12)^0.43</f>
        <v>0.54778379100958452</v>
      </c>
      <c r="J20" s="6" t="s">
        <v>67</v>
      </c>
      <c r="K20" s="7"/>
      <c r="L20" s="8"/>
      <c r="M20" s="5"/>
      <c r="N20" s="5"/>
      <c r="O20" s="5"/>
      <c r="P20" s="5"/>
    </row>
    <row r="21" spans="1:16" x14ac:dyDescent="0.25">
      <c r="A21" s="5"/>
      <c r="B21" s="5"/>
      <c r="C21" s="5"/>
      <c r="D21" s="6" t="s">
        <v>107</v>
      </c>
      <c r="E21" s="7"/>
      <c r="F21" s="8"/>
      <c r="G21" s="31" t="s">
        <v>106</v>
      </c>
      <c r="H21" s="31" t="s">
        <v>108</v>
      </c>
      <c r="I21" s="31">
        <v>0</v>
      </c>
      <c r="J21" s="6"/>
      <c r="K21" s="7"/>
      <c r="L21" s="8"/>
      <c r="M21" s="5"/>
      <c r="N21" s="5"/>
      <c r="O21" s="5"/>
      <c r="P21" s="5"/>
    </row>
    <row r="22" spans="1:16" x14ac:dyDescent="0.25">
      <c r="A22" s="5"/>
      <c r="B22" s="5"/>
      <c r="C22" s="5"/>
      <c r="D22" s="6" t="s">
        <v>24</v>
      </c>
      <c r="E22" s="7"/>
      <c r="F22" s="8"/>
      <c r="G22" s="31" t="s">
        <v>44</v>
      </c>
      <c r="H22" s="31" t="s">
        <v>54</v>
      </c>
      <c r="I22" s="33">
        <v>350</v>
      </c>
      <c r="J22" s="6" t="s">
        <v>9</v>
      </c>
      <c r="K22" s="7"/>
      <c r="L22" s="8"/>
      <c r="M22" s="5"/>
      <c r="N22" s="5"/>
      <c r="O22" s="5"/>
      <c r="P22" s="5"/>
    </row>
    <row r="23" spans="1:16" x14ac:dyDescent="0.25">
      <c r="A23" s="5"/>
      <c r="B23" s="5"/>
      <c r="C23" s="5"/>
      <c r="D23" s="6" t="s">
        <v>25</v>
      </c>
      <c r="E23" s="7"/>
      <c r="F23" s="8"/>
      <c r="G23" s="31" t="s">
        <v>45</v>
      </c>
      <c r="H23" s="31" t="s">
        <v>55</v>
      </c>
      <c r="I23" s="33">
        <v>8000</v>
      </c>
      <c r="J23" s="6" t="s">
        <v>9</v>
      </c>
      <c r="K23" s="7"/>
      <c r="L23" s="8"/>
      <c r="M23" s="5"/>
      <c r="N23" s="5"/>
      <c r="O23" s="5"/>
      <c r="P23" s="5"/>
    </row>
    <row r="24" spans="1:16" x14ac:dyDescent="0.25">
      <c r="A24" s="5"/>
      <c r="B24" s="5"/>
      <c r="C24" s="5"/>
      <c r="D24" s="6" t="s">
        <v>26</v>
      </c>
      <c r="E24" s="7"/>
      <c r="F24" s="8"/>
      <c r="G24" s="31" t="s">
        <v>46</v>
      </c>
      <c r="H24" s="31" t="s">
        <v>56</v>
      </c>
      <c r="I24" s="33">
        <v>0.06</v>
      </c>
      <c r="J24" s="6" t="s">
        <v>72</v>
      </c>
      <c r="K24" s="7"/>
      <c r="L24" s="8"/>
      <c r="M24" s="5"/>
      <c r="N24" s="5"/>
      <c r="O24" s="5"/>
      <c r="P24" s="5"/>
    </row>
    <row r="25" spans="1:16" x14ac:dyDescent="0.25">
      <c r="A25" s="5"/>
      <c r="B25" s="5"/>
      <c r="C25" s="5"/>
      <c r="D25" s="6" t="s">
        <v>27</v>
      </c>
      <c r="E25" s="7"/>
      <c r="F25" s="8"/>
      <c r="G25" s="31" t="s">
        <v>47</v>
      </c>
      <c r="H25" s="31" t="s">
        <v>57</v>
      </c>
      <c r="I25" s="33">
        <v>4</v>
      </c>
      <c r="J25" s="6" t="s">
        <v>9</v>
      </c>
      <c r="K25" s="7"/>
      <c r="L25" s="8"/>
      <c r="M25" s="5"/>
      <c r="N25" s="5"/>
      <c r="O25" s="5"/>
      <c r="P25" s="5"/>
    </row>
    <row r="26" spans="1:16" x14ac:dyDescent="0.25">
      <c r="A26" s="5"/>
      <c r="B26" s="5"/>
      <c r="C26" s="5"/>
      <c r="D26" s="6" t="s">
        <v>28</v>
      </c>
      <c r="E26" s="7"/>
      <c r="F26" s="8"/>
      <c r="G26" s="31" t="s">
        <v>48</v>
      </c>
      <c r="H26" s="31" t="s">
        <v>58</v>
      </c>
      <c r="I26" s="33">
        <v>60</v>
      </c>
      <c r="J26" s="6" t="s">
        <v>73</v>
      </c>
      <c r="K26" s="7"/>
      <c r="L26" s="8"/>
      <c r="M26" s="5"/>
      <c r="N26" s="5"/>
      <c r="O26" s="5"/>
      <c r="P26" s="5"/>
    </row>
    <row r="27" spans="1:16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23.25" x14ac:dyDescent="0.35">
      <c r="A30" s="5"/>
      <c r="B30" s="5"/>
      <c r="C30" s="5"/>
      <c r="D30" s="5"/>
      <c r="E30" s="5"/>
      <c r="F30" s="5"/>
      <c r="G30" s="5"/>
      <c r="H30" s="28" t="s">
        <v>414</v>
      </c>
      <c r="I30" s="5"/>
      <c r="J30" s="5"/>
      <c r="K30" s="5"/>
      <c r="L30" s="5"/>
      <c r="M30" s="5"/>
      <c r="N30" s="5"/>
      <c r="O30" s="5"/>
      <c r="P30" s="5"/>
    </row>
    <row r="31" spans="1:16" x14ac:dyDescent="0.25">
      <c r="A31" s="10" t="s">
        <v>68</v>
      </c>
      <c r="B31" s="10"/>
      <c r="C31" s="10"/>
      <c r="D31" s="10"/>
      <c r="E31" s="10"/>
      <c r="F31" s="10"/>
      <c r="G31" s="10"/>
      <c r="H31" s="10"/>
      <c r="I31" s="10"/>
      <c r="J31" s="10" t="s">
        <v>70</v>
      </c>
      <c r="K31" s="10"/>
      <c r="L31" s="10" t="s">
        <v>71</v>
      </c>
      <c r="M31" s="5"/>
      <c r="N31" s="5"/>
      <c r="O31" s="5"/>
      <c r="P31" s="5"/>
    </row>
    <row r="32" spans="1:16" x14ac:dyDescent="0.25">
      <c r="A32" s="5"/>
      <c r="B32" s="5" t="s">
        <v>69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5">
      <c r="A33" s="5"/>
      <c r="B33" s="5" t="s">
        <v>75</v>
      </c>
      <c r="C33" s="5" t="s">
        <v>81</v>
      </c>
      <c r="D33" s="5"/>
      <c r="E33" s="5"/>
      <c r="F33" s="5"/>
      <c r="G33" s="5"/>
      <c r="H33" s="5"/>
      <c r="I33" s="5"/>
      <c r="J33" s="11">
        <f>ROUND(310000*(I6)*(I16)^0.2*(I5*I11*I12)^0.92,-3)</f>
        <v>88780000</v>
      </c>
      <c r="K33" s="5"/>
      <c r="L33" s="5" t="s">
        <v>133</v>
      </c>
      <c r="M33" s="5"/>
      <c r="N33" s="5"/>
      <c r="O33" s="5"/>
      <c r="P33" s="5"/>
    </row>
    <row r="34" spans="1:16" x14ac:dyDescent="0.25">
      <c r="A34" s="5"/>
      <c r="B34" s="5" t="s">
        <v>76</v>
      </c>
      <c r="C34" s="5" t="s">
        <v>105</v>
      </c>
      <c r="D34" s="5"/>
      <c r="E34" s="5"/>
      <c r="F34" s="5"/>
      <c r="G34" s="5"/>
      <c r="H34" s="5"/>
      <c r="I34" s="5"/>
      <c r="J34" s="11">
        <f>ROUND(564000*(I17^0.25),-3)</f>
        <v>3225000</v>
      </c>
      <c r="K34" s="5"/>
      <c r="L34" s="5" t="s">
        <v>134</v>
      </c>
      <c r="M34" s="5"/>
      <c r="N34" s="5"/>
      <c r="O34" s="5"/>
      <c r="P34" s="5"/>
    </row>
    <row r="35" spans="1:16" x14ac:dyDescent="0.25">
      <c r="A35" s="5"/>
      <c r="B35" s="5" t="s">
        <v>77</v>
      </c>
      <c r="C35" s="5" t="s">
        <v>82</v>
      </c>
      <c r="D35" s="5"/>
      <c r="E35" s="5"/>
      <c r="F35" s="5"/>
      <c r="G35" s="5"/>
      <c r="H35" s="5"/>
      <c r="I35" s="5"/>
      <c r="J35" s="11">
        <f>ROUND(69000*(I6)*(I5*IF(AND(I11=1,I9&gt;=3),I11,0)*I12)^0.78,-3)</f>
        <v>8446000</v>
      </c>
      <c r="K35" s="5"/>
      <c r="L35" s="5" t="s">
        <v>135</v>
      </c>
      <c r="M35" s="5"/>
      <c r="N35" s="5"/>
      <c r="O35" s="5"/>
      <c r="P35" s="5"/>
    </row>
    <row r="36" spans="1:16" x14ac:dyDescent="0.25">
      <c r="A36" s="5"/>
      <c r="B36" s="5" t="s">
        <v>78</v>
      </c>
      <c r="C36" s="5" t="s">
        <v>83</v>
      </c>
      <c r="D36" s="5"/>
      <c r="E36" s="5"/>
      <c r="F36" s="5"/>
      <c r="G36" s="5"/>
      <c r="H36" s="5"/>
      <c r="I36" s="5"/>
      <c r="J36" s="11">
        <f>ROUND(529000*(I6)*(I5*I11*I12)^0.42,-3)</f>
        <v>7042000</v>
      </c>
      <c r="K36" s="5"/>
      <c r="L36" s="5" t="s">
        <v>136</v>
      </c>
      <c r="M36" s="5"/>
      <c r="N36" s="5"/>
      <c r="O36" s="5"/>
      <c r="P36" s="5"/>
    </row>
    <row r="37" spans="1:16" x14ac:dyDescent="0.25">
      <c r="A37" s="5"/>
      <c r="B37" s="5" t="s">
        <v>79</v>
      </c>
      <c r="C37" s="5" t="s">
        <v>80</v>
      </c>
      <c r="D37" s="5"/>
      <c r="E37" s="5"/>
      <c r="F37" s="5"/>
      <c r="G37" s="5"/>
      <c r="H37" s="5"/>
      <c r="I37" s="5"/>
      <c r="J37" s="12">
        <f>SUM(J33:J36)</f>
        <v>107493000</v>
      </c>
      <c r="K37" s="5"/>
      <c r="L37" s="5" t="s">
        <v>187</v>
      </c>
      <c r="M37" s="5"/>
      <c r="N37" s="5"/>
      <c r="O37" s="5"/>
      <c r="P37" s="5"/>
    </row>
    <row r="38" spans="1:16" x14ac:dyDescent="0.25">
      <c r="A38" s="5"/>
      <c r="B38" s="5" t="s">
        <v>74</v>
      </c>
      <c r="C38" s="5"/>
      <c r="D38" s="5"/>
      <c r="E38" s="5"/>
      <c r="F38" s="5"/>
      <c r="G38" s="5"/>
      <c r="H38" s="5"/>
      <c r="I38" s="5"/>
      <c r="J38" s="13">
        <f>J37/(I5*1000)</f>
        <v>214.98599999999999</v>
      </c>
      <c r="K38" s="5"/>
      <c r="L38" s="5" t="s">
        <v>137</v>
      </c>
      <c r="M38" s="5"/>
      <c r="N38" s="5"/>
      <c r="O38" s="5"/>
      <c r="P38" s="5"/>
    </row>
    <row r="39" spans="1:16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25">
      <c r="A40" s="10" t="s">
        <v>84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x14ac:dyDescent="0.25">
      <c r="A41" s="5"/>
      <c r="B41" s="5" t="s">
        <v>85</v>
      </c>
      <c r="C41" s="5"/>
      <c r="D41" s="5"/>
      <c r="E41" s="5"/>
      <c r="F41" s="5"/>
      <c r="G41" s="5"/>
      <c r="H41" s="5"/>
      <c r="I41" s="5"/>
      <c r="J41" s="11">
        <f>ROUND($J$37*0.1,-3)</f>
        <v>10749000</v>
      </c>
      <c r="K41" s="5"/>
      <c r="L41" s="5" t="s">
        <v>138</v>
      </c>
      <c r="M41" s="5"/>
      <c r="N41" s="5"/>
      <c r="O41" s="5"/>
      <c r="P41" s="5"/>
    </row>
    <row r="42" spans="1:16" x14ac:dyDescent="0.25">
      <c r="A42" s="5"/>
      <c r="B42" s="5" t="s">
        <v>86</v>
      </c>
      <c r="C42" s="5"/>
      <c r="D42" s="5"/>
      <c r="E42" s="5"/>
      <c r="F42" s="5"/>
      <c r="G42" s="5"/>
      <c r="H42" s="5"/>
      <c r="I42" s="5"/>
      <c r="J42" s="11">
        <f t="shared" ref="J42:J43" si="0">ROUND($J$37*0.1,-3)</f>
        <v>10749000</v>
      </c>
      <c r="K42" s="5"/>
      <c r="L42" s="5" t="s">
        <v>139</v>
      </c>
      <c r="M42" s="5"/>
      <c r="N42" s="5"/>
      <c r="O42" s="5"/>
      <c r="P42" s="5"/>
    </row>
    <row r="43" spans="1:16" x14ac:dyDescent="0.25">
      <c r="A43" s="5"/>
      <c r="B43" s="5" t="s">
        <v>87</v>
      </c>
      <c r="C43" s="5"/>
      <c r="D43" s="5"/>
      <c r="E43" s="5"/>
      <c r="F43" s="5"/>
      <c r="G43" s="5"/>
      <c r="H43" s="5"/>
      <c r="I43" s="5"/>
      <c r="J43" s="11">
        <f t="shared" si="0"/>
        <v>10749000</v>
      </c>
      <c r="K43" s="5"/>
      <c r="L43" s="5" t="s">
        <v>140</v>
      </c>
      <c r="M43" s="5"/>
      <c r="N43" s="5"/>
      <c r="O43" s="5"/>
      <c r="P43" s="5"/>
    </row>
    <row r="44" spans="1:16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x14ac:dyDescent="0.25">
      <c r="A45" s="5"/>
      <c r="B45" s="10" t="s">
        <v>88</v>
      </c>
      <c r="C45" s="10"/>
      <c r="D45" s="10"/>
      <c r="E45" s="10"/>
      <c r="F45" s="10"/>
      <c r="G45" s="10"/>
      <c r="H45" s="10"/>
      <c r="I45" s="10"/>
      <c r="J45" s="14">
        <f>SUM(J37+J41+J42+J43)</f>
        <v>139740000</v>
      </c>
      <c r="K45" s="5"/>
      <c r="L45" s="5" t="s">
        <v>141</v>
      </c>
      <c r="M45" s="5"/>
      <c r="N45" s="5"/>
      <c r="O45" s="5"/>
      <c r="P45" s="5"/>
    </row>
    <row r="46" spans="1:16" x14ac:dyDescent="0.25">
      <c r="A46" s="5"/>
      <c r="B46" s="10" t="s">
        <v>89</v>
      </c>
      <c r="C46" s="10"/>
      <c r="D46" s="10"/>
      <c r="E46" s="10"/>
      <c r="F46" s="10"/>
      <c r="G46" s="10"/>
      <c r="H46" s="10"/>
      <c r="I46" s="10"/>
      <c r="J46" s="15">
        <f>J45/(I5*1000)</f>
        <v>279.48</v>
      </c>
      <c r="K46" s="5"/>
      <c r="L46" s="5" t="s">
        <v>142</v>
      </c>
      <c r="M46" s="5"/>
      <c r="N46" s="5"/>
      <c r="O46" s="5"/>
      <c r="P46" s="5"/>
    </row>
    <row r="47" spans="1:16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x14ac:dyDescent="0.25">
      <c r="A48" s="5"/>
      <c r="B48" s="5" t="s">
        <v>90</v>
      </c>
      <c r="C48" s="5"/>
      <c r="D48" s="5"/>
      <c r="E48" s="5"/>
      <c r="F48" s="5"/>
      <c r="G48" s="5"/>
      <c r="H48" s="5"/>
      <c r="I48" s="5"/>
      <c r="J48" s="11">
        <f>ROUND($J$45*0.05,-3)</f>
        <v>6987000</v>
      </c>
      <c r="K48" s="5"/>
      <c r="L48" s="5" t="s">
        <v>143</v>
      </c>
      <c r="M48" s="5"/>
      <c r="N48" s="5"/>
      <c r="O48" s="5"/>
      <c r="P48" s="5"/>
    </row>
    <row r="49" spans="1:16" x14ac:dyDescent="0.25">
      <c r="A49" s="5"/>
      <c r="B49" s="10" t="s">
        <v>91</v>
      </c>
      <c r="C49" s="10"/>
      <c r="D49" s="10"/>
      <c r="E49" s="10"/>
      <c r="F49" s="10"/>
      <c r="G49" s="10"/>
      <c r="H49" s="10"/>
      <c r="I49" s="10"/>
      <c r="J49" s="14">
        <f>J48+J45</f>
        <v>146727000</v>
      </c>
      <c r="K49" s="5"/>
      <c r="L49" s="5" t="s">
        <v>144</v>
      </c>
      <c r="M49" s="5"/>
      <c r="N49" s="5"/>
      <c r="O49" s="5"/>
      <c r="P49" s="5"/>
    </row>
    <row r="50" spans="1:16" x14ac:dyDescent="0.25">
      <c r="A50" s="5"/>
      <c r="B50" s="10" t="s">
        <v>92</v>
      </c>
      <c r="C50" s="10"/>
      <c r="D50" s="10"/>
      <c r="E50" s="10"/>
      <c r="F50" s="10"/>
      <c r="G50" s="10"/>
      <c r="H50" s="10"/>
      <c r="I50" s="10"/>
      <c r="J50" s="15">
        <f>J49/(I5*1000)</f>
        <v>293.45400000000001</v>
      </c>
      <c r="K50" s="5"/>
      <c r="L50" s="5" t="s">
        <v>145</v>
      </c>
      <c r="M50" s="5"/>
      <c r="N50" s="5"/>
      <c r="O50" s="5"/>
      <c r="P50" s="5"/>
    </row>
    <row r="51" spans="1:16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x14ac:dyDescent="0.25">
      <c r="A52" s="5"/>
      <c r="B52" s="5" t="s">
        <v>94</v>
      </c>
      <c r="C52" s="5"/>
      <c r="D52" s="5"/>
      <c r="E52" s="5"/>
      <c r="F52" s="5"/>
      <c r="G52" s="5"/>
      <c r="H52" s="5"/>
      <c r="I52" s="5"/>
      <c r="J52" s="11">
        <f>ROUND($J$49*0.06,-3)</f>
        <v>8804000</v>
      </c>
      <c r="K52" s="5"/>
      <c r="L52" s="5" t="s">
        <v>146</v>
      </c>
      <c r="M52" s="5"/>
      <c r="N52" s="5"/>
      <c r="O52" s="5"/>
      <c r="P52" s="5"/>
    </row>
    <row r="53" spans="1:16" x14ac:dyDescent="0.25">
      <c r="A53" s="5"/>
      <c r="B53" s="122" t="s">
        <v>267</v>
      </c>
      <c r="C53" s="5"/>
      <c r="D53" s="5"/>
      <c r="E53" s="5"/>
      <c r="F53" s="5"/>
      <c r="G53" s="5"/>
      <c r="H53" s="5"/>
      <c r="I53" s="5"/>
      <c r="J53" s="11">
        <f>ROUND((J45+J48)*IF(I3,0.15,0),-3)</f>
        <v>0</v>
      </c>
      <c r="K53" s="5"/>
      <c r="L53" s="5" t="s">
        <v>231</v>
      </c>
      <c r="M53" s="5"/>
      <c r="N53" s="5"/>
      <c r="O53" s="5"/>
      <c r="P53" s="5"/>
    </row>
    <row r="54" spans="1:16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x14ac:dyDescent="0.25">
      <c r="A56" s="5"/>
      <c r="B56" s="10" t="s">
        <v>413</v>
      </c>
      <c r="C56" s="10"/>
      <c r="D56" s="10"/>
      <c r="E56" s="10"/>
      <c r="F56" s="10"/>
      <c r="G56" s="10"/>
      <c r="H56" s="10"/>
      <c r="I56" s="10"/>
      <c r="J56" s="14">
        <f>J45+J48+J52+J53</f>
        <v>155531000</v>
      </c>
      <c r="K56" s="5"/>
      <c r="L56" s="5" t="s">
        <v>147</v>
      </c>
      <c r="M56" s="5"/>
      <c r="N56" s="5"/>
      <c r="O56" s="5"/>
      <c r="P56" s="5"/>
    </row>
    <row r="57" spans="1:16" x14ac:dyDescent="0.25">
      <c r="A57" s="5"/>
      <c r="B57" s="10" t="s">
        <v>95</v>
      </c>
      <c r="C57" s="10"/>
      <c r="D57" s="10"/>
      <c r="E57" s="10"/>
      <c r="F57" s="10"/>
      <c r="G57" s="10"/>
      <c r="H57" s="10"/>
      <c r="I57" s="10"/>
      <c r="J57" s="15">
        <f>J56/(I5*1000)</f>
        <v>311.06200000000001</v>
      </c>
      <c r="K57" s="5"/>
      <c r="L57" s="5" t="s">
        <v>148</v>
      </c>
      <c r="M57" s="5"/>
      <c r="N57" s="5"/>
      <c r="O57" s="5"/>
      <c r="P57" s="5"/>
    </row>
    <row r="58" spans="1:16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x14ac:dyDescent="0.25">
      <c r="A59" s="5" t="s">
        <v>93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x14ac:dyDescent="0.25">
      <c r="A60" s="5"/>
      <c r="B60" s="5" t="s">
        <v>96</v>
      </c>
      <c r="C60" s="5"/>
      <c r="D60" s="5"/>
      <c r="E60" s="5"/>
      <c r="F60" s="5"/>
      <c r="G60" s="5"/>
      <c r="H60" s="5"/>
      <c r="I60" s="5"/>
      <c r="J60" s="16">
        <f>ROUND(0.5*2080*I26/(I5*1000),3)</f>
        <v>0.125</v>
      </c>
      <c r="K60" s="5"/>
      <c r="L60" s="5" t="s">
        <v>149</v>
      </c>
      <c r="M60" s="5"/>
      <c r="N60" s="5"/>
      <c r="O60" s="5"/>
      <c r="P60" s="5"/>
    </row>
    <row r="61" spans="1:16" x14ac:dyDescent="0.25">
      <c r="A61" s="5"/>
      <c r="B61" s="5" t="s">
        <v>97</v>
      </c>
      <c r="C61" s="5"/>
      <c r="D61" s="5"/>
      <c r="E61" s="5"/>
      <c r="F61" s="5"/>
      <c r="G61" s="5"/>
      <c r="H61" s="5"/>
      <c r="I61" s="5"/>
      <c r="J61" s="16">
        <f>ROUND(IF(I5&lt;300,J37*0.005,J37*0.003)/(I6*I5*1000),2)</f>
        <v>0.64</v>
      </c>
      <c r="K61" s="5"/>
      <c r="L61" s="5" t="s">
        <v>150</v>
      </c>
      <c r="M61" s="5"/>
      <c r="N61" s="5"/>
      <c r="O61" s="5"/>
      <c r="P61" s="5"/>
    </row>
    <row r="62" spans="1:16" x14ac:dyDescent="0.25">
      <c r="A62" s="5"/>
      <c r="B62" s="5" t="s">
        <v>98</v>
      </c>
      <c r="C62" s="5"/>
      <c r="D62" s="5"/>
      <c r="E62" s="5"/>
      <c r="F62" s="5"/>
      <c r="G62" s="5"/>
      <c r="H62" s="5"/>
      <c r="I62" s="5"/>
      <c r="J62" s="16">
        <f>ROUND(0.03*(J60+0.4*J61),4)</f>
        <v>1.14E-2</v>
      </c>
      <c r="K62" s="5"/>
      <c r="L62" s="5" t="s">
        <v>151</v>
      </c>
      <c r="M62" s="5"/>
      <c r="N62" s="5"/>
      <c r="O62" s="5"/>
      <c r="P62" s="5"/>
    </row>
    <row r="63" spans="1:16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x14ac:dyDescent="0.25">
      <c r="A65" s="5"/>
      <c r="B65" s="10" t="s">
        <v>99</v>
      </c>
      <c r="C65" s="10"/>
      <c r="D65" s="10"/>
      <c r="E65" s="10"/>
      <c r="F65" s="10"/>
      <c r="G65" s="10"/>
      <c r="H65" s="10"/>
      <c r="I65" s="10"/>
      <c r="J65" s="17">
        <f>SUM(J60+J61+J62)</f>
        <v>0.77639999999999998</v>
      </c>
      <c r="K65" s="5"/>
      <c r="L65" s="5" t="s">
        <v>152</v>
      </c>
      <c r="M65" s="5"/>
      <c r="N65" s="5"/>
      <c r="O65" s="5"/>
      <c r="P65" s="5"/>
    </row>
    <row r="66" spans="1:16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x14ac:dyDescent="0.25">
      <c r="A67" s="5" t="s">
        <v>100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x14ac:dyDescent="0.25">
      <c r="A68" s="5"/>
      <c r="B68" s="5" t="s">
        <v>101</v>
      </c>
      <c r="C68" s="5"/>
      <c r="D68" s="5"/>
      <c r="E68" s="5"/>
      <c r="F68" s="5"/>
      <c r="G68" s="5"/>
      <c r="H68" s="5"/>
      <c r="I68" s="5"/>
      <c r="J68" s="16">
        <f>ROUND(I18*I22/(I5*1000),2)</f>
        <v>0.52</v>
      </c>
      <c r="K68" s="5"/>
      <c r="L68" s="5" t="s">
        <v>153</v>
      </c>
      <c r="M68" s="5"/>
      <c r="N68" s="5"/>
      <c r="O68" s="5"/>
      <c r="P68" s="5"/>
    </row>
    <row r="69" spans="1:16" x14ac:dyDescent="0.25">
      <c r="A69" s="5"/>
      <c r="B69" s="5" t="s">
        <v>109</v>
      </c>
      <c r="C69" s="5"/>
      <c r="D69" s="5"/>
      <c r="E69" s="5"/>
      <c r="F69" s="5"/>
      <c r="G69" s="5"/>
      <c r="H69" s="5"/>
      <c r="I69" s="5"/>
      <c r="J69" s="16">
        <f xml:space="preserve"> (0.4*(I11^2.9)*(I16^0.71)*I23)/(8760)</f>
        <v>0.34893575907185126</v>
      </c>
      <c r="K69" s="5"/>
      <c r="L69" s="5" t="s">
        <v>154</v>
      </c>
      <c r="M69" s="5"/>
      <c r="N69" s="5"/>
      <c r="O69" s="5"/>
      <c r="P69" s="5"/>
    </row>
    <row r="70" spans="1:16" x14ac:dyDescent="0.25">
      <c r="A70" s="5"/>
      <c r="B70" s="5" t="s">
        <v>102</v>
      </c>
      <c r="C70" s="5"/>
      <c r="D70" s="5"/>
      <c r="E70" s="5"/>
      <c r="F70" s="5"/>
      <c r="G70" s="5"/>
      <c r="H70" s="5"/>
      <c r="I70" s="5"/>
      <c r="J70" s="18">
        <f>IF(B113,I20*I24*10,0)</f>
        <v>0.32867027460575071</v>
      </c>
      <c r="K70" s="5"/>
      <c r="L70" s="5" t="s">
        <v>155</v>
      </c>
      <c r="M70" s="5"/>
      <c r="N70" s="5"/>
      <c r="O70" s="5"/>
      <c r="P70" s="5"/>
    </row>
    <row r="71" spans="1:16" x14ac:dyDescent="0.25">
      <c r="A71" s="5"/>
      <c r="B71" s="5" t="s">
        <v>103</v>
      </c>
      <c r="C71" s="5"/>
      <c r="D71" s="5"/>
      <c r="E71" s="5"/>
      <c r="F71" s="5"/>
      <c r="G71" s="5"/>
      <c r="H71" s="5"/>
      <c r="I71" s="5"/>
      <c r="J71" s="18">
        <f>ROUND(I19/1000*I25/I5,3)</f>
        <v>7.0000000000000001E-3</v>
      </c>
      <c r="K71" s="5"/>
      <c r="L71" s="5" t="s">
        <v>156</v>
      </c>
      <c r="M71" s="5"/>
      <c r="N71" s="5"/>
      <c r="O71" s="5"/>
      <c r="P71" s="5"/>
    </row>
    <row r="72" spans="1:16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x14ac:dyDescent="0.25">
      <c r="A74" s="5"/>
      <c r="B74" s="10" t="s">
        <v>104</v>
      </c>
      <c r="C74" s="10"/>
      <c r="D74" s="10"/>
      <c r="E74" s="10"/>
      <c r="F74" s="10"/>
      <c r="G74" s="10"/>
      <c r="H74" s="10"/>
      <c r="I74" s="10"/>
      <c r="J74" s="17">
        <f>SUM(J68+J69+J70+J71)</f>
        <v>1.2046060336776019</v>
      </c>
      <c r="K74" s="5"/>
      <c r="L74" s="5" t="s">
        <v>157</v>
      </c>
      <c r="M74" s="5"/>
      <c r="N74" s="5"/>
      <c r="O74" s="5"/>
      <c r="P74" s="5"/>
    </row>
    <row r="75" spans="1:16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x14ac:dyDescent="0.25">
      <c r="A76" s="5"/>
      <c r="B76" s="5"/>
      <c r="C76" s="5"/>
      <c r="D76" s="5"/>
      <c r="E76" s="5"/>
      <c r="F76" s="5"/>
      <c r="G76" s="19" t="s">
        <v>110</v>
      </c>
      <c r="H76" s="29">
        <f>I14/100</f>
        <v>0.85</v>
      </c>
      <c r="I76" s="5"/>
      <c r="J76" s="5"/>
      <c r="K76" s="5"/>
      <c r="L76" s="5"/>
      <c r="M76" s="5"/>
      <c r="N76" s="5"/>
      <c r="O76" s="5"/>
      <c r="P76" s="5"/>
    </row>
    <row r="77" spans="1:16" x14ac:dyDescent="0.25">
      <c r="A77" s="5"/>
      <c r="B77" s="5"/>
      <c r="C77" s="5"/>
      <c r="D77" s="5"/>
      <c r="E77" s="5"/>
      <c r="F77" s="5"/>
      <c r="G77" s="19" t="s">
        <v>111</v>
      </c>
      <c r="H77" s="20">
        <f>H76*I5*8760</f>
        <v>3723000</v>
      </c>
      <c r="I77" s="5"/>
      <c r="J77" s="5"/>
      <c r="K77" s="5"/>
      <c r="L77" s="5"/>
      <c r="M77" s="5"/>
      <c r="N77" s="5"/>
      <c r="O77" s="5"/>
      <c r="P77" s="5"/>
    </row>
    <row r="78" spans="1:16" x14ac:dyDescent="0.25">
      <c r="A78" s="5"/>
      <c r="B78" s="5"/>
      <c r="C78" s="5"/>
      <c r="D78" s="5"/>
      <c r="E78" s="5"/>
      <c r="F78" s="5"/>
      <c r="G78" s="19" t="s">
        <v>112</v>
      </c>
      <c r="H78" s="21">
        <f>H77*1000*I7/1000000</f>
        <v>35368500</v>
      </c>
      <c r="I78" s="5"/>
      <c r="J78" s="5"/>
      <c r="K78" s="5"/>
      <c r="L78" s="5"/>
      <c r="M78" s="5"/>
      <c r="N78" s="5"/>
      <c r="O78" s="5"/>
      <c r="P78" s="5"/>
    </row>
    <row r="79" spans="1:16" x14ac:dyDescent="0.25">
      <c r="A79" s="5"/>
      <c r="B79" s="5"/>
      <c r="C79" s="5"/>
      <c r="D79" s="5"/>
      <c r="E79" s="5"/>
      <c r="F79" s="5"/>
      <c r="G79" s="19" t="s">
        <v>113</v>
      </c>
      <c r="H79" s="21">
        <f>I8*H78/2000</f>
        <v>5305.2749999999996</v>
      </c>
      <c r="I79" s="5" t="s">
        <v>130</v>
      </c>
      <c r="J79" s="5"/>
      <c r="K79" s="5"/>
      <c r="L79" s="5"/>
      <c r="M79" s="5"/>
      <c r="N79" s="5"/>
      <c r="O79" s="5"/>
      <c r="P79" s="5"/>
    </row>
    <row r="80" spans="1:16" x14ac:dyDescent="0.25">
      <c r="A80" s="5"/>
      <c r="B80" s="5"/>
      <c r="C80" s="5"/>
      <c r="D80" s="5"/>
      <c r="E80" s="5"/>
      <c r="F80" s="5"/>
      <c r="G80" s="19" t="s">
        <v>114</v>
      </c>
      <c r="H80" s="21">
        <f>I15*H79/100</f>
        <v>3978.9562500000002</v>
      </c>
      <c r="I80" s="5" t="str">
        <f>"at removal efficiency = "&amp;I15&amp;"%"</f>
        <v>at removal efficiency = 75%</v>
      </c>
      <c r="J80" s="5"/>
      <c r="K80" s="5"/>
      <c r="L80" s="5"/>
      <c r="M80" s="5"/>
      <c r="N80" s="5"/>
      <c r="O80" s="5"/>
      <c r="P80" s="5"/>
    </row>
    <row r="81" spans="1:16" x14ac:dyDescent="0.25">
      <c r="A81" s="5"/>
      <c r="B81" s="5"/>
      <c r="C81" s="5"/>
      <c r="D81" s="5"/>
      <c r="E81" s="5"/>
      <c r="F81" s="5"/>
      <c r="G81" s="19" t="s">
        <v>115</v>
      </c>
      <c r="H81" s="21">
        <f>H79-H80</f>
        <v>1326.3187499999995</v>
      </c>
      <c r="I81" s="5"/>
      <c r="J81" s="5"/>
      <c r="K81" s="5"/>
      <c r="L81" s="5"/>
      <c r="M81" s="5"/>
      <c r="N81" s="5"/>
      <c r="O81" s="5"/>
      <c r="P81" s="5"/>
    </row>
    <row r="82" spans="1:16" x14ac:dyDescent="0.25">
      <c r="A82" s="5"/>
      <c r="B82" s="5"/>
      <c r="C82" s="5"/>
      <c r="D82" s="5"/>
      <c r="E82" s="5"/>
      <c r="F82" s="5"/>
      <c r="G82" s="19" t="s">
        <v>116</v>
      </c>
      <c r="H82" s="5">
        <f>H81*2000/H78</f>
        <v>7.4999999999999969E-2</v>
      </c>
      <c r="I82" s="5" t="str">
        <f>IF(H82&gt;=D101, "Value is AT or ABOVE a ", "Value is BELOW a ")&amp;D101&amp;" floor rate"</f>
        <v>Value is AT or ABOVE a 0.07 floor rate</v>
      </c>
      <c r="J82" s="5"/>
      <c r="K82" s="5"/>
      <c r="L82" s="5"/>
      <c r="M82" s="5"/>
      <c r="N82" s="5"/>
      <c r="O82" s="5"/>
      <c r="P82" s="5"/>
    </row>
    <row r="83" spans="1:16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x14ac:dyDescent="0.25">
      <c r="A84" s="5"/>
      <c r="B84" s="5"/>
      <c r="C84" s="5"/>
      <c r="D84" s="5"/>
      <c r="E84" s="5"/>
      <c r="F84" s="5"/>
      <c r="G84" s="19" t="s">
        <v>117</v>
      </c>
      <c r="H84" s="30">
        <f>0.143</f>
        <v>0.14299999999999999</v>
      </c>
      <c r="I84" s="5" t="s">
        <v>132</v>
      </c>
      <c r="J84" s="5"/>
      <c r="K84" s="5"/>
      <c r="L84" s="5"/>
      <c r="M84" s="5"/>
      <c r="N84" s="5"/>
      <c r="O84" s="5"/>
      <c r="P84" s="5"/>
    </row>
    <row r="85" spans="1:16" x14ac:dyDescent="0.25">
      <c r="A85" s="5"/>
      <c r="B85" s="5"/>
      <c r="C85" s="5"/>
      <c r="D85" s="5"/>
      <c r="E85" s="5"/>
      <c r="F85" s="5"/>
      <c r="G85" s="5"/>
      <c r="H85" s="19" t="s">
        <v>118</v>
      </c>
      <c r="I85" s="20">
        <f>ROUND(H84*J56,-3)</f>
        <v>22241000</v>
      </c>
      <c r="J85" s="5"/>
      <c r="K85" s="5"/>
      <c r="L85" s="5"/>
      <c r="M85" s="5"/>
      <c r="N85" s="5"/>
      <c r="O85" s="5"/>
      <c r="P85" s="5"/>
    </row>
    <row r="86" spans="1:16" x14ac:dyDescent="0.25">
      <c r="A86" s="5"/>
      <c r="B86" s="5"/>
      <c r="C86" s="5"/>
      <c r="D86" s="5"/>
      <c r="E86" s="5"/>
      <c r="F86" s="5"/>
      <c r="G86" s="5"/>
      <c r="H86" s="19" t="s">
        <v>119</v>
      </c>
      <c r="I86" s="20">
        <f>ROUND(J65*I5*1000,-3)</f>
        <v>388000</v>
      </c>
      <c r="J86" s="5"/>
      <c r="K86" s="5"/>
      <c r="L86" s="5"/>
      <c r="M86" s="5"/>
      <c r="N86" s="5"/>
      <c r="O86" s="5"/>
      <c r="P86" s="5"/>
    </row>
    <row r="87" spans="1:16" x14ac:dyDescent="0.25">
      <c r="A87" s="5"/>
      <c r="B87" s="5"/>
      <c r="C87" s="5"/>
      <c r="D87" s="5"/>
      <c r="E87" s="5"/>
      <c r="F87" s="5"/>
      <c r="G87" s="5"/>
      <c r="H87" s="19" t="s">
        <v>120</v>
      </c>
      <c r="I87" s="20">
        <f>ROUND(J74*H77,-3)</f>
        <v>4485000</v>
      </c>
      <c r="J87" s="5"/>
      <c r="K87" s="5"/>
      <c r="L87" s="5"/>
      <c r="M87" s="5"/>
      <c r="N87" s="5"/>
      <c r="O87" s="5"/>
      <c r="P87" s="5"/>
    </row>
    <row r="88" spans="1:16" x14ac:dyDescent="0.25">
      <c r="A88" s="5"/>
      <c r="B88" s="5"/>
      <c r="C88" s="5"/>
      <c r="D88" s="5"/>
      <c r="E88" s="5"/>
      <c r="F88" s="5"/>
      <c r="G88" s="48"/>
      <c r="H88" s="49" t="s">
        <v>121</v>
      </c>
      <c r="I88" s="50">
        <f>SUM(I85:I87)</f>
        <v>27114000</v>
      </c>
      <c r="J88" s="5"/>
      <c r="K88" s="5"/>
      <c r="L88" s="5"/>
      <c r="M88" s="5"/>
      <c r="N88" s="5"/>
      <c r="O88" s="5"/>
      <c r="P88" s="5"/>
    </row>
    <row r="89" spans="1:16" ht="15.75" thickBo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ht="15.75" thickTop="1" x14ac:dyDescent="0.25">
      <c r="A90" s="5"/>
      <c r="B90" s="5"/>
      <c r="C90" s="5"/>
      <c r="D90" s="5"/>
      <c r="E90" s="5"/>
      <c r="F90" s="5"/>
      <c r="G90" s="52"/>
      <c r="H90" s="53" t="s">
        <v>122</v>
      </c>
      <c r="I90" s="55">
        <f>I85/$H$77</f>
        <v>5.9739457426806339</v>
      </c>
      <c r="J90" s="5"/>
      <c r="K90" s="5"/>
      <c r="L90" s="5"/>
      <c r="M90" s="5"/>
      <c r="N90" s="5"/>
      <c r="O90" s="5"/>
      <c r="P90" s="5"/>
    </row>
    <row r="91" spans="1:16" x14ac:dyDescent="0.25">
      <c r="A91" s="5"/>
      <c r="B91" s="5"/>
      <c r="C91" s="5"/>
      <c r="D91" s="5"/>
      <c r="E91" s="5"/>
      <c r="F91" s="5"/>
      <c r="G91" s="5"/>
      <c r="H91" s="19" t="s">
        <v>123</v>
      </c>
      <c r="I91" s="22">
        <f t="shared" ref="I91:I92" si="1">I86/$H$77</f>
        <v>0.10421702927746442</v>
      </c>
      <c r="J91" s="5"/>
      <c r="K91" s="5"/>
      <c r="L91" s="5"/>
      <c r="M91" s="5"/>
      <c r="N91" s="5"/>
      <c r="O91" s="5"/>
      <c r="P91" s="5"/>
    </row>
    <row r="92" spans="1:16" x14ac:dyDescent="0.25">
      <c r="A92" s="5"/>
      <c r="B92" s="5"/>
      <c r="C92" s="5"/>
      <c r="D92" s="5"/>
      <c r="E92" s="5"/>
      <c r="F92" s="5"/>
      <c r="G92" s="5"/>
      <c r="H92" s="19" t="s">
        <v>124</v>
      </c>
      <c r="I92" s="22">
        <f t="shared" si="1"/>
        <v>1.2046736502820306</v>
      </c>
      <c r="J92" s="5"/>
      <c r="K92" s="5"/>
      <c r="L92" s="5"/>
      <c r="M92" s="5"/>
      <c r="N92" s="5"/>
      <c r="O92" s="5"/>
      <c r="P92" s="5"/>
    </row>
    <row r="93" spans="1:16" x14ac:dyDescent="0.25">
      <c r="A93" s="5"/>
      <c r="B93" s="5"/>
      <c r="C93" s="5"/>
      <c r="D93" s="5"/>
      <c r="E93" s="5"/>
      <c r="F93" s="5"/>
      <c r="G93" s="48"/>
      <c r="H93" s="49" t="s">
        <v>125</v>
      </c>
      <c r="I93" s="51">
        <f>SUM(I90:I92)</f>
        <v>7.2828364222401287</v>
      </c>
      <c r="J93" s="5"/>
      <c r="K93" s="5"/>
      <c r="L93" s="5"/>
      <c r="M93" s="5"/>
      <c r="N93" s="5"/>
      <c r="O93" s="5"/>
      <c r="P93" s="5"/>
    </row>
    <row r="94" spans="1:16" ht="15.75" thickBo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ht="15.75" thickTop="1" x14ac:dyDescent="0.25">
      <c r="A95" s="5"/>
      <c r="B95" s="5"/>
      <c r="C95" s="5"/>
      <c r="D95" s="5"/>
      <c r="E95" s="5"/>
      <c r="F95" s="5"/>
      <c r="G95" s="52"/>
      <c r="H95" s="53" t="s">
        <v>126</v>
      </c>
      <c r="I95" s="54">
        <f>I85/$H$80</f>
        <v>5589.6568352567328</v>
      </c>
      <c r="J95" s="5"/>
      <c r="K95" s="5"/>
      <c r="L95" s="5"/>
      <c r="M95" s="5"/>
      <c r="N95" s="5"/>
      <c r="O95" s="5"/>
      <c r="P95" s="5"/>
    </row>
    <row r="96" spans="1:16" x14ac:dyDescent="0.25">
      <c r="A96" s="5"/>
      <c r="B96" s="5"/>
      <c r="C96" s="5"/>
      <c r="D96" s="5"/>
      <c r="E96" s="5"/>
      <c r="F96" s="5"/>
      <c r="G96" s="5"/>
      <c r="H96" s="19" t="s">
        <v>127</v>
      </c>
      <c r="I96" s="20">
        <f t="shared" ref="I96:I97" si="2">I86/$H$80</f>
        <v>97.513009850259095</v>
      </c>
      <c r="J96" s="5"/>
      <c r="K96" s="5"/>
      <c r="L96" s="5"/>
      <c r="M96" s="5"/>
      <c r="N96" s="5"/>
      <c r="O96" s="5"/>
      <c r="P96" s="5"/>
    </row>
    <row r="97" spans="1:16" x14ac:dyDescent="0.25">
      <c r="A97" s="5"/>
      <c r="B97" s="5"/>
      <c r="C97" s="5"/>
      <c r="D97" s="5"/>
      <c r="E97" s="5"/>
      <c r="F97" s="5"/>
      <c r="G97" s="5"/>
      <c r="H97" s="19" t="s">
        <v>128</v>
      </c>
      <c r="I97" s="20">
        <f t="shared" si="2"/>
        <v>1127.180023655701</v>
      </c>
      <c r="J97" s="5"/>
      <c r="K97" s="5"/>
      <c r="L97" s="5"/>
      <c r="M97" s="5"/>
      <c r="N97" s="5"/>
      <c r="O97" s="5"/>
      <c r="P97" s="5"/>
    </row>
    <row r="98" spans="1:16" x14ac:dyDescent="0.25">
      <c r="A98" s="5"/>
      <c r="B98" s="5"/>
      <c r="C98" s="5"/>
      <c r="D98" s="5"/>
      <c r="E98" s="5"/>
      <c r="F98" s="5"/>
      <c r="G98" s="48"/>
      <c r="H98" s="49" t="s">
        <v>129</v>
      </c>
      <c r="I98" s="50">
        <f>SUM(I95:I97)</f>
        <v>6814.3498687626925</v>
      </c>
      <c r="J98" s="5"/>
      <c r="K98" s="5"/>
      <c r="L98" s="5"/>
      <c r="M98" s="5"/>
      <c r="N98" s="5"/>
      <c r="O98" s="5"/>
      <c r="P98" s="5"/>
    </row>
    <row r="99" spans="1:16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x14ac:dyDescent="0.25">
      <c r="A101" s="5" t="s">
        <v>131</v>
      </c>
      <c r="B101" s="5"/>
      <c r="C101" s="5"/>
      <c r="D101" s="5">
        <f>VLOOKUP(I10,A103:D105,4)</f>
        <v>7.0000000000000007E-2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x14ac:dyDescent="0.25">
      <c r="A102" s="5"/>
      <c r="B102" s="5" t="s">
        <v>158</v>
      </c>
      <c r="C102" s="5" t="s">
        <v>15</v>
      </c>
      <c r="D102" s="5" t="s">
        <v>159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x14ac:dyDescent="0.25">
      <c r="A103" s="5">
        <v>1</v>
      </c>
      <c r="B103" s="5" t="s">
        <v>160</v>
      </c>
      <c r="C103" s="5">
        <v>1.05</v>
      </c>
      <c r="D103" s="5">
        <v>0.05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x14ac:dyDescent="0.25">
      <c r="A104" s="5">
        <v>2</v>
      </c>
      <c r="B104" s="5" t="s">
        <v>161</v>
      </c>
      <c r="C104" s="5">
        <v>1.07</v>
      </c>
      <c r="D104" s="5">
        <v>0.05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x14ac:dyDescent="0.25">
      <c r="A105" s="5">
        <v>3</v>
      </c>
      <c r="B105" s="5" t="s">
        <v>162</v>
      </c>
      <c r="C105" s="5">
        <v>1</v>
      </c>
      <c r="D105" s="5">
        <v>7.0000000000000007E-2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 x14ac:dyDescent="0.25">
      <c r="A112" s="5"/>
      <c r="B112" s="5" t="s">
        <v>163</v>
      </c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 x14ac:dyDescent="0.25">
      <c r="A113" s="5"/>
      <c r="B113" s="23" t="b">
        <v>1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</sheetData>
  <mergeCells count="1">
    <mergeCell ref="D20:F20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590550</xdr:colOff>
                    <xdr:row>19</xdr:row>
                    <xdr:rowOff>171450</xdr:rowOff>
                  </from>
                  <to>
                    <xdr:col>5</xdr:col>
                    <xdr:colOff>171450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8</xdr:col>
                    <xdr:colOff>19050</xdr:colOff>
                    <xdr:row>9</xdr:row>
                    <xdr:rowOff>19050</xdr:rowOff>
                  </from>
                  <to>
                    <xdr:col>9</xdr:col>
                    <xdr:colOff>66675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</xdr:row>
                    <xdr:rowOff>171450</xdr:rowOff>
                  </from>
                  <to>
                    <xdr:col>8</xdr:col>
                    <xdr:colOff>400050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</xdr:row>
                    <xdr:rowOff>171450</xdr:rowOff>
                  </from>
                  <to>
                    <xdr:col>8</xdr:col>
                    <xdr:colOff>400050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notes</vt:lpstr>
      <vt:lpstr>ACI</vt:lpstr>
      <vt:lpstr>DSI SO2</vt:lpstr>
      <vt:lpstr>SDA FGD</vt:lpstr>
      <vt:lpstr>Wet FGD</vt:lpstr>
      <vt:lpstr>SNCR</vt:lpstr>
      <vt:lpstr>SCR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retrofit_cost_tool_2019_06_04</dc:title>
  <dc:subject>retrofit_cost_tool_2019_06_04</dc:subject>
  <dc:creator>U.S. Environmental Protection Agency</dc:creator>
  <cp:lastModifiedBy>Power3</cp:lastModifiedBy>
  <dcterms:created xsi:type="dcterms:W3CDTF">2017-11-14T12:42:57Z</dcterms:created>
  <dcterms:modified xsi:type="dcterms:W3CDTF">2019-06-21T19:46:31Z</dcterms:modified>
</cp:coreProperties>
</file>