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rienne.Burchett\Documents\OK Cogen\9-2016 CSAPR Update\"/>
    </mc:Choice>
  </mc:AlternateContent>
  <bookViews>
    <workbookView xWindow="0" yWindow="0" windowWidth="24000" windowHeight="9795"/>
  </bookViews>
  <sheets>
    <sheet name="A-1 Calculations" sheetId="1" r:id="rId1"/>
    <sheet name="A-2 OK Cogen Summary" sheetId="2" r:id="rId2"/>
  </sheets>
  <externalReferences>
    <externalReference r:id="rId3"/>
  </externalReferences>
  <definedNames>
    <definedName name="_xlnm.Print_Area" localSheetId="0">'A-1 Calculations'!$A$1:$AH$98</definedName>
    <definedName name="_xlnm.Print_Area" localSheetId="1">'A-2 OK Cogen Summary'!$A$1:$M$37</definedName>
    <definedName name="_xlnm.Print_Titles" localSheetId="0">'A-1 Calculations'!$A:$A,'A-1 Calculations'!$1:$3</definedName>
    <definedName name="_xlnm.Print_Titles" localSheetId="1">'A-2 OK Cogen Summary'!$2:$2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" l="1"/>
  <c r="J10" i="2"/>
  <c r="I10" i="2"/>
  <c r="H10" i="2"/>
  <c r="L18" i="2"/>
  <c r="H18" i="2"/>
  <c r="L17" i="2"/>
  <c r="H17" i="2"/>
  <c r="E16" i="2"/>
  <c r="I16" i="2" s="1"/>
  <c r="F16" i="2"/>
  <c r="J16" i="2" s="1"/>
  <c r="E15" i="2"/>
  <c r="I14" i="2"/>
  <c r="E14" i="2"/>
  <c r="G14" i="2" s="1"/>
  <c r="F14" i="2"/>
  <c r="J14" i="2" s="1"/>
  <c r="E13" i="2"/>
  <c r="G13" i="2" s="1"/>
  <c r="K13" i="2" s="1"/>
  <c r="F13" i="2"/>
  <c r="J13" i="2" s="1"/>
  <c r="I12" i="2"/>
  <c r="G12" i="2"/>
  <c r="K12" i="2" s="1"/>
  <c r="F12" i="2"/>
  <c r="J12" i="2" s="1"/>
  <c r="I11" i="2"/>
  <c r="E11" i="2"/>
  <c r="G11" i="2" s="1"/>
  <c r="F11" i="2"/>
  <c r="J11" i="2" s="1"/>
  <c r="E10" i="2"/>
  <c r="G10" i="2" s="1"/>
  <c r="F10" i="2"/>
  <c r="K56" i="1"/>
  <c r="L12" i="2" l="1"/>
  <c r="K11" i="2"/>
  <c r="H11" i="2"/>
  <c r="L11" i="2"/>
  <c r="H14" i="2"/>
  <c r="K14" i="2"/>
  <c r="L14" i="2" s="1"/>
  <c r="L16" i="2"/>
  <c r="H15" i="2"/>
  <c r="H12" i="2"/>
  <c r="G15" i="2"/>
  <c r="K15" i="2" s="1"/>
  <c r="I15" i="2"/>
  <c r="H13" i="2"/>
  <c r="L10" i="2"/>
  <c r="I13" i="2"/>
  <c r="L13" i="2" s="1"/>
  <c r="H16" i="2"/>
  <c r="F15" i="2"/>
  <c r="J15" i="2" s="1"/>
  <c r="G16" i="2"/>
  <c r="K16" i="2" s="1"/>
  <c r="L15" i="2" l="1"/>
  <c r="AH98" i="1" l="1"/>
  <c r="Y97" i="1"/>
  <c r="K97" i="1"/>
  <c r="L94" i="1" s="1"/>
  <c r="M94" i="1" s="1"/>
  <c r="O94" i="1" s="1"/>
  <c r="X56" i="1"/>
  <c r="L9" i="1" l="1"/>
  <c r="M9" i="1" s="1"/>
  <c r="O9" i="1" s="1"/>
  <c r="L61" i="1"/>
  <c r="M61" i="1" s="1"/>
  <c r="O61" i="1" s="1"/>
  <c r="AB61" i="1" s="1"/>
  <c r="L53" i="1"/>
  <c r="M53" i="1" s="1"/>
  <c r="O53" i="1" s="1"/>
  <c r="L75" i="1"/>
  <c r="M75" i="1" s="1"/>
  <c r="O75" i="1" s="1"/>
  <c r="AE75" i="1" s="1"/>
  <c r="L28" i="1"/>
  <c r="M28" i="1" s="1"/>
  <c r="O28" i="1" s="1"/>
  <c r="AE28" i="1" s="1"/>
  <c r="L64" i="1"/>
  <c r="M64" i="1" s="1"/>
  <c r="O64" i="1" s="1"/>
  <c r="AB64" i="1" s="1"/>
  <c r="L29" i="1"/>
  <c r="M29" i="1" s="1"/>
  <c r="O29" i="1" s="1"/>
  <c r="AE29" i="1" s="1"/>
  <c r="L42" i="1"/>
  <c r="M42" i="1" s="1"/>
  <c r="O42" i="1" s="1"/>
  <c r="AE42" i="1" s="1"/>
  <c r="L66" i="1"/>
  <c r="M66" i="1" s="1"/>
  <c r="O66" i="1" s="1"/>
  <c r="AE66" i="1" s="1"/>
  <c r="L20" i="1"/>
  <c r="M20" i="1" s="1"/>
  <c r="O20" i="1" s="1"/>
  <c r="L31" i="1"/>
  <c r="M31" i="1" s="1"/>
  <c r="O31" i="1" s="1"/>
  <c r="L55" i="1"/>
  <c r="M55" i="1" s="1"/>
  <c r="O55" i="1" s="1"/>
  <c r="AB55" i="1" s="1"/>
  <c r="AI55" i="1" s="1"/>
  <c r="L84" i="1"/>
  <c r="M84" i="1" s="1"/>
  <c r="O84" i="1" s="1"/>
  <c r="AB84" i="1" s="1"/>
  <c r="AC84" i="1" s="1"/>
  <c r="L10" i="1"/>
  <c r="M10" i="1" s="1"/>
  <c r="O10" i="1" s="1"/>
  <c r="AE10" i="1" s="1"/>
  <c r="L37" i="1"/>
  <c r="M37" i="1" s="1"/>
  <c r="O37" i="1" s="1"/>
  <c r="AB37" i="1" s="1"/>
  <c r="AC37" i="1" s="1"/>
  <c r="L54" i="1"/>
  <c r="M54" i="1" s="1"/>
  <c r="O54" i="1" s="1"/>
  <c r="AE54" i="1" s="1"/>
  <c r="L23" i="1"/>
  <c r="M23" i="1" s="1"/>
  <c r="O23" i="1" s="1"/>
  <c r="L45" i="1"/>
  <c r="M45" i="1" s="1"/>
  <c r="O45" i="1" s="1"/>
  <c r="AE45" i="1" s="1"/>
  <c r="L67" i="1"/>
  <c r="M67" i="1" s="1"/>
  <c r="O67" i="1" s="1"/>
  <c r="L11" i="1"/>
  <c r="M11" i="1" s="1"/>
  <c r="O11" i="1" s="1"/>
  <c r="AE11" i="1" s="1"/>
  <c r="L41" i="1"/>
  <c r="M41" i="1" s="1"/>
  <c r="O41" i="1" s="1"/>
  <c r="AB41" i="1" s="1"/>
  <c r="L83" i="1"/>
  <c r="M83" i="1" s="1"/>
  <c r="O83" i="1" s="1"/>
  <c r="L19" i="1"/>
  <c r="M19" i="1" s="1"/>
  <c r="O19" i="1" s="1"/>
  <c r="AE19" i="1" s="1"/>
  <c r="L4" i="1"/>
  <c r="M4" i="1" s="1"/>
  <c r="O4" i="1" s="1"/>
  <c r="AB4" i="1" s="1"/>
  <c r="AC4" i="1" s="1"/>
  <c r="L12" i="1"/>
  <c r="M12" i="1" s="1"/>
  <c r="O12" i="1" s="1"/>
  <c r="L14" i="1"/>
  <c r="M14" i="1" s="1"/>
  <c r="O14" i="1" s="1"/>
  <c r="AE14" i="1" s="1"/>
  <c r="L33" i="1"/>
  <c r="M33" i="1" s="1"/>
  <c r="O33" i="1" s="1"/>
  <c r="AE33" i="1" s="1"/>
  <c r="L50" i="1"/>
  <c r="M50" i="1" s="1"/>
  <c r="O50" i="1" s="1"/>
  <c r="AB50" i="1" s="1"/>
  <c r="L68" i="1"/>
  <c r="M68" i="1" s="1"/>
  <c r="O68" i="1" s="1"/>
  <c r="AE68" i="1" s="1"/>
  <c r="L85" i="1"/>
  <c r="M85" i="1" s="1"/>
  <c r="O85" i="1" s="1"/>
  <c r="AB85" i="1" s="1"/>
  <c r="L18" i="1"/>
  <c r="M18" i="1" s="1"/>
  <c r="O18" i="1" s="1"/>
  <c r="L6" i="1"/>
  <c r="M6" i="1" s="1"/>
  <c r="O6" i="1" s="1"/>
  <c r="AE6" i="1" s="1"/>
  <c r="L17" i="1"/>
  <c r="M17" i="1" s="1"/>
  <c r="O17" i="1" s="1"/>
  <c r="L24" i="1"/>
  <c r="M24" i="1" s="1"/>
  <c r="O24" i="1" s="1"/>
  <c r="L36" i="1"/>
  <c r="M36" i="1" s="1"/>
  <c r="O36" i="1" s="1"/>
  <c r="L69" i="1"/>
  <c r="M69" i="1" s="1"/>
  <c r="O69" i="1" s="1"/>
  <c r="AE69" i="1" s="1"/>
  <c r="AB20" i="1"/>
  <c r="AE20" i="1"/>
  <c r="AE23" i="1"/>
  <c r="AB23" i="1"/>
  <c r="AB12" i="1"/>
  <c r="AE12" i="1"/>
  <c r="AB67" i="1"/>
  <c r="AE67" i="1"/>
  <c r="AE9" i="1"/>
  <c r="AB9" i="1"/>
  <c r="AE61" i="1"/>
  <c r="AB14" i="1"/>
  <c r="AE17" i="1"/>
  <c r="AB17" i="1"/>
  <c r="AB53" i="1"/>
  <c r="AE53" i="1"/>
  <c r="AB45" i="1"/>
  <c r="AB75" i="1"/>
  <c r="AB66" i="1"/>
  <c r="L89" i="1"/>
  <c r="M89" i="1" s="1"/>
  <c r="O89" i="1" s="1"/>
  <c r="L81" i="1"/>
  <c r="M81" i="1" s="1"/>
  <c r="O81" i="1" s="1"/>
  <c r="L73" i="1"/>
  <c r="M73" i="1" s="1"/>
  <c r="O73" i="1" s="1"/>
  <c r="L65" i="1"/>
  <c r="M65" i="1" s="1"/>
  <c r="O65" i="1" s="1"/>
  <c r="L52" i="1"/>
  <c r="M52" i="1" s="1"/>
  <c r="O52" i="1" s="1"/>
  <c r="L95" i="1"/>
  <c r="M95" i="1" s="1"/>
  <c r="O95" i="1" s="1"/>
  <c r="L87" i="1"/>
  <c r="M87" i="1" s="1"/>
  <c r="O87" i="1" s="1"/>
  <c r="L79" i="1"/>
  <c r="M79" i="1" s="1"/>
  <c r="O79" i="1" s="1"/>
  <c r="L71" i="1"/>
  <c r="M71" i="1" s="1"/>
  <c r="O71" i="1" s="1"/>
  <c r="L63" i="1"/>
  <c r="M63" i="1" s="1"/>
  <c r="O63" i="1" s="1"/>
  <c r="L60" i="1"/>
  <c r="M60" i="1" s="1"/>
  <c r="O60" i="1" s="1"/>
  <c r="L46" i="1"/>
  <c r="M46" i="1" s="1"/>
  <c r="O46" i="1" s="1"/>
  <c r="L93" i="1"/>
  <c r="M93" i="1" s="1"/>
  <c r="O93" i="1" s="1"/>
  <c r="L92" i="1"/>
  <c r="M92" i="1" s="1"/>
  <c r="O92" i="1" s="1"/>
  <c r="L91" i="1"/>
  <c r="M91" i="1" s="1"/>
  <c r="O91" i="1" s="1"/>
  <c r="L58" i="1"/>
  <c r="M58" i="1" s="1"/>
  <c r="O58" i="1" s="1"/>
  <c r="L57" i="1"/>
  <c r="M57" i="1" s="1"/>
  <c r="O57" i="1" s="1"/>
  <c r="L40" i="1"/>
  <c r="M40" i="1" s="1"/>
  <c r="O40" i="1" s="1"/>
  <c r="L35" i="1"/>
  <c r="M35" i="1" s="1"/>
  <c r="O35" i="1" s="1"/>
  <c r="L27" i="1"/>
  <c r="M27" i="1" s="1"/>
  <c r="O27" i="1" s="1"/>
  <c r="L90" i="1"/>
  <c r="M90" i="1" s="1"/>
  <c r="O90" i="1" s="1"/>
  <c r="L88" i="1"/>
  <c r="M88" i="1" s="1"/>
  <c r="O88" i="1" s="1"/>
  <c r="L86" i="1"/>
  <c r="M86" i="1" s="1"/>
  <c r="O86" i="1" s="1"/>
  <c r="L39" i="1"/>
  <c r="M39" i="1" s="1"/>
  <c r="O39" i="1" s="1"/>
  <c r="L32" i="1"/>
  <c r="M32" i="1" s="1"/>
  <c r="O32" i="1" s="1"/>
  <c r="L82" i="1"/>
  <c r="M82" i="1" s="1"/>
  <c r="O82" i="1" s="1"/>
  <c r="L80" i="1"/>
  <c r="M80" i="1" s="1"/>
  <c r="O80" i="1" s="1"/>
  <c r="L78" i="1"/>
  <c r="M78" i="1" s="1"/>
  <c r="O78" i="1" s="1"/>
  <c r="L76" i="1"/>
  <c r="M76" i="1" s="1"/>
  <c r="O76" i="1" s="1"/>
  <c r="L59" i="1"/>
  <c r="M59" i="1" s="1"/>
  <c r="O59" i="1" s="1"/>
  <c r="L56" i="1"/>
  <c r="M56" i="1" s="1"/>
  <c r="O56" i="1" s="1"/>
  <c r="L51" i="1"/>
  <c r="M51" i="1" s="1"/>
  <c r="O51" i="1" s="1"/>
  <c r="L48" i="1"/>
  <c r="M48" i="1" s="1"/>
  <c r="O48" i="1" s="1"/>
  <c r="L22" i="1"/>
  <c r="M22" i="1" s="1"/>
  <c r="O22" i="1" s="1"/>
  <c r="L16" i="1"/>
  <c r="M16" i="1" s="1"/>
  <c r="O16" i="1" s="1"/>
  <c r="L8" i="1"/>
  <c r="M8" i="1" s="1"/>
  <c r="O8" i="1" s="1"/>
  <c r="L62" i="1"/>
  <c r="M62" i="1" s="1"/>
  <c r="O62" i="1" s="1"/>
  <c r="L44" i="1"/>
  <c r="M44" i="1" s="1"/>
  <c r="O44" i="1" s="1"/>
  <c r="L34" i="1"/>
  <c r="M34" i="1" s="1"/>
  <c r="O34" i="1" s="1"/>
  <c r="L26" i="1"/>
  <c r="M26" i="1" s="1"/>
  <c r="O26" i="1" s="1"/>
  <c r="L21" i="1"/>
  <c r="M21" i="1" s="1"/>
  <c r="O21" i="1" s="1"/>
  <c r="L13" i="1"/>
  <c r="M13" i="1" s="1"/>
  <c r="O13" i="1" s="1"/>
  <c r="L5" i="1"/>
  <c r="M5" i="1" s="1"/>
  <c r="O5" i="1" s="1"/>
  <c r="L96" i="1"/>
  <c r="M96" i="1" s="1"/>
  <c r="O96" i="1" s="1"/>
  <c r="L77" i="1"/>
  <c r="M77" i="1" s="1"/>
  <c r="O77" i="1" s="1"/>
  <c r="L74" i="1"/>
  <c r="M74" i="1" s="1"/>
  <c r="O74" i="1" s="1"/>
  <c r="L49" i="1"/>
  <c r="M49" i="1" s="1"/>
  <c r="O49" i="1" s="1"/>
  <c r="L38" i="1"/>
  <c r="M38" i="1" s="1"/>
  <c r="O38" i="1" s="1"/>
  <c r="L30" i="1"/>
  <c r="M30" i="1" s="1"/>
  <c r="O30" i="1" s="1"/>
  <c r="L25" i="1"/>
  <c r="M25" i="1" s="1"/>
  <c r="O25" i="1" s="1"/>
  <c r="L15" i="1"/>
  <c r="M15" i="1" s="1"/>
  <c r="O15" i="1" s="1"/>
  <c r="L7" i="1"/>
  <c r="M7" i="1" s="1"/>
  <c r="O7" i="1" s="1"/>
  <c r="AF55" i="1"/>
  <c r="AE37" i="1"/>
  <c r="L72" i="1"/>
  <c r="M72" i="1" s="1"/>
  <c r="O72" i="1" s="1"/>
  <c r="AB94" i="1"/>
  <c r="AE94" i="1"/>
  <c r="L43" i="1"/>
  <c r="M43" i="1" s="1"/>
  <c r="O43" i="1" s="1"/>
  <c r="L47" i="1"/>
  <c r="M47" i="1" s="1"/>
  <c r="O47" i="1" s="1"/>
  <c r="AE55" i="1"/>
  <c r="L70" i="1"/>
  <c r="M70" i="1" s="1"/>
  <c r="O70" i="1" s="1"/>
  <c r="AB54" i="1" l="1"/>
  <c r="AG54" i="1" s="1"/>
  <c r="AB6" i="1"/>
  <c r="AB29" i="1"/>
  <c r="AC29" i="1" s="1"/>
  <c r="AB33" i="1"/>
  <c r="AB19" i="1"/>
  <c r="AE4" i="1"/>
  <c r="AB69" i="1"/>
  <c r="AB42" i="1"/>
  <c r="AC42" i="1" s="1"/>
  <c r="AC55" i="1"/>
  <c r="AB11" i="1"/>
  <c r="AE85" i="1"/>
  <c r="AE84" i="1"/>
  <c r="AH55" i="1"/>
  <c r="AB10" i="1"/>
  <c r="AB18" i="1"/>
  <c r="AE18" i="1"/>
  <c r="AE41" i="1"/>
  <c r="AE36" i="1"/>
  <c r="AB36" i="1"/>
  <c r="AC36" i="1" s="1"/>
  <c r="AB31" i="1"/>
  <c r="AC31" i="1" s="1"/>
  <c r="AE31" i="1"/>
  <c r="AB83" i="1"/>
  <c r="AE83" i="1"/>
  <c r="AE64" i="1"/>
  <c r="AD55" i="1"/>
  <c r="AB68" i="1"/>
  <c r="AE50" i="1"/>
  <c r="AB28" i="1"/>
  <c r="AB24" i="1"/>
  <c r="AC24" i="1" s="1"/>
  <c r="AE24" i="1"/>
  <c r="AG55" i="1"/>
  <c r="AE56" i="1"/>
  <c r="AB56" i="1"/>
  <c r="AE39" i="1"/>
  <c r="AB39" i="1"/>
  <c r="AC28" i="1"/>
  <c r="AB34" i="1"/>
  <c r="AE34" i="1"/>
  <c r="AE87" i="1"/>
  <c r="AB87" i="1"/>
  <c r="AC85" i="1"/>
  <c r="AE74" i="1"/>
  <c r="AB74" i="1"/>
  <c r="AE95" i="1"/>
  <c r="AB95" i="1"/>
  <c r="AE93" i="1"/>
  <c r="AB93" i="1"/>
  <c r="AC12" i="1"/>
  <c r="AC69" i="1"/>
  <c r="AB7" i="1"/>
  <c r="AE7" i="1"/>
  <c r="AB96" i="1"/>
  <c r="AE96" i="1"/>
  <c r="AE8" i="1"/>
  <c r="AB8" i="1"/>
  <c r="AB78" i="1"/>
  <c r="AE78" i="1"/>
  <c r="AE27" i="1"/>
  <c r="AB27" i="1"/>
  <c r="AE46" i="1"/>
  <c r="AB46" i="1"/>
  <c r="AB65" i="1"/>
  <c r="AE65" i="1"/>
  <c r="AD66" i="1"/>
  <c r="AF66" i="1"/>
  <c r="AH66" i="1"/>
  <c r="AG66" i="1"/>
  <c r="AC66" i="1"/>
  <c r="AI66" i="1"/>
  <c r="AH54" i="1"/>
  <c r="AC45" i="1"/>
  <c r="AC23" i="1"/>
  <c r="AB51" i="1"/>
  <c r="AE51" i="1"/>
  <c r="AI67" i="1"/>
  <c r="AC67" i="1"/>
  <c r="AG67" i="1"/>
  <c r="AF67" i="1"/>
  <c r="AD67" i="1"/>
  <c r="AH67" i="1"/>
  <c r="AB47" i="1"/>
  <c r="AE47" i="1"/>
  <c r="AB86" i="1"/>
  <c r="AE86" i="1"/>
  <c r="AD64" i="1"/>
  <c r="AH64" i="1"/>
  <c r="AG64" i="1"/>
  <c r="AF64" i="1"/>
  <c r="AI64" i="1"/>
  <c r="AC64" i="1"/>
  <c r="AB43" i="1"/>
  <c r="AE43" i="1"/>
  <c r="AB88" i="1"/>
  <c r="AE88" i="1"/>
  <c r="AE77" i="1"/>
  <c r="AB77" i="1"/>
  <c r="AB52" i="1"/>
  <c r="AE52" i="1"/>
  <c r="AE16" i="1"/>
  <c r="AB16" i="1"/>
  <c r="AE60" i="1"/>
  <c r="AB60" i="1"/>
  <c r="AE73" i="1"/>
  <c r="AB73" i="1"/>
  <c r="AC33" i="1"/>
  <c r="AC53" i="1"/>
  <c r="AC61" i="1"/>
  <c r="AC6" i="1"/>
  <c r="AB72" i="1"/>
  <c r="AE72" i="1"/>
  <c r="AB26" i="1"/>
  <c r="AE26" i="1"/>
  <c r="AE79" i="1"/>
  <c r="AB79" i="1"/>
  <c r="AD14" i="1"/>
  <c r="AF14" i="1"/>
  <c r="AC14" i="1"/>
  <c r="AH14" i="1"/>
  <c r="AG14" i="1"/>
  <c r="AI14" i="1"/>
  <c r="AB49" i="1"/>
  <c r="AE49" i="1"/>
  <c r="AE91" i="1"/>
  <c r="AB91" i="1"/>
  <c r="AB59" i="1"/>
  <c r="AE59" i="1"/>
  <c r="AF19" i="1"/>
  <c r="AC19" i="1"/>
  <c r="AI19" i="1"/>
  <c r="AD19" i="1"/>
  <c r="AG19" i="1"/>
  <c r="AH19" i="1"/>
  <c r="AB76" i="1"/>
  <c r="AE76" i="1"/>
  <c r="AC9" i="1"/>
  <c r="AE5" i="1"/>
  <c r="AB5" i="1"/>
  <c r="AE35" i="1"/>
  <c r="AB35" i="1"/>
  <c r="AE25" i="1"/>
  <c r="AB25" i="1"/>
  <c r="AE13" i="1"/>
  <c r="AB13" i="1"/>
  <c r="AE22" i="1"/>
  <c r="AB22" i="1"/>
  <c r="AB82" i="1"/>
  <c r="AE82" i="1"/>
  <c r="AE40" i="1"/>
  <c r="AB40" i="1"/>
  <c r="AE63" i="1"/>
  <c r="AB63" i="1"/>
  <c r="AB81" i="1"/>
  <c r="AE81" i="1"/>
  <c r="AC75" i="1"/>
  <c r="AD17" i="1"/>
  <c r="AC17" i="1"/>
  <c r="AI17" i="1"/>
  <c r="AH17" i="1"/>
  <c r="AG17" i="1"/>
  <c r="AF17" i="1"/>
  <c r="AC41" i="1"/>
  <c r="AB38" i="1"/>
  <c r="AE38" i="1"/>
  <c r="AE58" i="1"/>
  <c r="AB58" i="1"/>
  <c r="M97" i="1"/>
  <c r="AE44" i="1"/>
  <c r="AB44" i="1"/>
  <c r="AE92" i="1"/>
  <c r="AB92" i="1"/>
  <c r="AC11" i="1"/>
  <c r="AC94" i="1"/>
  <c r="AB62" i="1"/>
  <c r="AE62" i="1"/>
  <c r="AE90" i="1"/>
  <c r="AB90" i="1"/>
  <c r="AC10" i="1"/>
  <c r="AB15" i="1"/>
  <c r="AE15" i="1"/>
  <c r="AB80" i="1"/>
  <c r="AE80" i="1"/>
  <c r="AB70" i="1"/>
  <c r="AE70" i="1"/>
  <c r="AC50" i="1"/>
  <c r="AE30" i="1"/>
  <c r="AB30" i="1"/>
  <c r="AE21" i="1"/>
  <c r="AB21" i="1"/>
  <c r="AB48" i="1"/>
  <c r="AE48" i="1"/>
  <c r="AB32" i="1"/>
  <c r="AE32" i="1"/>
  <c r="AE57" i="1"/>
  <c r="AB57" i="1"/>
  <c r="AE71" i="1"/>
  <c r="AB71" i="1"/>
  <c r="AE89" i="1"/>
  <c r="AB89" i="1"/>
  <c r="AC68" i="1"/>
  <c r="AC20" i="1"/>
  <c r="AH20" i="1"/>
  <c r="AD20" i="1"/>
  <c r="AF20" i="1"/>
  <c r="AI20" i="1"/>
  <c r="AG20" i="1"/>
  <c r="AD54" i="1" l="1"/>
  <c r="AC54" i="1"/>
  <c r="AI54" i="1"/>
  <c r="AF54" i="1"/>
  <c r="AC83" i="1"/>
  <c r="AH83" i="1"/>
  <c r="AG83" i="1"/>
  <c r="AF83" i="1"/>
  <c r="AI83" i="1"/>
  <c r="AD83" i="1"/>
  <c r="AE97" i="1"/>
  <c r="AE98" i="1" s="1"/>
  <c r="AC18" i="1"/>
  <c r="AF18" i="1"/>
  <c r="AI18" i="1"/>
  <c r="AG18" i="1"/>
  <c r="AD18" i="1"/>
  <c r="AH18" i="1"/>
  <c r="AC21" i="1"/>
  <c r="AC44" i="1"/>
  <c r="AG35" i="1"/>
  <c r="AH35" i="1"/>
  <c r="AF35" i="1"/>
  <c r="AI35" i="1"/>
  <c r="AD35" i="1"/>
  <c r="AC35" i="1"/>
  <c r="AC62" i="1"/>
  <c r="AG65" i="1"/>
  <c r="AI65" i="1"/>
  <c r="AH65" i="1"/>
  <c r="AF65" i="1"/>
  <c r="AD65" i="1"/>
  <c r="AC65" i="1"/>
  <c r="AC39" i="1"/>
  <c r="AF57" i="1"/>
  <c r="AH57" i="1"/>
  <c r="AI57" i="1"/>
  <c r="AC57" i="1"/>
  <c r="AD57" i="1"/>
  <c r="AG57" i="1"/>
  <c r="AC30" i="1"/>
  <c r="AC70" i="1"/>
  <c r="AC22" i="1"/>
  <c r="AC5" i="1"/>
  <c r="AC52" i="1"/>
  <c r="AC46" i="1"/>
  <c r="AC93" i="1"/>
  <c r="AI34" i="1"/>
  <c r="AG34" i="1"/>
  <c r="AC34" i="1"/>
  <c r="AH34" i="1"/>
  <c r="AF34" i="1"/>
  <c r="AD34" i="1"/>
  <c r="AH25" i="1"/>
  <c r="AF25" i="1"/>
  <c r="AD25" i="1"/>
  <c r="AC25" i="1"/>
  <c r="AI25" i="1"/>
  <c r="AG25" i="1"/>
  <c r="AC79" i="1"/>
  <c r="AC47" i="1"/>
  <c r="AC48" i="1"/>
  <c r="AG16" i="1"/>
  <c r="AF16" i="1"/>
  <c r="AD16" i="1"/>
  <c r="AI16" i="1"/>
  <c r="AH16" i="1"/>
  <c r="AC16" i="1"/>
  <c r="AC71" i="1"/>
  <c r="AC81" i="1"/>
  <c r="AC76" i="1"/>
  <c r="AH59" i="1"/>
  <c r="AI59" i="1"/>
  <c r="AG59" i="1"/>
  <c r="AF59" i="1"/>
  <c r="AD59" i="1"/>
  <c r="AC59" i="1"/>
  <c r="AC72" i="1"/>
  <c r="AC73" i="1"/>
  <c r="AC77" i="1"/>
  <c r="AC96" i="1"/>
  <c r="AC56" i="1"/>
  <c r="AG89" i="1"/>
  <c r="AI89" i="1"/>
  <c r="AF89" i="1"/>
  <c r="AH89" i="1"/>
  <c r="AD89" i="1"/>
  <c r="AC89" i="1"/>
  <c r="AI15" i="1"/>
  <c r="AG15" i="1"/>
  <c r="AF15" i="1"/>
  <c r="AD15" i="1"/>
  <c r="AC15" i="1"/>
  <c r="AH15" i="1"/>
  <c r="AC92" i="1"/>
  <c r="AC40" i="1"/>
  <c r="AC38" i="1"/>
  <c r="AC49" i="1"/>
  <c r="AC78" i="1"/>
  <c r="AG87" i="1"/>
  <c r="AH87" i="1"/>
  <c r="AI87" i="1"/>
  <c r="AC87" i="1"/>
  <c r="AF87" i="1"/>
  <c r="AD87" i="1"/>
  <c r="AC8" i="1"/>
  <c r="AI26" i="1"/>
  <c r="AH26" i="1"/>
  <c r="AF26" i="1"/>
  <c r="AG26" i="1"/>
  <c r="AD26" i="1"/>
  <c r="AC26" i="1"/>
  <c r="AC80" i="1"/>
  <c r="AC58" i="1"/>
  <c r="AI58" i="1"/>
  <c r="AH58" i="1"/>
  <c r="AF58" i="1"/>
  <c r="AG58" i="1"/>
  <c r="AD58" i="1"/>
  <c r="AC63" i="1"/>
  <c r="AC13" i="1"/>
  <c r="AC91" i="1"/>
  <c r="AD88" i="1"/>
  <c r="AI88" i="1"/>
  <c r="AG88" i="1"/>
  <c r="AC88" i="1"/>
  <c r="AF88" i="1"/>
  <c r="AH88" i="1"/>
  <c r="AC43" i="1"/>
  <c r="AC86" i="1"/>
  <c r="AG27" i="1"/>
  <c r="AH27" i="1"/>
  <c r="AF27" i="1"/>
  <c r="AD27" i="1"/>
  <c r="AI27" i="1"/>
  <c r="AC27" i="1"/>
  <c r="AD90" i="1"/>
  <c r="AF90" i="1"/>
  <c r="AI90" i="1"/>
  <c r="AG90" i="1"/>
  <c r="AH90" i="1"/>
  <c r="AC90" i="1"/>
  <c r="AC51" i="1"/>
  <c r="AC74" i="1"/>
  <c r="AC82" i="1"/>
  <c r="AC32" i="1"/>
  <c r="AG60" i="1"/>
  <c r="AI60" i="1"/>
  <c r="AH60" i="1"/>
  <c r="AD60" i="1"/>
  <c r="AC60" i="1"/>
  <c r="AF60" i="1"/>
  <c r="AC7" i="1"/>
  <c r="AG95" i="1"/>
  <c r="AI95" i="1"/>
  <c r="AH95" i="1"/>
  <c r="AD95" i="1"/>
  <c r="AF95" i="1"/>
  <c r="AC95" i="1"/>
  <c r="AC97" i="1" l="1"/>
  <c r="AD81" i="1" s="1"/>
  <c r="AF81" i="1" s="1"/>
  <c r="AG81" i="1" s="1"/>
  <c r="AD76" i="1" l="1"/>
  <c r="AF76" i="1" s="1"/>
  <c r="AG76" i="1" s="1"/>
  <c r="AD43" i="1"/>
  <c r="AF43" i="1" s="1"/>
  <c r="AG43" i="1" s="1"/>
  <c r="AD86" i="1"/>
  <c r="AF86" i="1" s="1"/>
  <c r="AG86" i="1" s="1"/>
  <c r="AH86" i="1" s="1"/>
  <c r="AD51" i="1"/>
  <c r="AF51" i="1" s="1"/>
  <c r="AG51" i="1" s="1"/>
  <c r="AI51" i="1" s="1"/>
  <c r="AD92" i="1"/>
  <c r="AF92" i="1" s="1"/>
  <c r="AG92" i="1" s="1"/>
  <c r="AD96" i="1"/>
  <c r="AF96" i="1" s="1"/>
  <c r="AG96" i="1" s="1"/>
  <c r="AI96" i="1" s="1"/>
  <c r="AD5" i="1"/>
  <c r="AF5" i="1" s="1"/>
  <c r="AG5" i="1" s="1"/>
  <c r="AI5" i="1" s="1"/>
  <c r="AD32" i="1"/>
  <c r="AF32" i="1" s="1"/>
  <c r="AG32" i="1" s="1"/>
  <c r="AI32" i="1" s="1"/>
  <c r="AD84" i="1"/>
  <c r="AF84" i="1" s="1"/>
  <c r="AG84" i="1" s="1"/>
  <c r="AD4" i="1"/>
  <c r="AD36" i="1"/>
  <c r="AF36" i="1" s="1"/>
  <c r="AG36" i="1" s="1"/>
  <c r="AD37" i="1"/>
  <c r="AF37" i="1" s="1"/>
  <c r="AG37" i="1" s="1"/>
  <c r="AD24" i="1"/>
  <c r="AF24" i="1" s="1"/>
  <c r="AG24" i="1" s="1"/>
  <c r="AD42" i="1"/>
  <c r="AF42" i="1" s="1"/>
  <c r="AG42" i="1" s="1"/>
  <c r="AD11" i="1"/>
  <c r="AF11" i="1" s="1"/>
  <c r="AG11" i="1" s="1"/>
  <c r="AD45" i="1"/>
  <c r="AF45" i="1" s="1"/>
  <c r="AG45" i="1" s="1"/>
  <c r="AD41" i="1"/>
  <c r="AF41" i="1" s="1"/>
  <c r="AG41" i="1" s="1"/>
  <c r="AD68" i="1"/>
  <c r="AF68" i="1" s="1"/>
  <c r="AG68" i="1" s="1"/>
  <c r="AD23" i="1"/>
  <c r="AF23" i="1" s="1"/>
  <c r="AG23" i="1" s="1"/>
  <c r="AD61" i="1"/>
  <c r="AF61" i="1" s="1"/>
  <c r="AG61" i="1" s="1"/>
  <c r="AI61" i="1" s="1"/>
  <c r="AD28" i="1"/>
  <c r="AF28" i="1" s="1"/>
  <c r="AG28" i="1" s="1"/>
  <c r="AD75" i="1"/>
  <c r="AF75" i="1" s="1"/>
  <c r="AG75" i="1" s="1"/>
  <c r="AD31" i="1"/>
  <c r="AF31" i="1" s="1"/>
  <c r="AG31" i="1" s="1"/>
  <c r="AD69" i="1"/>
  <c r="AF69" i="1" s="1"/>
  <c r="AG69" i="1" s="1"/>
  <c r="AD94" i="1"/>
  <c r="AF94" i="1" s="1"/>
  <c r="AG94" i="1" s="1"/>
  <c r="AD33" i="1"/>
  <c r="AF33" i="1" s="1"/>
  <c r="AG33" i="1" s="1"/>
  <c r="AD79" i="1"/>
  <c r="AF79" i="1" s="1"/>
  <c r="AG79" i="1" s="1"/>
  <c r="AD80" i="1"/>
  <c r="AF80" i="1" s="1"/>
  <c r="AG80" i="1" s="1"/>
  <c r="AD82" i="1"/>
  <c r="AF82" i="1" s="1"/>
  <c r="AG82" i="1" s="1"/>
  <c r="AD6" i="1"/>
  <c r="AF6" i="1" s="1"/>
  <c r="AG6" i="1" s="1"/>
  <c r="AD12" i="1"/>
  <c r="AF12" i="1" s="1"/>
  <c r="AG12" i="1" s="1"/>
  <c r="AD77" i="1"/>
  <c r="AF77" i="1" s="1"/>
  <c r="AG77" i="1" s="1"/>
  <c r="AD85" i="1"/>
  <c r="AF85" i="1" s="1"/>
  <c r="AG85" i="1" s="1"/>
  <c r="AD49" i="1"/>
  <c r="AF49" i="1" s="1"/>
  <c r="AG49" i="1" s="1"/>
  <c r="AI49" i="1" s="1"/>
  <c r="AD70" i="1"/>
  <c r="AF70" i="1" s="1"/>
  <c r="AG70" i="1" s="1"/>
  <c r="AD46" i="1"/>
  <c r="AF46" i="1" s="1"/>
  <c r="AG46" i="1" s="1"/>
  <c r="AD13" i="1"/>
  <c r="AF13" i="1" s="1"/>
  <c r="AG13" i="1" s="1"/>
  <c r="AD30" i="1"/>
  <c r="AF30" i="1" s="1"/>
  <c r="AG30" i="1" s="1"/>
  <c r="AD73" i="1"/>
  <c r="AF73" i="1" s="1"/>
  <c r="AG73" i="1" s="1"/>
  <c r="AD29" i="1"/>
  <c r="AF29" i="1" s="1"/>
  <c r="AG29" i="1" s="1"/>
  <c r="AD39" i="1"/>
  <c r="AF39" i="1" s="1"/>
  <c r="AG39" i="1" s="1"/>
  <c r="AI39" i="1" s="1"/>
  <c r="AD50" i="1"/>
  <c r="AF50" i="1" s="1"/>
  <c r="AG50" i="1" s="1"/>
  <c r="AI50" i="1" s="1"/>
  <c r="AD63" i="1"/>
  <c r="AF63" i="1" s="1"/>
  <c r="AG63" i="1" s="1"/>
  <c r="AD10" i="1"/>
  <c r="AF10" i="1" s="1"/>
  <c r="AG10" i="1" s="1"/>
  <c r="AD9" i="1"/>
  <c r="AF9" i="1" s="1"/>
  <c r="AG9" i="1" s="1"/>
  <c r="AD40" i="1"/>
  <c r="AF40" i="1" s="1"/>
  <c r="AG40" i="1" s="1"/>
  <c r="AD91" i="1"/>
  <c r="AF91" i="1" s="1"/>
  <c r="AG91" i="1" s="1"/>
  <c r="AD53" i="1"/>
  <c r="AF53" i="1" s="1"/>
  <c r="AG53" i="1" s="1"/>
  <c r="AD44" i="1"/>
  <c r="AF44" i="1" s="1"/>
  <c r="AG44" i="1" s="1"/>
  <c r="AD48" i="1"/>
  <c r="AF48" i="1" s="1"/>
  <c r="AG48" i="1" s="1"/>
  <c r="AI48" i="1" s="1"/>
  <c r="AD62" i="1"/>
  <c r="AF62" i="1" s="1"/>
  <c r="AG62" i="1" s="1"/>
  <c r="AD47" i="1"/>
  <c r="AF47" i="1" s="1"/>
  <c r="AG47" i="1" s="1"/>
  <c r="AI47" i="1" s="1"/>
  <c r="AD72" i="1"/>
  <c r="AF72" i="1" s="1"/>
  <c r="AG72" i="1" s="1"/>
  <c r="AH92" i="1"/>
  <c r="AI92" i="1"/>
  <c r="AH32" i="1"/>
  <c r="AH5" i="1"/>
  <c r="AD38" i="1"/>
  <c r="AF38" i="1" s="1"/>
  <c r="AG38" i="1" s="1"/>
  <c r="AD21" i="1"/>
  <c r="AF21" i="1" s="1"/>
  <c r="AG21" i="1" s="1"/>
  <c r="AD8" i="1"/>
  <c r="AF8" i="1" s="1"/>
  <c r="AG8" i="1" s="1"/>
  <c r="AD74" i="1"/>
  <c r="AF74" i="1" s="1"/>
  <c r="AG74" i="1" s="1"/>
  <c r="AH76" i="1"/>
  <c r="AI76" i="1"/>
  <c r="AH43" i="1"/>
  <c r="AI43" i="1"/>
  <c r="AH51" i="1"/>
  <c r="AD93" i="1"/>
  <c r="AF93" i="1" s="1"/>
  <c r="AG93" i="1" s="1"/>
  <c r="AD22" i="1"/>
  <c r="AF22" i="1" s="1"/>
  <c r="AG22" i="1" s="1"/>
  <c r="AD52" i="1"/>
  <c r="AF52" i="1" s="1"/>
  <c r="AG52" i="1" s="1"/>
  <c r="AD7" i="1"/>
  <c r="AF7" i="1" s="1"/>
  <c r="AG7" i="1" s="1"/>
  <c r="AI86" i="1"/>
  <c r="AH81" i="1"/>
  <c r="AI81" i="1"/>
  <c r="AD78" i="1"/>
  <c r="AF78" i="1" s="1"/>
  <c r="AG78" i="1" s="1"/>
  <c r="AD71" i="1"/>
  <c r="AF71" i="1" s="1"/>
  <c r="AG71" i="1" s="1"/>
  <c r="AD56" i="1"/>
  <c r="AF56" i="1" s="1"/>
  <c r="AG56" i="1" s="1"/>
  <c r="AH52" i="1" l="1"/>
  <c r="AI52" i="1"/>
  <c r="AI53" i="1"/>
  <c r="AH53" i="1"/>
  <c r="AI69" i="1"/>
  <c r="AH69" i="1"/>
  <c r="AI45" i="1"/>
  <c r="AH45" i="1"/>
  <c r="AI71" i="1"/>
  <c r="AH71" i="1"/>
  <c r="AH22" i="1"/>
  <c r="AI22" i="1"/>
  <c r="AI74" i="1"/>
  <c r="AH74" i="1"/>
  <c r="AH91" i="1"/>
  <c r="AI91" i="1"/>
  <c r="AH73" i="1"/>
  <c r="AI73" i="1"/>
  <c r="AH12" i="1"/>
  <c r="AI12" i="1"/>
  <c r="AI31" i="1"/>
  <c r="AH31" i="1"/>
  <c r="AI11" i="1"/>
  <c r="AH11" i="1"/>
  <c r="AH78" i="1"/>
  <c r="AI78" i="1"/>
  <c r="AI93" i="1"/>
  <c r="AH93" i="1"/>
  <c r="AI8" i="1"/>
  <c r="AH8" i="1"/>
  <c r="AI40" i="1"/>
  <c r="AH40" i="1"/>
  <c r="AH30" i="1"/>
  <c r="AI30" i="1"/>
  <c r="AH6" i="1"/>
  <c r="AI6" i="1"/>
  <c r="AI75" i="1"/>
  <c r="AH75" i="1"/>
  <c r="AI42" i="1"/>
  <c r="AH42" i="1"/>
  <c r="AH77" i="1"/>
  <c r="AI77" i="1"/>
  <c r="AI72" i="1"/>
  <c r="AH72" i="1"/>
  <c r="AI24" i="1"/>
  <c r="AH24" i="1"/>
  <c r="AI80" i="1"/>
  <c r="AH80" i="1"/>
  <c r="AH37" i="1"/>
  <c r="AI37" i="1"/>
  <c r="AH62" i="1"/>
  <c r="AI62" i="1"/>
  <c r="AI63" i="1"/>
  <c r="AH63" i="1"/>
  <c r="AH70" i="1"/>
  <c r="AI70" i="1"/>
  <c r="AI79" i="1"/>
  <c r="AH79" i="1"/>
  <c r="AH23" i="1"/>
  <c r="AI23" i="1"/>
  <c r="AI36" i="1"/>
  <c r="AH36" i="1"/>
  <c r="AH56" i="1"/>
  <c r="AI56" i="1"/>
  <c r="AI21" i="1"/>
  <c r="AH21" i="1"/>
  <c r="AH13" i="1"/>
  <c r="AI13" i="1"/>
  <c r="AI82" i="1"/>
  <c r="AH82" i="1"/>
  <c r="AH38" i="1"/>
  <c r="AI38" i="1"/>
  <c r="AI10" i="1"/>
  <c r="AH10" i="1"/>
  <c r="AH33" i="1"/>
  <c r="AI33" i="1"/>
  <c r="AH68" i="1"/>
  <c r="AI68" i="1"/>
  <c r="AD97" i="1"/>
  <c r="AF4" i="1"/>
  <c r="AH29" i="1"/>
  <c r="AI29" i="1"/>
  <c r="AI9" i="1"/>
  <c r="AH9" i="1"/>
  <c r="AH28" i="1"/>
  <c r="AI28" i="1"/>
  <c r="AI46" i="1"/>
  <c r="AH46" i="1"/>
  <c r="AI7" i="1"/>
  <c r="AH7" i="1"/>
  <c r="AI44" i="1"/>
  <c r="AH44" i="1"/>
  <c r="AH85" i="1"/>
  <c r="AI85" i="1"/>
  <c r="AH94" i="1"/>
  <c r="AI94" i="1"/>
  <c r="AI41" i="1"/>
  <c r="AH41" i="1"/>
  <c r="AH84" i="1"/>
  <c r="AI84" i="1"/>
  <c r="AF97" i="1" l="1"/>
  <c r="AG4" i="1"/>
  <c r="AG97" i="1" l="1"/>
  <c r="AI4" i="1"/>
  <c r="AI97" i="1" s="1"/>
  <c r="AH4" i="1"/>
</calcChain>
</file>

<file path=xl/comments1.xml><?xml version="1.0" encoding="utf-8"?>
<comments xmlns="http://schemas.openxmlformats.org/spreadsheetml/2006/main">
  <authors>
    <author>Adrienne Burchett</author>
    <author>Melissa M. Vaught</author>
  </authors>
  <commentList>
    <comment ref="F56" authorId="0" shapeId="0">
      <text>
        <r>
          <rPr>
            <sz val="9"/>
            <color indexed="81"/>
            <rFont val="Tahoma"/>
            <family val="2"/>
          </rPr>
          <t>EIA Data for May-Sept for total fuel consumed (mmBTU).</t>
        </r>
      </text>
    </comment>
    <comment ref="G56" authorId="0" shapeId="0">
      <text>
        <r>
          <rPr>
            <sz val="9"/>
            <color indexed="81"/>
            <rFont val="Tahoma"/>
            <family val="2"/>
          </rPr>
          <t>EIA Data for May-Sept for total fuel consumed (mmBTU).</t>
        </r>
      </text>
    </comment>
    <comment ref="H56" authorId="0" shapeId="0">
      <text>
        <r>
          <rPr>
            <sz val="9"/>
            <color indexed="81"/>
            <rFont val="Tahoma"/>
            <family val="2"/>
          </rPr>
          <t>EIA Data for May-Sept for total fuel consumed (mmBTU).</t>
        </r>
      </text>
    </comment>
    <comment ref="I56" authorId="0" shapeId="0">
      <text>
        <r>
          <rPr>
            <sz val="9"/>
            <color indexed="81"/>
            <rFont val="Tahoma"/>
            <family val="2"/>
          </rPr>
          <t>EIA Data for May-Sept for total fuel consumed (mmBTU).</t>
        </r>
      </text>
    </comment>
    <comment ref="J56" authorId="0" shapeId="0">
      <text>
        <r>
          <rPr>
            <sz val="9"/>
            <color indexed="81"/>
            <rFont val="Tahoma"/>
            <family val="2"/>
          </rPr>
          <t>CEMS Data for May-Sept for total fuel consumed (mmBTU).</t>
        </r>
      </text>
    </comment>
    <comment ref="P56" authorId="0" shapeId="0">
      <text>
        <r>
          <rPr>
            <b/>
            <sz val="9"/>
            <color indexed="81"/>
            <rFont val="Tahoma"/>
            <charset val="1"/>
          </rPr>
          <t>Adrienne Burchett:</t>
        </r>
        <r>
          <rPr>
            <sz val="9"/>
            <color indexed="81"/>
            <rFont val="Tahoma"/>
            <charset val="1"/>
          </rPr>
          <t xml:space="preserve">
Published EIA heat input and accepted emission factors.  See Tables 1 and 2.</t>
        </r>
      </text>
    </comment>
    <comment ref="Q56" authorId="1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R56" authorId="1" shapeId="0">
      <text>
        <r>
          <rPr>
            <b/>
            <sz val="9"/>
            <color indexed="81"/>
            <rFont val="Tahoma"/>
            <family val="2"/>
          </rPr>
          <t xml:space="preserve">Adrienne Burchett:
</t>
        </r>
        <r>
          <rPr>
            <sz val="9"/>
            <color indexed="81"/>
            <rFont val="Tahoma"/>
            <family val="2"/>
          </rPr>
          <t>Published EIA heat input and accepted emission factors.  See Tables 1 and 2.</t>
        </r>
      </text>
    </comment>
    <comment ref="S56" authorId="0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T56" authorId="0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U56" authorId="1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V56" authorId="1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Published EIA heat input and accepted emission factors.  See Tables 1 and 2.</t>
        </r>
      </text>
    </comment>
    <comment ref="W56" authorId="1" shapeId="0">
      <text>
        <r>
          <rPr>
            <b/>
            <sz val="9"/>
            <color indexed="81"/>
            <rFont val="Tahoma"/>
            <family val="2"/>
          </rPr>
          <t>Adrienne Burchett:</t>
        </r>
        <r>
          <rPr>
            <sz val="9"/>
            <color indexed="81"/>
            <rFont val="Tahoma"/>
            <family val="2"/>
          </rPr>
          <t xml:space="preserve">
CAMD</t>
        </r>
      </text>
    </comment>
  </commentList>
</comments>
</file>

<file path=xl/sharedStrings.xml><?xml version="1.0" encoding="utf-8"?>
<sst xmlns="http://schemas.openxmlformats.org/spreadsheetml/2006/main" count="424" uniqueCount="192">
  <si>
    <t>Step 1</t>
  </si>
  <si>
    <t>Steps 2 &amp; 3</t>
  </si>
  <si>
    <t>Step 4</t>
  </si>
  <si>
    <t>Step 5</t>
  </si>
  <si>
    <t>Step 6</t>
  </si>
  <si>
    <t>Step 7</t>
  </si>
  <si>
    <t>Step 8</t>
  </si>
  <si>
    <t>Steps 9 &amp; 10</t>
  </si>
  <si>
    <t>Data Flags</t>
  </si>
  <si>
    <t>Reapportionment Analysis - Revised Calculations</t>
  </si>
  <si>
    <t>Plant Name</t>
  </si>
  <si>
    <t>State</t>
  </si>
  <si>
    <t>ORIS ID</t>
  </si>
  <si>
    <t>Boiler ID</t>
  </si>
  <si>
    <t>CAMD Unit ID</t>
  </si>
  <si>
    <t>2011 Ozone Season Heat Input (mmBtu)</t>
  </si>
  <si>
    <t>2012 Ozone Season Heat Input (mmBtu)</t>
  </si>
  <si>
    <t>2013 Ozone Season Heat Input (mmBtu)</t>
  </si>
  <si>
    <t>2014 Ozone Season Heat Input (mmBtu)</t>
  </si>
  <si>
    <t>2015 Ozone Season Heat Input (mmBtu)</t>
  </si>
  <si>
    <t>Unit Level Average of 3 Highest Non-Zero Ozone Season Heat Inputs from 2011 to 2015 (mmBtu)</t>
  </si>
  <si>
    <t>State Level Summation of Unit Level Three Year Average Ozone Season Heat Input (mmBtu)</t>
  </si>
  <si>
    <t>Unit 's Percentage Share of State's Ozone Season Heat Input</t>
  </si>
  <si>
    <r>
      <t>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2017 State Budget for Existing Units (tons)</t>
    </r>
  </si>
  <si>
    <r>
      <t>Initial Heat Input Based 2017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Allocation (tons)</t>
    </r>
  </si>
  <si>
    <r>
      <t>2008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</si>
  <si>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2009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</si>
  <si>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2010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</si>
  <si>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2011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</si>
  <si>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2012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</si>
  <si>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2013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</si>
  <si>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2014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</si>
  <si>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2015 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Emissions (tons)</t>
    </r>
  </si>
  <si>
    <r>
      <t>Ozone Season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Maximum Historic Baseline (tons)</t>
    </r>
  </si>
  <si>
    <r>
      <t>Final Transport Rule Unit Level NO</t>
    </r>
    <r>
      <rPr>
        <b/>
        <vertAlign val="subscript"/>
        <sz val="9"/>
        <color indexed="8"/>
        <rFont val="Arial"/>
        <family val="2"/>
      </rPr>
      <t>X</t>
    </r>
    <r>
      <rPr>
        <b/>
        <sz val="9"/>
        <color indexed="8"/>
        <rFont val="Arial"/>
        <family val="2"/>
      </rPr>
      <t xml:space="preserve"> Ozone Season Allocation 2017 (tons)</t>
    </r>
  </si>
  <si>
    <t>EIA Data Substitution</t>
  </si>
  <si>
    <t xml:space="preserve">Calculate X - O to determine if reaportionment is applied. </t>
  </si>
  <si>
    <t>If AB = (+), then include the heat input for each source to determine reapportionment</t>
  </si>
  <si>
    <t>For reaportionment if O &lt; X (portion of max heat rate for past 5 years is less than maximum emission rate for past 8 years)</t>
  </si>
  <si>
    <t>% Diff of EPA All. And Calc All.</t>
  </si>
  <si>
    <t>Total Allocation Check</t>
  </si>
  <si>
    <t>Calculation</t>
  </si>
  <si>
    <t>Average of three highest non-zero values in columns F - J</t>
  </si>
  <si>
    <t>Sum column K values to get State level totals</t>
  </si>
  <si>
    <t>Column K divided by column L</t>
  </si>
  <si>
    <t>Column M x column N</t>
  </si>
  <si>
    <t>Highest value of columns P - W</t>
  </si>
  <si>
    <t>(Lesser of columns X and O + reapportionment if O &lt; X</t>
  </si>
  <si>
    <t>If (-), then O &gt; X and no reapportionment</t>
  </si>
  <si>
    <t>If (+), Heat Input (MMBtu)</t>
  </si>
  <si>
    <t>Fraction of Total Heat Input</t>
  </si>
  <si>
    <t>Min of X,O</t>
  </si>
  <si>
    <t>Reaportionment</t>
  </si>
  <si>
    <t>AES Shady Point</t>
  </si>
  <si>
    <t>Oklahoma</t>
  </si>
  <si>
    <t>1A</t>
  </si>
  <si>
    <t>1B</t>
  </si>
  <si>
    <t>2A</t>
  </si>
  <si>
    <t>2B</t>
  </si>
  <si>
    <t>Anadarko</t>
  </si>
  <si>
    <t>3</t>
  </si>
  <si>
    <t>7</t>
  </si>
  <si>
    <t>8</t>
  </si>
  <si>
    <t>9</t>
  </si>
  <si>
    <t>10</t>
  </si>
  <si>
    <t>11</t>
  </si>
  <si>
    <t>Anadarko Plant</t>
  </si>
  <si>
    <t>4</t>
  </si>
  <si>
    <t>5</t>
  </si>
  <si>
    <t>6</t>
  </si>
  <si>
    <t>Chouteau Power Plant</t>
  </si>
  <si>
    <t>1</t>
  </si>
  <si>
    <t>2</t>
  </si>
  <si>
    <t>Comanche (8059)</t>
  </si>
  <si>
    <t>7251</t>
  </si>
  <si>
    <t>7252</t>
  </si>
  <si>
    <t>Grand River Dam Authority</t>
  </si>
  <si>
    <t>Green Country Energy, LLC</t>
  </si>
  <si>
    <t>CTGEN1</t>
  </si>
  <si>
    <t>CTGEN2</t>
  </si>
  <si>
    <t>CTGEN3</t>
  </si>
  <si>
    <t>Horseshoe Lake</t>
  </si>
  <si>
    <t>Hugo</t>
  </si>
  <si>
    <t>McClain Energy Facility</t>
  </si>
  <si>
    <t>CT1</t>
  </si>
  <si>
    <t>CT2</t>
  </si>
  <si>
    <t>Mooreland</t>
  </si>
  <si>
    <t>Muskogee</t>
  </si>
  <si>
    <t>Mustang</t>
  </si>
  <si>
    <t>5A-1</t>
  </si>
  <si>
    <t>5A-2</t>
  </si>
  <si>
    <t>5B-1</t>
  </si>
  <si>
    <t>5B-2</t>
  </si>
  <si>
    <t>Northeastern</t>
  </si>
  <si>
    <t>3302</t>
  </si>
  <si>
    <t>3313</t>
  </si>
  <si>
    <t>3314</t>
  </si>
  <si>
    <t>3301A</t>
  </si>
  <si>
    <t>3301B</t>
  </si>
  <si>
    <t>Oklahoma Cogeneration LLC</t>
  </si>
  <si>
    <t>CC01</t>
  </si>
  <si>
    <t>Oneta Energy Center</t>
  </si>
  <si>
    <t>CTG-1</t>
  </si>
  <si>
    <t>CTG-2</t>
  </si>
  <si>
    <t>CTG-3</t>
  </si>
  <si>
    <t>CTG-4</t>
  </si>
  <si>
    <t>Ponca</t>
  </si>
  <si>
    <t>Redbud Power Plant</t>
  </si>
  <si>
    <t>CT-01</t>
  </si>
  <si>
    <t>CT-02</t>
  </si>
  <si>
    <t>CT-03</t>
  </si>
  <si>
    <t>CT-04</t>
  </si>
  <si>
    <t>Riverside (4940)</t>
  </si>
  <si>
    <t>1501</t>
  </si>
  <si>
    <t>1502</t>
  </si>
  <si>
    <t>1503</t>
  </si>
  <si>
    <t>1504</t>
  </si>
  <si>
    <t>Seminole (2956)</t>
  </si>
  <si>
    <t>Sooner</t>
  </si>
  <si>
    <t>Southwestern</t>
  </si>
  <si>
    <t>8002</t>
  </si>
  <si>
    <t>8003</t>
  </si>
  <si>
    <t>8004</t>
  </si>
  <si>
    <t>8005</t>
  </si>
  <si>
    <t>801N</t>
  </si>
  <si>
    <t>801S</t>
  </si>
  <si>
    <t>Spring Creek Power Plant</t>
  </si>
  <si>
    <t>Tenaska Kiamichi Generating Station</t>
  </si>
  <si>
    <t>CTGDB1</t>
  </si>
  <si>
    <t>CTGDB2</t>
  </si>
  <si>
    <t>CTGDB3</t>
  </si>
  <si>
    <t>CTGDB4</t>
  </si>
  <si>
    <t>Tulsa</t>
  </si>
  <si>
    <t>1402</t>
  </si>
  <si>
    <t>1403</t>
  </si>
  <si>
    <t>1404</t>
  </si>
  <si>
    <t>Weleetka</t>
  </si>
  <si>
    <t>State Level All. =</t>
  </si>
  <si>
    <t>TOTAL</t>
  </si>
  <si>
    <t>Difference between Min X,O and State All. =</t>
  </si>
  <si>
    <t>to determine reapportionment</t>
  </si>
  <si>
    <t>Oklahoma Cogeneration, LLC</t>
  </si>
  <si>
    <t>Historical Ozone Season Data Based on EIA Published Data and Accepted Emission Calculation Methodology</t>
  </si>
  <si>
    <t>Summary of Historical Operating Hours, Fuel Consumption, and Emissions (2008 - 2015)</t>
  </si>
  <si>
    <t>Table 1</t>
  </si>
  <si>
    <t>Historical Heat Input Rate and Emissions Summaries for Past Ozone Seasons Using Published EIA Data, Accepted Emission Factors, and CEMS Data (when available)</t>
  </si>
  <si>
    <t xml:space="preserve">Ozone Season </t>
  </si>
  <si>
    <t xml:space="preserve">Total Operations </t>
  </si>
  <si>
    <t>Startup (SU) and Shutdown (SD) Operations</t>
  </si>
  <si>
    <t>Duct Firing Hours</t>
  </si>
  <si>
    <t>Gas Turbine Heat Input from EIA</t>
  </si>
  <si>
    <t>Gas Turbine Heat Input During SU &amp; SD</t>
  </si>
  <si>
    <t>Duct Burner Heat Input from EIA</t>
  </si>
  <si>
    <t>Total Fuel Consumption from EIA</t>
  </si>
  <si>
    <r>
      <t xml:space="preserve">Gas Turbine  Normal Ops NOx Emissions </t>
    </r>
    <r>
      <rPr>
        <b/>
        <vertAlign val="superscript"/>
        <sz val="10"/>
        <rFont val="Calibri"/>
        <family val="2"/>
        <scheme val="minor"/>
      </rPr>
      <t>c</t>
    </r>
  </si>
  <si>
    <r>
      <t xml:space="preserve">Gas Turbine  SU &amp; SD NOx Emissions </t>
    </r>
    <r>
      <rPr>
        <b/>
        <vertAlign val="superscript"/>
        <sz val="10"/>
        <rFont val="Calibri"/>
        <family val="2"/>
        <scheme val="minor"/>
      </rPr>
      <t>c</t>
    </r>
  </si>
  <si>
    <r>
      <t xml:space="preserve">Duct Burner NOx Emissions </t>
    </r>
    <r>
      <rPr>
        <b/>
        <vertAlign val="superscript"/>
        <sz val="10"/>
        <rFont val="Calibri"/>
        <family val="2"/>
        <scheme val="minor"/>
      </rPr>
      <t>c</t>
    </r>
  </si>
  <si>
    <r>
      <t xml:space="preserve">Total NOx  Emissions </t>
    </r>
    <r>
      <rPr>
        <b/>
        <vertAlign val="superscript"/>
        <sz val="10"/>
        <rFont val="Calibri"/>
        <family val="2"/>
        <scheme val="minor"/>
      </rPr>
      <t>c</t>
    </r>
    <r>
      <rPr>
        <b/>
        <sz val="10"/>
        <rFont val="Calibri"/>
        <family val="2"/>
        <scheme val="minor"/>
      </rPr>
      <t xml:space="preserve"> </t>
    </r>
  </si>
  <si>
    <t>Notes</t>
  </si>
  <si>
    <t>Hours</t>
  </si>
  <si>
    <t>MMBTU</t>
  </si>
  <si>
    <t>Tons</t>
  </si>
  <si>
    <t xml:space="preserve">Tons </t>
  </si>
  <si>
    <t>b</t>
  </si>
  <si>
    <t>a-1</t>
  </si>
  <si>
    <t>a-2</t>
  </si>
  <si>
    <t>NOx Emission Factors (2008 - 2014)</t>
  </si>
  <si>
    <t>Table 2</t>
  </si>
  <si>
    <t>Operations For Each Emission Factor</t>
  </si>
  <si>
    <r>
      <t xml:space="preserve">NOx Emission Factor </t>
    </r>
    <r>
      <rPr>
        <b/>
        <vertAlign val="superscript"/>
        <sz val="10"/>
        <rFont val="Calibri"/>
        <family val="2"/>
        <scheme val="minor"/>
      </rPr>
      <t>b</t>
    </r>
  </si>
  <si>
    <t>NOx Emission Factor Units</t>
  </si>
  <si>
    <t xml:space="preserve">NOx Emission Factor Basis </t>
  </si>
  <si>
    <t>Gas Turbine, Normal Operations</t>
  </si>
  <si>
    <t>lb/MMBTU</t>
  </si>
  <si>
    <t>b-1</t>
  </si>
  <si>
    <t>Gas Turbine, Startup and Shutdown</t>
  </si>
  <si>
    <t>b-2</t>
  </si>
  <si>
    <t>Duct Burner</t>
  </si>
  <si>
    <t>b-3</t>
  </si>
  <si>
    <t xml:space="preserve">Based on temporary CEMS data.  Emissions are reported for the combined stack, only.  </t>
  </si>
  <si>
    <t xml:space="preserve">Based on permanent CEMS data. Emissions are reported for the combined stack, only.  </t>
  </si>
  <si>
    <t>NOx emission factors are based on the best available emission calculation methodology at the time:</t>
  </si>
  <si>
    <t>1989 Stack Test, 100% Gas Turbine Load, No Duct Firing, Steam Injection Operational (NOx emission controls)</t>
  </si>
  <si>
    <t xml:space="preserve">Since gas turbine and duct burner emissions are considered separately, each emission factor represents the emissions from the respective unit, only. </t>
  </si>
  <si>
    <r>
      <t xml:space="preserve">GE 7E Gas Turbine Technical Bulletin (GER-3435.pdf, Page 7, Figure 7 at maximum firing temperature of 2,075 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>F).</t>
    </r>
  </si>
  <si>
    <t>1996 Stack Test, Duct Burner Contribution, Only</t>
  </si>
  <si>
    <t>c</t>
  </si>
  <si>
    <t xml:space="preserve">Emissions Calculation Equations: </t>
  </si>
  <si>
    <t>Emissions (Tons) = [ Emission Factor (lb/MMBTU) * Fuel Consumption (MMBTU) ] / 2000 (lb/Ton) ]</t>
  </si>
  <si>
    <t>Total Emissions (Tons) = Gas Turbine Normal Ops Emissions (Tons) + Gas Turbine SU &amp; SD Emissions (Tons) + Duct Burner Emissions (Tons)</t>
  </si>
  <si>
    <t>Calculated Allocations - Revised for OK Cogen</t>
  </si>
  <si>
    <t>Attachment A-2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</si>
</sst>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00"/>
    <numFmt numFmtId="165" formatCode="0.000000"/>
    <numFmt numFmtId="166" formatCode="#,##0.00000"/>
    <numFmt numFmtId="167" formatCode="yyyy"/>
    <numFmt numFmtId="168" formatCode="0.000"/>
  </numFmts>
  <fonts count="2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color rgb="FF7030A0"/>
      <name val="Calibri"/>
      <family val="2"/>
      <scheme val="minor"/>
    </font>
    <font>
      <sz val="9"/>
      <color rgb="FF7030A0"/>
      <name val="Calibri"/>
      <family val="2"/>
      <scheme val="minor"/>
    </font>
    <font>
      <b/>
      <vertAlign val="subscript"/>
      <sz val="9"/>
      <color indexed="8"/>
      <name val="Arial"/>
      <family val="2"/>
    </font>
    <font>
      <b/>
      <sz val="9"/>
      <color indexed="8"/>
      <name val="Times New Roman"/>
      <family val="1"/>
    </font>
    <font>
      <b/>
      <sz val="8"/>
      <color indexed="8"/>
      <name val="Times New Roman"/>
      <family val="1"/>
    </font>
    <font>
      <sz val="9"/>
      <color rgb="FFFF0000"/>
      <name val="Arial"/>
      <family val="2"/>
    </font>
    <font>
      <sz val="9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Arial"/>
      <family val="2"/>
    </font>
    <font>
      <vertAlign val="superscript"/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6" fillId="0" borderId="0"/>
    <xf numFmtId="0" fontId="21" fillId="0" borderId="0"/>
  </cellStyleXfs>
  <cellXfs count="126">
    <xf numFmtId="0" fontId="0" fillId="0" borderId="0" xfId="0"/>
    <xf numFmtId="0" fontId="2" fillId="0" borderId="1" xfId="1" applyFont="1" applyFill="1" applyBorder="1" applyAlignment="1">
      <alignment horizontal="left" wrapText="1"/>
    </xf>
    <xf numFmtId="1" fontId="3" fillId="0" borderId="0" xfId="0" applyNumberFormat="1" applyFont="1" applyBorder="1" applyAlignment="1"/>
    <xf numFmtId="49" fontId="3" fillId="0" borderId="0" xfId="0" applyNumberFormat="1" applyFont="1" applyBorder="1" applyAlignment="1"/>
    <xf numFmtId="3" fontId="4" fillId="3" borderId="0" xfId="0" applyNumberFormat="1" applyFont="1" applyFill="1" applyBorder="1" applyAlignment="1">
      <alignment horizontal="center"/>
    </xf>
    <xf numFmtId="3" fontId="4" fillId="4" borderId="0" xfId="0" applyNumberFormat="1" applyFont="1" applyFill="1" applyBorder="1" applyAlignment="1">
      <alignment horizontal="center"/>
    </xf>
    <xf numFmtId="164" fontId="4" fillId="5" borderId="0" xfId="0" applyNumberFormat="1" applyFont="1" applyFill="1" applyBorder="1" applyAlignment="1">
      <alignment horizontal="center"/>
    </xf>
    <xf numFmtId="3" fontId="4" fillId="8" borderId="1" xfId="0" applyNumberFormat="1" applyFont="1" applyFill="1" applyBorder="1" applyAlignment="1">
      <alignment horizontal="center"/>
    </xf>
    <xf numFmtId="3" fontId="4" fillId="9" borderId="1" xfId="0" applyNumberFormat="1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4" fillId="0" borderId="0" xfId="0" applyFont="1"/>
    <xf numFmtId="0" fontId="5" fillId="0" borderId="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2" fillId="11" borderId="5" xfId="0" applyFont="1" applyFill="1" applyBorder="1" applyAlignment="1">
      <alignment wrapText="1"/>
    </xf>
    <xf numFmtId="1" fontId="2" fillId="11" borderId="5" xfId="0" applyNumberFormat="1" applyFont="1" applyFill="1" applyBorder="1" applyAlignment="1">
      <alignment wrapText="1"/>
    </xf>
    <xf numFmtId="49" fontId="2" fillId="11" borderId="5" xfId="0" applyNumberFormat="1" applyFont="1" applyFill="1" applyBorder="1" applyAlignment="1">
      <alignment wrapText="1"/>
    </xf>
    <xf numFmtId="3" fontId="2" fillId="2" borderId="5" xfId="1" applyNumberFormat="1" applyFont="1" applyFill="1" applyBorder="1" applyAlignment="1">
      <alignment wrapText="1"/>
    </xf>
    <xf numFmtId="3" fontId="2" fillId="3" borderId="5" xfId="1" applyNumberFormat="1" applyFont="1" applyFill="1" applyBorder="1" applyAlignment="1">
      <alignment wrapText="1"/>
    </xf>
    <xf numFmtId="3" fontId="2" fillId="4" borderId="5" xfId="1" applyNumberFormat="1" applyFont="1" applyFill="1" applyBorder="1" applyAlignment="1">
      <alignment wrapText="1"/>
    </xf>
    <xf numFmtId="165" fontId="2" fillId="5" borderId="5" xfId="1" applyNumberFormat="1" applyFont="1" applyFill="1" applyBorder="1" applyAlignment="1">
      <alignment wrapText="1"/>
    </xf>
    <xf numFmtId="3" fontId="2" fillId="6" borderId="5" xfId="1" applyNumberFormat="1" applyFont="1" applyFill="1" applyBorder="1" applyAlignment="1">
      <alignment wrapText="1"/>
    </xf>
    <xf numFmtId="3" fontId="2" fillId="7" borderId="5" xfId="0" applyNumberFormat="1" applyFont="1" applyFill="1" applyBorder="1" applyAlignment="1">
      <alignment wrapText="1"/>
    </xf>
    <xf numFmtId="3" fontId="2" fillId="8" borderId="5" xfId="0" applyNumberFormat="1" applyFont="1" applyFill="1" applyBorder="1" applyAlignment="1">
      <alignment wrapText="1"/>
    </xf>
    <xf numFmtId="3" fontId="2" fillId="9" borderId="5" xfId="0" applyNumberFormat="1" applyFont="1" applyFill="1" applyBorder="1" applyAlignment="1">
      <alignment wrapText="1"/>
    </xf>
    <xf numFmtId="0" fontId="2" fillId="1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0" fontId="8" fillId="11" borderId="5" xfId="2" applyFont="1" applyFill="1" applyBorder="1" applyAlignment="1">
      <alignment wrapText="1"/>
    </xf>
    <xf numFmtId="1" fontId="8" fillId="11" borderId="5" xfId="2" applyNumberFormat="1" applyFont="1" applyFill="1" applyBorder="1" applyAlignment="1">
      <alignment wrapText="1"/>
    </xf>
    <xf numFmtId="49" fontId="8" fillId="11" borderId="5" xfId="2" applyNumberFormat="1" applyFont="1" applyFill="1" applyBorder="1" applyAlignment="1">
      <alignment wrapText="1"/>
    </xf>
    <xf numFmtId="3" fontId="8" fillId="2" borderId="5" xfId="1" applyNumberFormat="1" applyFont="1" applyFill="1" applyBorder="1" applyAlignment="1">
      <alignment wrapText="1"/>
    </xf>
    <xf numFmtId="3" fontId="8" fillId="3" borderId="5" xfId="1" applyNumberFormat="1" applyFont="1" applyFill="1" applyBorder="1" applyAlignment="1">
      <alignment wrapText="1"/>
    </xf>
    <xf numFmtId="3" fontId="8" fillId="4" borderId="5" xfId="1" applyNumberFormat="1" applyFont="1" applyFill="1" applyBorder="1" applyAlignment="1">
      <alignment wrapText="1"/>
    </xf>
    <xf numFmtId="165" fontId="8" fillId="5" borderId="5" xfId="1" applyNumberFormat="1" applyFont="1" applyFill="1" applyBorder="1" applyAlignment="1">
      <alignment wrapText="1"/>
    </xf>
    <xf numFmtId="3" fontId="8" fillId="6" borderId="5" xfId="1" applyNumberFormat="1" applyFont="1" applyFill="1" applyBorder="1" applyAlignment="1">
      <alignment wrapText="1"/>
    </xf>
    <xf numFmtId="3" fontId="8" fillId="7" borderId="5" xfId="2" applyNumberFormat="1" applyFont="1" applyFill="1" applyBorder="1" applyAlignment="1">
      <alignment wrapText="1"/>
    </xf>
    <xf numFmtId="3" fontId="8" fillId="8" borderId="5" xfId="2" applyNumberFormat="1" applyFont="1" applyFill="1" applyBorder="1" applyAlignment="1">
      <alignment wrapText="1"/>
    </xf>
    <xf numFmtId="3" fontId="9" fillId="9" borderId="5" xfId="2" applyNumberFormat="1" applyFont="1" applyFill="1" applyBorder="1" applyAlignment="1">
      <alignment wrapText="1"/>
    </xf>
    <xf numFmtId="3" fontId="8" fillId="10" borderId="5" xfId="2" applyNumberFormat="1" applyFont="1" applyFill="1" applyBorder="1" applyAlignment="1">
      <alignment wrapText="1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Font="1" applyBorder="1" applyAlignment="1"/>
    <xf numFmtId="1" fontId="3" fillId="0" borderId="5" xfId="0" applyNumberFormat="1" applyFont="1" applyBorder="1" applyAlignment="1"/>
    <xf numFmtId="49" fontId="3" fillId="0" borderId="5" xfId="0" applyNumberFormat="1" applyFont="1" applyBorder="1" applyAlignment="1"/>
    <xf numFmtId="3" fontId="3" fillId="0" borderId="5" xfId="0" applyNumberFormat="1" applyFont="1" applyFill="1" applyBorder="1" applyAlignment="1"/>
    <xf numFmtId="3" fontId="10" fillId="0" borderId="5" xfId="0" applyNumberFormat="1" applyFont="1" applyFill="1" applyBorder="1" applyAlignment="1"/>
    <xf numFmtId="164" fontId="10" fillId="0" borderId="5" xfId="0" applyNumberFormat="1" applyFont="1" applyFill="1" applyBorder="1" applyAlignment="1"/>
    <xf numFmtId="3" fontId="2" fillId="0" borderId="5" xfId="0" applyNumberFormat="1" applyFont="1" applyFill="1" applyBorder="1" applyAlignment="1"/>
    <xf numFmtId="0" fontId="3" fillId="0" borderId="0" xfId="0" applyFont="1" applyFill="1" applyBorder="1" applyAlignment="1"/>
    <xf numFmtId="3" fontId="6" fillId="0" borderId="5" xfId="0" applyNumberFormat="1" applyFont="1" applyFill="1" applyBorder="1" applyAlignment="1"/>
    <xf numFmtId="166" fontId="6" fillId="0" borderId="5" xfId="0" applyNumberFormat="1" applyFont="1" applyFill="1" applyBorder="1" applyAlignment="1"/>
    <xf numFmtId="2" fontId="6" fillId="0" borderId="5" xfId="0" applyNumberFormat="1" applyFont="1" applyFill="1" applyBorder="1" applyAlignment="1"/>
    <xf numFmtId="0" fontId="6" fillId="0" borderId="5" xfId="0" applyFont="1" applyFill="1" applyBorder="1" applyAlignment="1"/>
    <xf numFmtId="0" fontId="3" fillId="12" borderId="5" xfId="0" applyFont="1" applyFill="1" applyBorder="1" applyAlignment="1"/>
    <xf numFmtId="1" fontId="3" fillId="12" borderId="5" xfId="0" applyNumberFormat="1" applyFont="1" applyFill="1" applyBorder="1" applyAlignment="1"/>
    <xf numFmtId="49" fontId="3" fillId="12" borderId="5" xfId="0" applyNumberFormat="1" applyFont="1" applyFill="1" applyBorder="1" applyAlignment="1"/>
    <xf numFmtId="3" fontId="10" fillId="12" borderId="5" xfId="0" applyNumberFormat="1" applyFont="1" applyFill="1" applyBorder="1" applyAlignment="1"/>
    <xf numFmtId="164" fontId="10" fillId="12" borderId="5" xfId="0" applyNumberFormat="1" applyFont="1" applyFill="1" applyBorder="1" applyAlignment="1"/>
    <xf numFmtId="3" fontId="3" fillId="12" borderId="5" xfId="0" applyNumberFormat="1" applyFont="1" applyFill="1" applyBorder="1" applyAlignment="1"/>
    <xf numFmtId="3" fontId="2" fillId="12" borderId="5" xfId="0" applyNumberFormat="1" applyFont="1" applyFill="1" applyBorder="1" applyAlignment="1"/>
    <xf numFmtId="0" fontId="3" fillId="12" borderId="0" xfId="0" applyFont="1" applyFill="1" applyBorder="1" applyAlignment="1"/>
    <xf numFmtId="3" fontId="6" fillId="12" borderId="5" xfId="0" applyNumberFormat="1" applyFont="1" applyFill="1" applyBorder="1" applyAlignment="1"/>
    <xf numFmtId="166" fontId="6" fillId="12" borderId="5" xfId="0" applyNumberFormat="1" applyFont="1" applyFill="1" applyBorder="1" applyAlignment="1"/>
    <xf numFmtId="2" fontId="6" fillId="12" borderId="5" xfId="0" applyNumberFormat="1" applyFont="1" applyFill="1" applyBorder="1" applyAlignment="1"/>
    <xf numFmtId="2" fontId="5" fillId="12" borderId="5" xfId="0" applyNumberFormat="1" applyFont="1" applyFill="1" applyBorder="1" applyAlignment="1"/>
    <xf numFmtId="0" fontId="6" fillId="12" borderId="5" xfId="0" applyFont="1" applyFill="1" applyBorder="1" applyAlignment="1"/>
    <xf numFmtId="0" fontId="4" fillId="12" borderId="0" xfId="0" applyFont="1" applyFill="1"/>
    <xf numFmtId="3" fontId="11" fillId="0" borderId="0" xfId="0" applyNumberFormat="1" applyFont="1"/>
    <xf numFmtId="164" fontId="11" fillId="0" borderId="0" xfId="0" applyNumberFormat="1" applyFont="1"/>
    <xf numFmtId="0" fontId="11" fillId="0" borderId="0" xfId="0" applyFont="1" applyAlignment="1">
      <alignment horizontal="right"/>
    </xf>
    <xf numFmtId="0" fontId="6" fillId="0" borderId="0" xfId="0" applyFont="1" applyFill="1" applyBorder="1" applyAlignment="1"/>
    <xf numFmtId="3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right"/>
    </xf>
    <xf numFmtId="0" fontId="6" fillId="0" borderId="0" xfId="0" applyFont="1"/>
    <xf numFmtId="0" fontId="18" fillId="0" borderId="0" xfId="3" applyFont="1" applyFill="1"/>
    <xf numFmtId="0" fontId="17" fillId="0" borderId="0" xfId="3" applyFont="1" applyFill="1" applyAlignment="1">
      <alignment horizontal="center" wrapText="1"/>
    </xf>
    <xf numFmtId="0" fontId="19" fillId="0" borderId="0" xfId="3" applyFont="1" applyFill="1"/>
    <xf numFmtId="0" fontId="19" fillId="0" borderId="5" xfId="3" applyFont="1" applyFill="1" applyBorder="1" applyAlignment="1">
      <alignment horizontal="left" vertical="center" wrapText="1"/>
    </xf>
    <xf numFmtId="0" fontId="19" fillId="0" borderId="5" xfId="3" applyFont="1" applyFill="1" applyBorder="1" applyAlignment="1">
      <alignment horizontal="center" vertical="center" wrapText="1"/>
    </xf>
    <xf numFmtId="0" fontId="18" fillId="0" borderId="0" xfId="3" applyFont="1" applyFill="1" applyAlignment="1">
      <alignment wrapText="1"/>
    </xf>
    <xf numFmtId="0" fontId="19" fillId="0" borderId="5" xfId="3" applyFont="1" applyFill="1" applyBorder="1" applyAlignment="1">
      <alignment wrapText="1"/>
    </xf>
    <xf numFmtId="0" fontId="18" fillId="0" borderId="5" xfId="3" applyFont="1" applyFill="1" applyBorder="1" applyAlignment="1">
      <alignment wrapText="1"/>
    </xf>
    <xf numFmtId="167" fontId="18" fillId="0" borderId="5" xfId="4" applyNumberFormat="1" applyFont="1" applyBorder="1" applyAlignment="1">
      <alignment horizontal="left"/>
    </xf>
    <xf numFmtId="3" fontId="18" fillId="0" borderId="5" xfId="0" applyNumberFormat="1" applyFont="1" applyBorder="1" applyAlignment="1">
      <alignment horizontal="right" vertical="center"/>
    </xf>
    <xf numFmtId="3" fontId="19" fillId="0" borderId="5" xfId="3" applyNumberFormat="1" applyFont="1" applyFill="1" applyBorder="1"/>
    <xf numFmtId="3" fontId="19" fillId="0" borderId="5" xfId="0" applyNumberFormat="1" applyFont="1" applyFill="1" applyBorder="1" applyAlignment="1">
      <alignment horizontal="right" vertical="center"/>
    </xf>
    <xf numFmtId="0" fontId="22" fillId="0" borderId="5" xfId="3" applyFont="1" applyFill="1" applyBorder="1"/>
    <xf numFmtId="3" fontId="19" fillId="0" borderId="5" xfId="0" applyNumberFormat="1" applyFont="1" applyBorder="1" applyAlignment="1">
      <alignment horizontal="right" vertical="center"/>
    </xf>
    <xf numFmtId="167" fontId="18" fillId="0" borderId="0" xfId="4" applyNumberFormat="1" applyFont="1" applyBorder="1" applyAlignment="1">
      <alignment horizontal="left"/>
    </xf>
    <xf numFmtId="3" fontId="18" fillId="0" borderId="0" xfId="0" applyNumberFormat="1" applyFont="1" applyBorder="1" applyAlignment="1">
      <alignment horizontal="right" vertical="center"/>
    </xf>
    <xf numFmtId="0" fontId="22" fillId="0" borderId="0" xfId="3" applyFont="1" applyFill="1" applyBorder="1"/>
    <xf numFmtId="3" fontId="19" fillId="0" borderId="0" xfId="0" applyNumberFormat="1" applyFont="1" applyBorder="1" applyAlignment="1">
      <alignment horizontal="right" vertical="center"/>
    </xf>
    <xf numFmtId="3" fontId="19" fillId="0" borderId="0" xfId="0" applyNumberFormat="1" applyFont="1" applyFill="1" applyBorder="1" applyAlignment="1">
      <alignment horizontal="right" vertical="center"/>
    </xf>
    <xf numFmtId="168" fontId="19" fillId="0" borderId="11" xfId="3" applyNumberFormat="1" applyFont="1" applyFill="1" applyBorder="1" applyAlignment="1">
      <alignment horizontal="center" vertical="center" wrapText="1"/>
    </xf>
    <xf numFmtId="0" fontId="19" fillId="0" borderId="11" xfId="3" applyFont="1" applyFill="1" applyBorder="1" applyAlignment="1">
      <alignment horizontal="center" vertical="center" wrapText="1"/>
    </xf>
    <xf numFmtId="0" fontId="19" fillId="0" borderId="12" xfId="3" applyFont="1" applyFill="1" applyBorder="1" applyAlignment="1">
      <alignment horizontal="center" vertical="center" wrapText="1"/>
    </xf>
    <xf numFmtId="0" fontId="18" fillId="0" borderId="13" xfId="3" applyFont="1" applyFill="1" applyBorder="1" applyAlignment="1">
      <alignment vertical="center"/>
    </xf>
    <xf numFmtId="0" fontId="18" fillId="0" borderId="3" xfId="3" applyFont="1" applyFill="1" applyBorder="1" applyAlignment="1">
      <alignment vertical="center"/>
    </xf>
    <xf numFmtId="0" fontId="18" fillId="0" borderId="4" xfId="3" applyFont="1" applyFill="1" applyBorder="1" applyAlignment="1">
      <alignment vertical="center"/>
    </xf>
    <xf numFmtId="0" fontId="18" fillId="0" borderId="5" xfId="3" applyFont="1" applyFill="1" applyBorder="1" applyAlignment="1">
      <alignment vertical="center"/>
    </xf>
    <xf numFmtId="0" fontId="22" fillId="0" borderId="14" xfId="3" applyFont="1" applyFill="1" applyBorder="1" applyAlignment="1">
      <alignment vertical="center"/>
    </xf>
    <xf numFmtId="0" fontId="18" fillId="0" borderId="15" xfId="3" applyFont="1" applyFill="1" applyBorder="1" applyAlignment="1">
      <alignment vertical="center"/>
    </xf>
    <xf numFmtId="0" fontId="18" fillId="0" borderId="16" xfId="3" applyFont="1" applyFill="1" applyBorder="1" applyAlignment="1">
      <alignment vertical="center"/>
    </xf>
    <xf numFmtId="0" fontId="18" fillId="0" borderId="17" xfId="3" applyFont="1" applyFill="1" applyBorder="1" applyAlignment="1">
      <alignment vertical="center"/>
    </xf>
    <xf numFmtId="0" fontId="18" fillId="0" borderId="18" xfId="3" applyFont="1" applyFill="1" applyBorder="1" applyAlignment="1">
      <alignment vertical="center"/>
    </xf>
    <xf numFmtId="0" fontId="22" fillId="0" borderId="19" xfId="3" applyFont="1" applyFill="1" applyBorder="1" applyAlignment="1">
      <alignment vertical="center"/>
    </xf>
    <xf numFmtId="0" fontId="18" fillId="0" borderId="0" xfId="3" applyFont="1" applyFill="1" applyBorder="1" applyAlignment="1">
      <alignment vertical="center"/>
    </xf>
    <xf numFmtId="0" fontId="22" fillId="0" borderId="0" xfId="3" applyFont="1" applyFill="1" applyAlignment="1">
      <alignment horizontal="right"/>
    </xf>
    <xf numFmtId="0" fontId="22" fillId="0" borderId="0" xfId="3" applyFont="1" applyFill="1" applyAlignment="1">
      <alignment horizontal="right" vertical="center"/>
    </xf>
    <xf numFmtId="0" fontId="18" fillId="0" borderId="0" xfId="3" applyFont="1" applyFill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/>
    </xf>
    <xf numFmtId="3" fontId="4" fillId="6" borderId="1" xfId="0" applyNumberFormat="1" applyFont="1" applyFill="1" applyBorder="1" applyAlignment="1">
      <alignment horizontal="center"/>
    </xf>
    <xf numFmtId="3" fontId="4" fillId="7" borderId="1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wrapText="1"/>
    </xf>
    <xf numFmtId="0" fontId="19" fillId="0" borderId="8" xfId="3" applyFont="1" applyFill="1" applyBorder="1" applyAlignment="1">
      <alignment horizontal="left" vertical="center" wrapText="1"/>
    </xf>
    <xf numFmtId="0" fontId="19" fillId="0" borderId="9" xfId="3" applyFont="1" applyFill="1" applyBorder="1" applyAlignment="1">
      <alignment horizontal="left" vertical="center" wrapText="1"/>
    </xf>
    <xf numFmtId="0" fontId="19" fillId="0" borderId="1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center"/>
    </xf>
    <xf numFmtId="0" fontId="17" fillId="0" borderId="0" xfId="3" applyFont="1" applyFill="1" applyBorder="1" applyAlignment="1">
      <alignment horizontal="center" wrapText="1"/>
    </xf>
  </cellXfs>
  <cellStyles count="5">
    <cellStyle name="Normal" xfId="0" builtinId="0"/>
    <cellStyle name="Normal 2" xfId="4"/>
    <cellStyle name="Normal_2005 Draft Permit Calc Checks" xfId="3"/>
    <cellStyle name="Normal_HIUnitWithEmissionGovernorAndRateGovernor_006_006_95th_121610" xfId="1"/>
    <cellStyle name="Normal_Option 2 underlying dat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cts\pn99123.00\PN123\Watchdogs\2014%20CSAPR\9-2016%20CSAPR%20Update\Unit%20Level%20Allocations%20Revised%20Calculations\2008-2016%20OK%20Cogen%20Ozone%20Season%20Emissions%20RE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EIA"/>
      <sheetName val="Summary"/>
      <sheetName val="2016"/>
      <sheetName val="2015"/>
      <sheetName val="2014"/>
      <sheetName val="2013"/>
      <sheetName val="2012"/>
      <sheetName val="2011"/>
      <sheetName val="2010"/>
      <sheetName val="2009"/>
      <sheetName val="2008"/>
    </sheetNames>
    <sheetDataSet>
      <sheetData sheetId="0"/>
      <sheetData sheetId="1"/>
      <sheetData sheetId="2">
        <row r="44">
          <cell r="H44">
            <v>44.8</v>
          </cell>
        </row>
        <row r="45">
          <cell r="G45">
            <v>732462</v>
          </cell>
        </row>
      </sheetData>
      <sheetData sheetId="3">
        <row r="44">
          <cell r="H44">
            <v>43.099999999999994</v>
          </cell>
        </row>
        <row r="45">
          <cell r="G45">
            <v>284731.40000000002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98"/>
  <sheetViews>
    <sheetView tabSelected="1" topLeftCell="D1" workbookViewId="0">
      <pane ySplit="3" topLeftCell="A40" activePane="bottomLeft" state="frozen"/>
      <selection pane="bottomLeft" activeCell="D46" sqref="D46"/>
    </sheetView>
  </sheetViews>
  <sheetFormatPr defaultRowHeight="12" x14ac:dyDescent="0.2"/>
  <cols>
    <col min="1" max="1" width="28.28515625" style="10" customWidth="1"/>
    <col min="2" max="2" width="9.140625" style="10"/>
    <col min="3" max="3" width="6.42578125" style="10" customWidth="1"/>
    <col min="4" max="4" width="7.28515625" style="10" customWidth="1"/>
    <col min="5" max="5" width="6.140625" style="10" customWidth="1"/>
    <col min="6" max="10" width="10.140625" style="10" bestFit="1" customWidth="1"/>
    <col min="11" max="11" width="14.85546875" style="10" customWidth="1"/>
    <col min="12" max="12" width="15.140625" style="10" customWidth="1"/>
    <col min="13" max="13" width="14.5703125" style="10" customWidth="1"/>
    <col min="14" max="14" width="12.5703125" style="10" customWidth="1"/>
    <col min="15" max="15" width="12.140625" style="10" customWidth="1"/>
    <col min="16" max="23" width="9.140625" style="10"/>
    <col min="24" max="24" width="16.140625" style="10" customWidth="1"/>
    <col min="25" max="25" width="17.85546875" style="10" customWidth="1"/>
    <col min="26" max="26" width="9.140625" style="10"/>
    <col min="27" max="27" width="1.28515625" style="10" customWidth="1"/>
    <col min="28" max="28" width="13.140625" style="73" customWidth="1"/>
    <col min="29" max="29" width="12.7109375" style="73" customWidth="1"/>
    <col min="30" max="31" width="9.140625" style="73"/>
    <col min="32" max="32" width="14.28515625" style="73" bestFit="1" customWidth="1"/>
    <col min="33" max="33" width="11.42578125" style="73" bestFit="1" customWidth="1"/>
    <col min="34" max="34" width="9.140625" style="73"/>
    <col min="35" max="16384" width="9.140625" style="10"/>
  </cols>
  <sheetData>
    <row r="1" spans="1:39" x14ac:dyDescent="0.2">
      <c r="A1" s="1"/>
      <c r="B1" s="1"/>
      <c r="C1" s="2"/>
      <c r="D1" s="3"/>
      <c r="E1" s="2"/>
      <c r="F1" s="112" t="s">
        <v>0</v>
      </c>
      <c r="G1" s="112"/>
      <c r="H1" s="112"/>
      <c r="I1" s="112"/>
      <c r="J1" s="112"/>
      <c r="K1" s="4" t="s">
        <v>1</v>
      </c>
      <c r="L1" s="5" t="s">
        <v>2</v>
      </c>
      <c r="M1" s="6" t="s">
        <v>3</v>
      </c>
      <c r="N1" s="113" t="s">
        <v>4</v>
      </c>
      <c r="O1" s="113"/>
      <c r="P1" s="114" t="s">
        <v>5</v>
      </c>
      <c r="Q1" s="114"/>
      <c r="R1" s="114"/>
      <c r="S1" s="114"/>
      <c r="T1" s="114"/>
      <c r="U1" s="114"/>
      <c r="V1" s="114"/>
      <c r="W1" s="114"/>
      <c r="X1" s="7" t="s">
        <v>6</v>
      </c>
      <c r="Y1" s="8" t="s">
        <v>7</v>
      </c>
      <c r="Z1" s="9" t="s">
        <v>8</v>
      </c>
      <c r="AB1" s="11" t="s">
        <v>9</v>
      </c>
      <c r="AC1" s="12"/>
      <c r="AD1" s="12"/>
      <c r="AE1" s="12"/>
      <c r="AF1" s="12"/>
      <c r="AG1" s="12"/>
      <c r="AH1" s="12"/>
      <c r="AI1" s="13"/>
    </row>
    <row r="2" spans="1:39" ht="74.25" customHeight="1" x14ac:dyDescent="0.2">
      <c r="A2" s="14" t="s">
        <v>10</v>
      </c>
      <c r="B2" s="14" t="s">
        <v>11</v>
      </c>
      <c r="C2" s="15" t="s">
        <v>12</v>
      </c>
      <c r="D2" s="16" t="s">
        <v>13</v>
      </c>
      <c r="E2" s="15" t="s">
        <v>14</v>
      </c>
      <c r="F2" s="17" t="s">
        <v>15</v>
      </c>
      <c r="G2" s="17" t="s">
        <v>16</v>
      </c>
      <c r="H2" s="17" t="s">
        <v>17</v>
      </c>
      <c r="I2" s="17" t="s">
        <v>18</v>
      </c>
      <c r="J2" s="17" t="s">
        <v>19</v>
      </c>
      <c r="K2" s="18" t="s">
        <v>20</v>
      </c>
      <c r="L2" s="19" t="s">
        <v>21</v>
      </c>
      <c r="M2" s="20" t="s">
        <v>22</v>
      </c>
      <c r="N2" s="21" t="s">
        <v>23</v>
      </c>
      <c r="O2" s="21" t="s">
        <v>24</v>
      </c>
      <c r="P2" s="22" t="s">
        <v>25</v>
      </c>
      <c r="Q2" s="22" t="s">
        <v>26</v>
      </c>
      <c r="R2" s="22" t="s">
        <v>27</v>
      </c>
      <c r="S2" s="22" t="s">
        <v>28</v>
      </c>
      <c r="T2" s="22" t="s">
        <v>29</v>
      </c>
      <c r="U2" s="22" t="s">
        <v>30</v>
      </c>
      <c r="V2" s="22" t="s">
        <v>31</v>
      </c>
      <c r="W2" s="22" t="s">
        <v>32</v>
      </c>
      <c r="X2" s="23" t="s">
        <v>33</v>
      </c>
      <c r="Y2" s="24" t="s">
        <v>34</v>
      </c>
      <c r="Z2" s="25" t="s">
        <v>35</v>
      </c>
      <c r="AB2" s="26" t="s">
        <v>36</v>
      </c>
      <c r="AC2" s="27" t="s">
        <v>37</v>
      </c>
      <c r="AD2" s="115" t="s">
        <v>38</v>
      </c>
      <c r="AE2" s="116"/>
      <c r="AF2" s="117"/>
      <c r="AG2" s="118" t="s">
        <v>190</v>
      </c>
      <c r="AH2" s="110" t="s">
        <v>39</v>
      </c>
      <c r="AI2" s="110" t="s">
        <v>40</v>
      </c>
    </row>
    <row r="3" spans="1:39" ht="43.5" customHeight="1" x14ac:dyDescent="0.2">
      <c r="A3" s="28" t="s">
        <v>41</v>
      </c>
      <c r="B3" s="28"/>
      <c r="C3" s="29"/>
      <c r="D3" s="30"/>
      <c r="E3" s="29"/>
      <c r="F3" s="31"/>
      <c r="G3" s="31"/>
      <c r="H3" s="31"/>
      <c r="I3" s="31"/>
      <c r="J3" s="31"/>
      <c r="K3" s="32" t="s">
        <v>42</v>
      </c>
      <c r="L3" s="33" t="s">
        <v>43</v>
      </c>
      <c r="M3" s="34" t="s">
        <v>44</v>
      </c>
      <c r="N3" s="35"/>
      <c r="O3" s="35" t="s">
        <v>45</v>
      </c>
      <c r="P3" s="36"/>
      <c r="Q3" s="36"/>
      <c r="R3" s="36"/>
      <c r="S3" s="36"/>
      <c r="T3" s="36"/>
      <c r="U3" s="36"/>
      <c r="V3" s="36"/>
      <c r="W3" s="36"/>
      <c r="X3" s="37" t="s">
        <v>46</v>
      </c>
      <c r="Y3" s="38" t="s">
        <v>47</v>
      </c>
      <c r="Z3" s="39"/>
      <c r="AB3" s="26" t="s">
        <v>48</v>
      </c>
      <c r="AC3" s="27" t="s">
        <v>49</v>
      </c>
      <c r="AD3" s="27" t="s">
        <v>50</v>
      </c>
      <c r="AE3" s="40" t="s">
        <v>51</v>
      </c>
      <c r="AF3" s="40" t="s">
        <v>52</v>
      </c>
      <c r="AG3" s="119"/>
      <c r="AH3" s="111"/>
      <c r="AI3" s="111"/>
    </row>
    <row r="4" spans="1:39" x14ac:dyDescent="0.2">
      <c r="A4" s="41" t="s">
        <v>53</v>
      </c>
      <c r="B4" s="41" t="s">
        <v>54</v>
      </c>
      <c r="C4" s="42">
        <v>10671</v>
      </c>
      <c r="D4" s="43" t="s">
        <v>55</v>
      </c>
      <c r="E4" s="42">
        <v>90961</v>
      </c>
      <c r="F4" s="44"/>
      <c r="G4" s="44"/>
      <c r="H4" s="44"/>
      <c r="I4" s="44"/>
      <c r="J4" s="44">
        <v>3069468.219</v>
      </c>
      <c r="K4" s="44">
        <v>3069468.219</v>
      </c>
      <c r="L4" s="45">
        <f t="shared" ref="L4:L67" si="0">$K$97</f>
        <v>341045301.95999992</v>
      </c>
      <c r="M4" s="46">
        <f>K4/L4</f>
        <v>9.0001773997754938E-3</v>
      </c>
      <c r="N4" s="44">
        <v>11408.18</v>
      </c>
      <c r="O4" s="45">
        <f>M4*N4</f>
        <v>102.6756438085708</v>
      </c>
      <c r="P4" s="44"/>
      <c r="Q4" s="44"/>
      <c r="R4" s="44"/>
      <c r="S4" s="44"/>
      <c r="T4" s="44"/>
      <c r="U4" s="44"/>
      <c r="V4" s="44"/>
      <c r="W4" s="44">
        <v>198.292</v>
      </c>
      <c r="X4" s="44">
        <v>198.292</v>
      </c>
      <c r="Y4" s="47">
        <v>128</v>
      </c>
      <c r="Z4" s="41"/>
      <c r="AA4" s="48"/>
      <c r="AB4" s="49">
        <f t="shared" ref="AB4:AB55" si="1">X4-O4</f>
        <v>95.616356191429205</v>
      </c>
      <c r="AC4" s="49">
        <f>IF(AB4&gt;0,K4," ")</f>
        <v>3069468.219</v>
      </c>
      <c r="AD4" s="50">
        <f t="shared" ref="AD4:AD67" si="2">IF(AB4&gt;0,AC4/$AC$97," ")</f>
        <v>1.2877003414944748E-2</v>
      </c>
      <c r="AE4" s="49">
        <f>MIN(X4,O4)</f>
        <v>102.6756438085708</v>
      </c>
      <c r="AF4" s="51">
        <f t="shared" ref="AF4:AF67" si="3">IF(AB4&gt;0,AD4*$AE$98," ")</f>
        <v>25.103350404055682</v>
      </c>
      <c r="AG4" s="51">
        <f>IF(AB4&gt;0,AE4+AF4," ")</f>
        <v>127.77899421262649</v>
      </c>
      <c r="AH4" s="51">
        <f>IF(AB4&gt;0,(Y4-AG4)/Y4*100," ")</f>
        <v>0.17266077138555769</v>
      </c>
      <c r="AI4" s="52">
        <f>IF(AB4&gt;0,ROUND(AG4,0),Y4)</f>
        <v>128</v>
      </c>
      <c r="AJ4" s="48"/>
      <c r="AK4" s="48"/>
      <c r="AL4" s="48"/>
      <c r="AM4" s="48"/>
    </row>
    <row r="5" spans="1:39" x14ac:dyDescent="0.2">
      <c r="A5" s="41" t="s">
        <v>53</v>
      </c>
      <c r="B5" s="41" t="s">
        <v>54</v>
      </c>
      <c r="C5" s="42">
        <v>10671</v>
      </c>
      <c r="D5" s="43" t="s">
        <v>56</v>
      </c>
      <c r="E5" s="42">
        <v>90962</v>
      </c>
      <c r="F5" s="44"/>
      <c r="G5" s="44"/>
      <c r="H5" s="44"/>
      <c r="I5" s="44"/>
      <c r="J5" s="44">
        <v>3098715.8029999998</v>
      </c>
      <c r="K5" s="44">
        <v>3098715.8029999998</v>
      </c>
      <c r="L5" s="45">
        <f t="shared" si="0"/>
        <v>341045301.95999992</v>
      </c>
      <c r="M5" s="46">
        <f t="shared" ref="M5:M68" si="4">K5/L5</f>
        <v>9.0859360477671611E-3</v>
      </c>
      <c r="N5" s="44">
        <v>11408.18</v>
      </c>
      <c r="O5" s="45">
        <f t="shared" ref="O5:O68" si="5">M5*N5</f>
        <v>103.65399390141637</v>
      </c>
      <c r="P5" s="44"/>
      <c r="Q5" s="44"/>
      <c r="R5" s="44"/>
      <c r="S5" s="44"/>
      <c r="T5" s="44"/>
      <c r="U5" s="44"/>
      <c r="V5" s="44"/>
      <c r="W5" s="44">
        <v>203.029</v>
      </c>
      <c r="X5" s="44">
        <v>203.029</v>
      </c>
      <c r="Y5" s="47">
        <v>130</v>
      </c>
      <c r="Z5" s="41"/>
      <c r="AA5" s="48"/>
      <c r="AB5" s="49">
        <f t="shared" si="1"/>
        <v>99.375006098583626</v>
      </c>
      <c r="AC5" s="49">
        <f t="shared" ref="AC5:AC68" si="6">IF(AB5&gt;0,K5," ")</f>
        <v>3098715.8029999998</v>
      </c>
      <c r="AD5" s="50">
        <f t="shared" si="2"/>
        <v>1.2999702596749464E-2</v>
      </c>
      <c r="AE5" s="49">
        <f t="shared" ref="AE5:AE68" si="7">MIN(X5,O5)</f>
        <v>103.65399390141637</v>
      </c>
      <c r="AF5" s="51">
        <f t="shared" si="3"/>
        <v>25.342548954827201</v>
      </c>
      <c r="AG5" s="51">
        <f t="shared" ref="AG5:AG68" si="8">IF(AB5&gt;0,AE5+AF5," ")</f>
        <v>128.99654285624356</v>
      </c>
      <c r="AH5" s="51">
        <f t="shared" ref="AH5:AH68" si="9">IF(AB5&gt;0,(Y5-AG5)/Y5*100," ")</f>
        <v>0.77189011058187329</v>
      </c>
      <c r="AI5" s="52">
        <f t="shared" ref="AI5:AI68" si="10">IF(AB5&gt;0,ROUND(AG5,0),Y5)</f>
        <v>129</v>
      </c>
      <c r="AJ5" s="48"/>
      <c r="AK5" s="48"/>
      <c r="AL5" s="48"/>
      <c r="AM5" s="48"/>
    </row>
    <row r="6" spans="1:39" x14ac:dyDescent="0.2">
      <c r="A6" s="41" t="s">
        <v>53</v>
      </c>
      <c r="B6" s="41" t="s">
        <v>54</v>
      </c>
      <c r="C6" s="42">
        <v>10671</v>
      </c>
      <c r="D6" s="43" t="s">
        <v>57</v>
      </c>
      <c r="E6" s="42">
        <v>90963</v>
      </c>
      <c r="F6" s="44"/>
      <c r="G6" s="44"/>
      <c r="H6" s="44"/>
      <c r="I6" s="44"/>
      <c r="J6" s="44">
        <v>2995952.6090000002</v>
      </c>
      <c r="K6" s="44">
        <v>2995952.6090000002</v>
      </c>
      <c r="L6" s="45">
        <f t="shared" si="0"/>
        <v>341045301.95999992</v>
      </c>
      <c r="M6" s="46">
        <f t="shared" si="4"/>
        <v>8.7846177378258852E-3</v>
      </c>
      <c r="N6" s="44">
        <v>11408.18</v>
      </c>
      <c r="O6" s="45">
        <f t="shared" si="5"/>
        <v>100.21650038431051</v>
      </c>
      <c r="P6" s="44"/>
      <c r="Q6" s="44"/>
      <c r="R6" s="44"/>
      <c r="S6" s="44"/>
      <c r="T6" s="44"/>
      <c r="U6" s="44"/>
      <c r="V6" s="44"/>
      <c r="W6" s="44">
        <v>206.107</v>
      </c>
      <c r="X6" s="44">
        <v>206.107</v>
      </c>
      <c r="Y6" s="47">
        <v>125</v>
      </c>
      <c r="Z6" s="41"/>
      <c r="AA6" s="48"/>
      <c r="AB6" s="49">
        <f t="shared" si="1"/>
        <v>105.89049961568949</v>
      </c>
      <c r="AC6" s="49">
        <f t="shared" si="6"/>
        <v>2995952.6090000002</v>
      </c>
      <c r="AD6" s="50">
        <f t="shared" si="2"/>
        <v>1.2568591438185414E-2</v>
      </c>
      <c r="AE6" s="49">
        <f t="shared" si="7"/>
        <v>100.21650038431051</v>
      </c>
      <c r="AF6" s="51">
        <f t="shared" si="3"/>
        <v>24.502110063277975</v>
      </c>
      <c r="AG6" s="51">
        <f t="shared" si="8"/>
        <v>124.71861044758847</v>
      </c>
      <c r="AH6" s="51">
        <f t="shared" si="9"/>
        <v>0.22511164192922026</v>
      </c>
      <c r="AI6" s="52">
        <f t="shared" si="10"/>
        <v>125</v>
      </c>
      <c r="AJ6" s="48"/>
      <c r="AK6" s="48"/>
      <c r="AL6" s="48"/>
      <c r="AM6" s="48"/>
    </row>
    <row r="7" spans="1:39" x14ac:dyDescent="0.2">
      <c r="A7" s="41" t="s">
        <v>53</v>
      </c>
      <c r="B7" s="41" t="s">
        <v>54</v>
      </c>
      <c r="C7" s="42">
        <v>10671</v>
      </c>
      <c r="D7" s="43" t="s">
        <v>58</v>
      </c>
      <c r="E7" s="42">
        <v>90964</v>
      </c>
      <c r="F7" s="44"/>
      <c r="G7" s="44"/>
      <c r="H7" s="44"/>
      <c r="I7" s="44"/>
      <c r="J7" s="44">
        <v>2963254.5490000001</v>
      </c>
      <c r="K7" s="44">
        <v>2963254.5490000001</v>
      </c>
      <c r="L7" s="45">
        <f t="shared" si="0"/>
        <v>341045301.95999992</v>
      </c>
      <c r="M7" s="46">
        <f t="shared" si="4"/>
        <v>8.6887417359807241E-3</v>
      </c>
      <c r="N7" s="44">
        <v>11408.18</v>
      </c>
      <c r="O7" s="45">
        <f t="shared" si="5"/>
        <v>99.122729697580581</v>
      </c>
      <c r="P7" s="44"/>
      <c r="Q7" s="44"/>
      <c r="R7" s="44"/>
      <c r="S7" s="44"/>
      <c r="T7" s="44"/>
      <c r="U7" s="44"/>
      <c r="V7" s="44"/>
      <c r="W7" s="44">
        <v>205.376</v>
      </c>
      <c r="X7" s="44">
        <v>205.376</v>
      </c>
      <c r="Y7" s="47">
        <v>124</v>
      </c>
      <c r="Z7" s="41"/>
      <c r="AA7" s="48"/>
      <c r="AB7" s="49">
        <f t="shared" si="1"/>
        <v>106.25327030241942</v>
      </c>
      <c r="AC7" s="49">
        <f t="shared" si="6"/>
        <v>2963254.5490000001</v>
      </c>
      <c r="AD7" s="50">
        <f t="shared" si="2"/>
        <v>1.2431416852804222E-2</v>
      </c>
      <c r="AE7" s="49">
        <f t="shared" si="7"/>
        <v>99.122729697580581</v>
      </c>
      <c r="AF7" s="51">
        <f t="shared" si="3"/>
        <v>24.234692126636084</v>
      </c>
      <c r="AG7" s="51">
        <f t="shared" si="8"/>
        <v>123.35742182421666</v>
      </c>
      <c r="AH7" s="51">
        <f t="shared" si="9"/>
        <v>0.51820820627688868</v>
      </c>
      <c r="AI7" s="52">
        <f t="shared" si="10"/>
        <v>123</v>
      </c>
      <c r="AJ7" s="48"/>
      <c r="AK7" s="48"/>
      <c r="AL7" s="48"/>
      <c r="AM7" s="48"/>
    </row>
    <row r="8" spans="1:39" x14ac:dyDescent="0.2">
      <c r="A8" s="41" t="s">
        <v>59</v>
      </c>
      <c r="B8" s="41" t="s">
        <v>54</v>
      </c>
      <c r="C8" s="42">
        <v>3006</v>
      </c>
      <c r="D8" s="43" t="s">
        <v>60</v>
      </c>
      <c r="E8" s="42">
        <v>2028</v>
      </c>
      <c r="F8" s="44">
        <v>133467.95699999999</v>
      </c>
      <c r="G8" s="44">
        <v>150086.18100000001</v>
      </c>
      <c r="H8" s="44">
        <v>12800.657999999999</v>
      </c>
      <c r="I8" s="44">
        <v>3316.029</v>
      </c>
      <c r="J8" s="44">
        <v>2207.5610000000001</v>
      </c>
      <c r="K8" s="44">
        <v>98784.932000000001</v>
      </c>
      <c r="L8" s="45">
        <f t="shared" si="0"/>
        <v>341045301.95999992</v>
      </c>
      <c r="M8" s="46">
        <f t="shared" si="4"/>
        <v>2.8965340215003507E-4</v>
      </c>
      <c r="N8" s="44">
        <v>11408.18</v>
      </c>
      <c r="O8" s="45">
        <f t="shared" si="5"/>
        <v>3.3044181493399871</v>
      </c>
      <c r="P8" s="44">
        <v>10.084</v>
      </c>
      <c r="Q8" s="44">
        <v>0.39100000000000001</v>
      </c>
      <c r="R8" s="44">
        <v>0.193</v>
      </c>
      <c r="S8" s="44">
        <v>17.399000000000001</v>
      </c>
      <c r="T8" s="44">
        <v>20.390999999999998</v>
      </c>
      <c r="U8" s="44">
        <v>1.2130000000000001</v>
      </c>
      <c r="V8" s="44">
        <v>0.30599999999999999</v>
      </c>
      <c r="W8" s="44">
        <v>0.24399999999999999</v>
      </c>
      <c r="X8" s="44">
        <v>20.390999999999998</v>
      </c>
      <c r="Y8" s="47">
        <v>4</v>
      </c>
      <c r="Z8" s="41"/>
      <c r="AA8" s="48"/>
      <c r="AB8" s="49">
        <f t="shared" si="1"/>
        <v>17.086581850660011</v>
      </c>
      <c r="AC8" s="49">
        <f t="shared" si="6"/>
        <v>98784.932000000001</v>
      </c>
      <c r="AD8" s="50">
        <f t="shared" si="2"/>
        <v>4.1442159225988219E-4</v>
      </c>
      <c r="AE8" s="49">
        <f t="shared" si="7"/>
        <v>3.3044181493399871</v>
      </c>
      <c r="AF8" s="51">
        <f t="shared" si="3"/>
        <v>0.80790305867532852</v>
      </c>
      <c r="AG8" s="51">
        <f t="shared" si="8"/>
        <v>4.1123212080153158</v>
      </c>
      <c r="AH8" s="51">
        <f t="shared" si="9"/>
        <v>-2.8080302003828939</v>
      </c>
      <c r="AI8" s="52">
        <f t="shared" si="10"/>
        <v>4</v>
      </c>
      <c r="AJ8" s="48"/>
      <c r="AK8" s="48"/>
      <c r="AL8" s="48"/>
      <c r="AM8" s="48"/>
    </row>
    <row r="9" spans="1:39" x14ac:dyDescent="0.2">
      <c r="A9" s="41" t="s">
        <v>59</v>
      </c>
      <c r="B9" s="41" t="s">
        <v>54</v>
      </c>
      <c r="C9" s="42">
        <v>3006</v>
      </c>
      <c r="D9" s="43" t="s">
        <v>61</v>
      </c>
      <c r="E9" s="42">
        <v>8326</v>
      </c>
      <c r="F9" s="44">
        <v>4541.8119999999999</v>
      </c>
      <c r="G9" s="44">
        <v>7815.1329999999998</v>
      </c>
      <c r="H9" s="44">
        <v>1238.0119999999999</v>
      </c>
      <c r="I9" s="44">
        <v>74648.428</v>
      </c>
      <c r="J9" s="44">
        <v>179234.63399999999</v>
      </c>
      <c r="K9" s="44">
        <v>87232.731666666703</v>
      </c>
      <c r="L9" s="45">
        <f t="shared" si="0"/>
        <v>341045301.95999992</v>
      </c>
      <c r="M9" s="46">
        <f t="shared" si="4"/>
        <v>2.5578048184606846E-4</v>
      </c>
      <c r="N9" s="44">
        <v>11408.18</v>
      </c>
      <c r="O9" s="45">
        <f t="shared" si="5"/>
        <v>2.9179897773866812</v>
      </c>
      <c r="P9" s="44">
        <v>2.4460000000000002</v>
      </c>
      <c r="Q9" s="44">
        <v>1.9810000000000001</v>
      </c>
      <c r="R9" s="44">
        <v>0.73199999999999998</v>
      </c>
      <c r="S9" s="44">
        <v>0.159</v>
      </c>
      <c r="T9" s="44">
        <v>0.26600000000000001</v>
      </c>
      <c r="U9" s="44">
        <v>4.2999999999999997E-2</v>
      </c>
      <c r="V9" s="44">
        <v>2.6059999999999999</v>
      </c>
      <c r="W9" s="44">
        <v>6.2519999999999998</v>
      </c>
      <c r="X9" s="44">
        <v>6.2519999999999998</v>
      </c>
      <c r="Y9" s="47">
        <v>4</v>
      </c>
      <c r="Z9" s="41"/>
      <c r="AA9" s="48"/>
      <c r="AB9" s="49">
        <f t="shared" si="1"/>
        <v>3.3340102226133186</v>
      </c>
      <c r="AC9" s="49">
        <f t="shared" si="6"/>
        <v>87232.731666666703</v>
      </c>
      <c r="AD9" s="50">
        <f t="shared" si="2"/>
        <v>3.6595791303960262E-4</v>
      </c>
      <c r="AE9" s="49">
        <f t="shared" si="7"/>
        <v>2.9179897773866812</v>
      </c>
      <c r="AF9" s="51">
        <f t="shared" si="3"/>
        <v>0.7134245001059899</v>
      </c>
      <c r="AG9" s="51">
        <f t="shared" si="8"/>
        <v>3.631414277492671</v>
      </c>
      <c r="AH9" s="51">
        <f t="shared" si="9"/>
        <v>9.2146430626832263</v>
      </c>
      <c r="AI9" s="52">
        <f t="shared" si="10"/>
        <v>4</v>
      </c>
      <c r="AJ9" s="48"/>
      <c r="AK9" s="48"/>
      <c r="AL9" s="48"/>
      <c r="AM9" s="48"/>
    </row>
    <row r="10" spans="1:39" x14ac:dyDescent="0.2">
      <c r="A10" s="41" t="s">
        <v>59</v>
      </c>
      <c r="B10" s="41" t="s">
        <v>54</v>
      </c>
      <c r="C10" s="42">
        <v>3006</v>
      </c>
      <c r="D10" s="43" t="s">
        <v>62</v>
      </c>
      <c r="E10" s="42">
        <v>8328</v>
      </c>
      <c r="F10" s="44">
        <v>5660.9</v>
      </c>
      <c r="G10" s="44">
        <v>8440.1039999999994</v>
      </c>
      <c r="H10" s="44">
        <v>1828.615</v>
      </c>
      <c r="I10" s="44">
        <v>102894.692</v>
      </c>
      <c r="J10" s="44">
        <v>287814.34100000001</v>
      </c>
      <c r="K10" s="44">
        <v>133049.71233333301</v>
      </c>
      <c r="L10" s="45">
        <f t="shared" si="0"/>
        <v>341045301.95999992</v>
      </c>
      <c r="M10" s="46">
        <f t="shared" si="4"/>
        <v>3.9012328147812448E-4</v>
      </c>
      <c r="N10" s="44">
        <v>11408.18</v>
      </c>
      <c r="O10" s="45">
        <f t="shared" si="5"/>
        <v>4.45059661729311</v>
      </c>
      <c r="P10" s="44">
        <v>2.3540000000000001</v>
      </c>
      <c r="Q10" s="44">
        <v>2.2770000000000001</v>
      </c>
      <c r="R10" s="44">
        <v>0.63300000000000001</v>
      </c>
      <c r="S10" s="44">
        <v>0.22</v>
      </c>
      <c r="T10" s="44">
        <v>0.32800000000000001</v>
      </c>
      <c r="U10" s="44">
        <v>6.9000000000000006E-2</v>
      </c>
      <c r="V10" s="44">
        <v>4.0140000000000002</v>
      </c>
      <c r="W10" s="44">
        <v>11.173999999999999</v>
      </c>
      <c r="X10" s="44">
        <v>11.173999999999999</v>
      </c>
      <c r="Y10" s="47">
        <v>6</v>
      </c>
      <c r="Z10" s="41"/>
      <c r="AA10" s="48"/>
      <c r="AB10" s="49">
        <f t="shared" si="1"/>
        <v>6.7234033827068895</v>
      </c>
      <c r="AC10" s="49">
        <f t="shared" si="6"/>
        <v>133049.71233333301</v>
      </c>
      <c r="AD10" s="50">
        <f t="shared" si="2"/>
        <v>5.5816886764571694E-4</v>
      </c>
      <c r="AE10" s="49">
        <f t="shared" si="7"/>
        <v>4.45059661729311</v>
      </c>
      <c r="AF10" s="51">
        <f t="shared" si="3"/>
        <v>1.088134266772308</v>
      </c>
      <c r="AG10" s="51">
        <f t="shared" si="8"/>
        <v>5.5387308840654175</v>
      </c>
      <c r="AH10" s="51">
        <f t="shared" si="9"/>
        <v>7.6878185989097085</v>
      </c>
      <c r="AI10" s="52">
        <f t="shared" si="10"/>
        <v>6</v>
      </c>
      <c r="AJ10" s="48"/>
      <c r="AK10" s="48"/>
      <c r="AL10" s="48"/>
      <c r="AM10" s="48"/>
    </row>
    <row r="11" spans="1:39" x14ac:dyDescent="0.2">
      <c r="A11" s="41" t="s">
        <v>59</v>
      </c>
      <c r="B11" s="41" t="s">
        <v>54</v>
      </c>
      <c r="C11" s="42">
        <v>3006</v>
      </c>
      <c r="D11" s="43" t="s">
        <v>63</v>
      </c>
      <c r="E11" s="42">
        <v>90429</v>
      </c>
      <c r="F11" s="44">
        <v>41507.169000000002</v>
      </c>
      <c r="G11" s="44">
        <v>46134.357000000004</v>
      </c>
      <c r="H11" s="44">
        <v>26592.831999999999</v>
      </c>
      <c r="I11" s="44">
        <v>295179.45799999998</v>
      </c>
      <c r="J11" s="44">
        <v>339269.83799999999</v>
      </c>
      <c r="K11" s="44">
        <v>226861.21766666701</v>
      </c>
      <c r="L11" s="45">
        <f t="shared" si="0"/>
        <v>341045301.95999992</v>
      </c>
      <c r="M11" s="46">
        <f t="shared" si="4"/>
        <v>6.651937920355074E-4</v>
      </c>
      <c r="N11" s="44">
        <v>11408.18</v>
      </c>
      <c r="O11" s="45">
        <f t="shared" si="5"/>
        <v>7.5886505144236347</v>
      </c>
      <c r="P11" s="44"/>
      <c r="Q11" s="44">
        <v>0.13900000000000001</v>
      </c>
      <c r="R11" s="44">
        <v>7.1749999999999998</v>
      </c>
      <c r="S11" s="44">
        <v>1.839</v>
      </c>
      <c r="T11" s="44">
        <v>2.2360000000000002</v>
      </c>
      <c r="U11" s="44">
        <v>1.1439999999999999</v>
      </c>
      <c r="V11" s="44">
        <v>11.651999999999999</v>
      </c>
      <c r="W11" s="44">
        <v>12.048</v>
      </c>
      <c r="X11" s="44">
        <v>12.048</v>
      </c>
      <c r="Y11" s="47">
        <v>9</v>
      </c>
      <c r="Z11" s="41"/>
      <c r="AA11" s="48"/>
      <c r="AB11" s="49">
        <f t="shared" si="1"/>
        <v>4.4593494855763653</v>
      </c>
      <c r="AC11" s="49">
        <f t="shared" si="6"/>
        <v>226861.21766666701</v>
      </c>
      <c r="AD11" s="50">
        <f t="shared" si="2"/>
        <v>9.5172598840717788E-4</v>
      </c>
      <c r="AE11" s="49">
        <f t="shared" si="7"/>
        <v>7.5886505144236347</v>
      </c>
      <c r="AF11" s="51">
        <f t="shared" si="3"/>
        <v>1.855362634128348</v>
      </c>
      <c r="AG11" s="51">
        <f t="shared" si="8"/>
        <v>9.4440131485519832</v>
      </c>
      <c r="AH11" s="51">
        <f t="shared" si="9"/>
        <v>-4.9334794283553682</v>
      </c>
      <c r="AI11" s="52">
        <f t="shared" si="10"/>
        <v>9</v>
      </c>
      <c r="AJ11" s="48"/>
      <c r="AK11" s="48"/>
      <c r="AL11" s="48"/>
      <c r="AM11" s="48"/>
    </row>
    <row r="12" spans="1:39" x14ac:dyDescent="0.2">
      <c r="A12" s="41" t="s">
        <v>59</v>
      </c>
      <c r="B12" s="41" t="s">
        <v>54</v>
      </c>
      <c r="C12" s="42">
        <v>3006</v>
      </c>
      <c r="D12" s="43" t="s">
        <v>64</v>
      </c>
      <c r="E12" s="42">
        <v>90430</v>
      </c>
      <c r="F12" s="44">
        <v>31748.947</v>
      </c>
      <c r="G12" s="44">
        <v>46205.086000000003</v>
      </c>
      <c r="H12" s="44">
        <v>23001.368999999999</v>
      </c>
      <c r="I12" s="44">
        <v>277067.33299999998</v>
      </c>
      <c r="J12" s="44">
        <v>360320.61599999998</v>
      </c>
      <c r="K12" s="44">
        <v>227864.345</v>
      </c>
      <c r="L12" s="45">
        <f t="shared" si="0"/>
        <v>341045301.95999992</v>
      </c>
      <c r="M12" s="46">
        <f t="shared" si="4"/>
        <v>6.6813512366379246E-4</v>
      </c>
      <c r="N12" s="44">
        <v>11408.18</v>
      </c>
      <c r="O12" s="45">
        <f t="shared" si="5"/>
        <v>7.622205755078804</v>
      </c>
      <c r="P12" s="44"/>
      <c r="Q12" s="44">
        <v>0.14399999999999999</v>
      </c>
      <c r="R12" s="44">
        <v>6.5119999999999996</v>
      </c>
      <c r="S12" s="44">
        <v>1.41</v>
      </c>
      <c r="T12" s="44">
        <v>2.2869999999999999</v>
      </c>
      <c r="U12" s="44">
        <v>1.01</v>
      </c>
      <c r="V12" s="44">
        <v>11.214</v>
      </c>
      <c r="W12" s="44">
        <v>12.912000000000001</v>
      </c>
      <c r="X12" s="44">
        <v>12.912000000000001</v>
      </c>
      <c r="Y12" s="47">
        <v>10</v>
      </c>
      <c r="Z12" s="41"/>
      <c r="AA12" s="48"/>
      <c r="AB12" s="49">
        <f t="shared" si="1"/>
        <v>5.2897942449211968</v>
      </c>
      <c r="AC12" s="49">
        <f t="shared" si="6"/>
        <v>227864.345</v>
      </c>
      <c r="AD12" s="50">
        <f t="shared" si="2"/>
        <v>9.5593429850369407E-4</v>
      </c>
      <c r="AE12" s="49">
        <f t="shared" si="7"/>
        <v>7.622205755078804</v>
      </c>
      <c r="AF12" s="51">
        <f t="shared" si="3"/>
        <v>1.8635666144766925</v>
      </c>
      <c r="AG12" s="51">
        <f t="shared" si="8"/>
        <v>9.4857723695554963</v>
      </c>
      <c r="AH12" s="51">
        <f t="shared" si="9"/>
        <v>5.142276304445037</v>
      </c>
      <c r="AI12" s="52">
        <f t="shared" si="10"/>
        <v>9</v>
      </c>
      <c r="AJ12" s="48"/>
      <c r="AK12" s="48"/>
      <c r="AL12" s="48"/>
      <c r="AM12" s="48"/>
    </row>
    <row r="13" spans="1:39" x14ac:dyDescent="0.2">
      <c r="A13" s="41" t="s">
        <v>59</v>
      </c>
      <c r="B13" s="41" t="s">
        <v>54</v>
      </c>
      <c r="C13" s="42">
        <v>3006</v>
      </c>
      <c r="D13" s="43" t="s">
        <v>65</v>
      </c>
      <c r="E13" s="42">
        <v>90431</v>
      </c>
      <c r="F13" s="44">
        <v>38283.784</v>
      </c>
      <c r="G13" s="44">
        <v>43770.936999999998</v>
      </c>
      <c r="H13" s="44">
        <v>20674.495999999999</v>
      </c>
      <c r="I13" s="44">
        <v>246623.66</v>
      </c>
      <c r="J13" s="44">
        <v>356086.5</v>
      </c>
      <c r="K13" s="44">
        <v>215493.69899999999</v>
      </c>
      <c r="L13" s="45">
        <f t="shared" si="0"/>
        <v>341045301.95999992</v>
      </c>
      <c r="M13" s="46">
        <f t="shared" si="4"/>
        <v>6.3186238825619289E-4</v>
      </c>
      <c r="N13" s="44">
        <v>11408.18</v>
      </c>
      <c r="O13" s="45">
        <f t="shared" si="5"/>
        <v>7.2083998604565345</v>
      </c>
      <c r="P13" s="44"/>
      <c r="Q13" s="44">
        <v>6.2E-2</v>
      </c>
      <c r="R13" s="44">
        <v>6.4320000000000004</v>
      </c>
      <c r="S13" s="44">
        <v>1.7310000000000001</v>
      </c>
      <c r="T13" s="44">
        <v>2.1640000000000001</v>
      </c>
      <c r="U13" s="44">
        <v>0.94299999999999995</v>
      </c>
      <c r="V13" s="44">
        <v>9.92</v>
      </c>
      <c r="W13" s="44">
        <v>13.068</v>
      </c>
      <c r="X13" s="44">
        <v>13.068</v>
      </c>
      <c r="Y13" s="47">
        <v>9</v>
      </c>
      <c r="Z13" s="41"/>
      <c r="AA13" s="48"/>
      <c r="AB13" s="49">
        <f t="shared" si="1"/>
        <v>5.8596001395434651</v>
      </c>
      <c r="AC13" s="49">
        <f t="shared" si="6"/>
        <v>215493.69899999999</v>
      </c>
      <c r="AD13" s="50">
        <f t="shared" si="2"/>
        <v>9.0403708393049028E-4</v>
      </c>
      <c r="AE13" s="49">
        <f t="shared" si="7"/>
        <v>7.2083998604565345</v>
      </c>
      <c r="AF13" s="51">
        <f t="shared" si="3"/>
        <v>1.762394476794908</v>
      </c>
      <c r="AG13" s="51">
        <f t="shared" si="8"/>
        <v>8.9707943372514425</v>
      </c>
      <c r="AH13" s="51">
        <f t="shared" si="9"/>
        <v>0.32450736387286128</v>
      </c>
      <c r="AI13" s="52">
        <f t="shared" si="10"/>
        <v>9</v>
      </c>
      <c r="AJ13" s="48"/>
      <c r="AK13" s="48"/>
      <c r="AL13" s="48"/>
      <c r="AM13" s="48"/>
    </row>
    <row r="14" spans="1:39" x14ac:dyDescent="0.2">
      <c r="A14" s="41" t="s">
        <v>66</v>
      </c>
      <c r="B14" s="41" t="s">
        <v>54</v>
      </c>
      <c r="C14" s="42">
        <v>3006</v>
      </c>
      <c r="D14" s="43" t="s">
        <v>67</v>
      </c>
      <c r="E14" s="42">
        <v>90966</v>
      </c>
      <c r="F14" s="44"/>
      <c r="G14" s="44"/>
      <c r="H14" s="44"/>
      <c r="I14" s="44"/>
      <c r="J14" s="44">
        <v>736756.89399999997</v>
      </c>
      <c r="K14" s="44">
        <v>736756.89399999997</v>
      </c>
      <c r="L14" s="45">
        <f t="shared" si="0"/>
        <v>341045301.95999992</v>
      </c>
      <c r="M14" s="46">
        <f t="shared" si="4"/>
        <v>2.1602904064821622E-3</v>
      </c>
      <c r="N14" s="44">
        <v>11408.18</v>
      </c>
      <c r="O14" s="45">
        <f t="shared" si="5"/>
        <v>24.644981809421672</v>
      </c>
      <c r="P14" s="44"/>
      <c r="Q14" s="44"/>
      <c r="R14" s="44"/>
      <c r="S14" s="44"/>
      <c r="T14" s="44"/>
      <c r="U14" s="44"/>
      <c r="V14" s="44"/>
      <c r="W14" s="44">
        <v>8.8859999999999992</v>
      </c>
      <c r="X14" s="44">
        <v>8.8859999999999992</v>
      </c>
      <c r="Y14" s="47">
        <v>9</v>
      </c>
      <c r="Z14" s="41"/>
      <c r="AA14" s="48"/>
      <c r="AB14" s="49">
        <f t="shared" si="1"/>
        <v>-15.758981809421673</v>
      </c>
      <c r="AC14" s="49" t="str">
        <f t="shared" si="6"/>
        <v xml:space="preserve"> </v>
      </c>
      <c r="AD14" s="50" t="str">
        <f t="shared" si="2"/>
        <v xml:space="preserve"> </v>
      </c>
      <c r="AE14" s="49">
        <f t="shared" si="7"/>
        <v>8.8859999999999992</v>
      </c>
      <c r="AF14" s="51" t="str">
        <f t="shared" si="3"/>
        <v xml:space="preserve"> </v>
      </c>
      <c r="AG14" s="51" t="str">
        <f t="shared" si="8"/>
        <v xml:space="preserve"> </v>
      </c>
      <c r="AH14" s="51" t="str">
        <f t="shared" si="9"/>
        <v xml:space="preserve"> </v>
      </c>
      <c r="AI14" s="52">
        <f t="shared" si="10"/>
        <v>9</v>
      </c>
      <c r="AJ14" s="48"/>
      <c r="AK14" s="48"/>
      <c r="AL14" s="48"/>
      <c r="AM14" s="48"/>
    </row>
    <row r="15" spans="1:39" x14ac:dyDescent="0.2">
      <c r="A15" s="41" t="s">
        <v>66</v>
      </c>
      <c r="B15" s="41" t="s">
        <v>54</v>
      </c>
      <c r="C15" s="42">
        <v>3006</v>
      </c>
      <c r="D15" s="43" t="s">
        <v>68</v>
      </c>
      <c r="E15" s="42">
        <v>90967</v>
      </c>
      <c r="F15" s="44"/>
      <c r="G15" s="44"/>
      <c r="H15" s="44"/>
      <c r="I15" s="44"/>
      <c r="J15" s="44">
        <v>1118066.091</v>
      </c>
      <c r="K15" s="44">
        <v>1118066.091</v>
      </c>
      <c r="L15" s="45">
        <f t="shared" si="0"/>
        <v>341045301.95999992</v>
      </c>
      <c r="M15" s="46">
        <f t="shared" si="4"/>
        <v>3.2783506606730338E-3</v>
      </c>
      <c r="N15" s="44">
        <v>11408.18</v>
      </c>
      <c r="O15" s="45">
        <f t="shared" si="5"/>
        <v>37.400014440076895</v>
      </c>
      <c r="P15" s="44"/>
      <c r="Q15" s="44"/>
      <c r="R15" s="44"/>
      <c r="S15" s="44"/>
      <c r="T15" s="44"/>
      <c r="U15" s="44"/>
      <c r="V15" s="44"/>
      <c r="W15" s="44">
        <v>13.513999999999999</v>
      </c>
      <c r="X15" s="44">
        <v>13.513999999999999</v>
      </c>
      <c r="Y15" s="47">
        <v>14</v>
      </c>
      <c r="Z15" s="41"/>
      <c r="AA15" s="48"/>
      <c r="AB15" s="49">
        <f t="shared" si="1"/>
        <v>-23.886014440076895</v>
      </c>
      <c r="AC15" s="49" t="str">
        <f t="shared" si="6"/>
        <v xml:space="preserve"> </v>
      </c>
      <c r="AD15" s="50" t="str">
        <f t="shared" si="2"/>
        <v xml:space="preserve"> </v>
      </c>
      <c r="AE15" s="49">
        <f t="shared" si="7"/>
        <v>13.513999999999999</v>
      </c>
      <c r="AF15" s="51" t="str">
        <f t="shared" si="3"/>
        <v xml:space="preserve"> </v>
      </c>
      <c r="AG15" s="51" t="str">
        <f t="shared" si="8"/>
        <v xml:space="preserve"> </v>
      </c>
      <c r="AH15" s="51" t="str">
        <f t="shared" si="9"/>
        <v xml:space="preserve"> </v>
      </c>
      <c r="AI15" s="52">
        <f t="shared" si="10"/>
        <v>14</v>
      </c>
      <c r="AJ15" s="48"/>
      <c r="AK15" s="48"/>
      <c r="AL15" s="48"/>
      <c r="AM15" s="48"/>
    </row>
    <row r="16" spans="1:39" x14ac:dyDescent="0.2">
      <c r="A16" s="41" t="s">
        <v>66</v>
      </c>
      <c r="B16" s="41" t="s">
        <v>54</v>
      </c>
      <c r="C16" s="42">
        <v>3006</v>
      </c>
      <c r="D16" s="43" t="s">
        <v>69</v>
      </c>
      <c r="E16" s="42">
        <v>90968</v>
      </c>
      <c r="F16" s="44"/>
      <c r="G16" s="44"/>
      <c r="H16" s="44"/>
      <c r="I16" s="44"/>
      <c r="J16" s="44">
        <v>1335829.182</v>
      </c>
      <c r="K16" s="44">
        <v>1335829.182</v>
      </c>
      <c r="L16" s="45">
        <f t="shared" si="0"/>
        <v>341045301.95999992</v>
      </c>
      <c r="M16" s="46">
        <f t="shared" si="4"/>
        <v>3.9168672734177555E-3</v>
      </c>
      <c r="N16" s="44">
        <v>11408.18</v>
      </c>
      <c r="O16" s="45">
        <f t="shared" si="5"/>
        <v>44.684326891258969</v>
      </c>
      <c r="P16" s="44"/>
      <c r="Q16" s="44"/>
      <c r="R16" s="44"/>
      <c r="S16" s="44"/>
      <c r="T16" s="44"/>
      <c r="U16" s="44"/>
      <c r="V16" s="44"/>
      <c r="W16" s="44">
        <v>17.355</v>
      </c>
      <c r="X16" s="44">
        <v>17.355</v>
      </c>
      <c r="Y16" s="47">
        <v>17</v>
      </c>
      <c r="Z16" s="41"/>
      <c r="AA16" s="48"/>
      <c r="AB16" s="49">
        <f t="shared" si="1"/>
        <v>-27.329326891258969</v>
      </c>
      <c r="AC16" s="49" t="str">
        <f t="shared" si="6"/>
        <v xml:space="preserve"> </v>
      </c>
      <c r="AD16" s="50" t="str">
        <f t="shared" si="2"/>
        <v xml:space="preserve"> </v>
      </c>
      <c r="AE16" s="49">
        <f t="shared" si="7"/>
        <v>17.355</v>
      </c>
      <c r="AF16" s="51" t="str">
        <f t="shared" si="3"/>
        <v xml:space="preserve"> </v>
      </c>
      <c r="AG16" s="51" t="str">
        <f t="shared" si="8"/>
        <v xml:space="preserve"> </v>
      </c>
      <c r="AH16" s="51" t="str">
        <f t="shared" si="9"/>
        <v xml:space="preserve"> </v>
      </c>
      <c r="AI16" s="52">
        <f t="shared" si="10"/>
        <v>17</v>
      </c>
      <c r="AJ16" s="48"/>
      <c r="AK16" s="48"/>
      <c r="AL16" s="48"/>
      <c r="AM16" s="48"/>
    </row>
    <row r="17" spans="1:39" x14ac:dyDescent="0.2">
      <c r="A17" s="41" t="s">
        <v>70</v>
      </c>
      <c r="B17" s="41" t="s">
        <v>54</v>
      </c>
      <c r="C17" s="42">
        <v>7757</v>
      </c>
      <c r="D17" s="43" t="s">
        <v>71</v>
      </c>
      <c r="E17" s="42">
        <v>3155</v>
      </c>
      <c r="F17" s="44">
        <v>1690022.0149999999</v>
      </c>
      <c r="G17" s="44">
        <v>2695833.6439999999</v>
      </c>
      <c r="H17" s="44">
        <v>1704143.602</v>
      </c>
      <c r="I17" s="44">
        <v>1177991.3049999999</v>
      </c>
      <c r="J17" s="44">
        <v>2299246.2609999999</v>
      </c>
      <c r="K17" s="44">
        <v>2233074.50233333</v>
      </c>
      <c r="L17" s="45">
        <f t="shared" si="0"/>
        <v>341045301.95999992</v>
      </c>
      <c r="M17" s="46">
        <f t="shared" si="4"/>
        <v>6.5477357098888871E-3</v>
      </c>
      <c r="N17" s="44">
        <v>11408.18</v>
      </c>
      <c r="O17" s="45">
        <f t="shared" si="5"/>
        <v>74.697747570840207</v>
      </c>
      <c r="P17" s="44">
        <v>29.588999999999999</v>
      </c>
      <c r="Q17" s="44">
        <v>24.712</v>
      </c>
      <c r="R17" s="44">
        <v>28.648</v>
      </c>
      <c r="S17" s="44">
        <v>17.477</v>
      </c>
      <c r="T17" s="44">
        <v>30.326000000000001</v>
      </c>
      <c r="U17" s="44">
        <v>17.295000000000002</v>
      </c>
      <c r="V17" s="44">
        <v>10.521000000000001</v>
      </c>
      <c r="W17" s="44">
        <v>19.728000000000002</v>
      </c>
      <c r="X17" s="44">
        <v>30.326000000000001</v>
      </c>
      <c r="Y17" s="47">
        <v>30</v>
      </c>
      <c r="Z17" s="41"/>
      <c r="AA17" s="48"/>
      <c r="AB17" s="49">
        <f t="shared" si="1"/>
        <v>-44.371747570840206</v>
      </c>
      <c r="AC17" s="49" t="str">
        <f t="shared" si="6"/>
        <v xml:space="preserve"> </v>
      </c>
      <c r="AD17" s="50" t="str">
        <f t="shared" si="2"/>
        <v xml:space="preserve"> </v>
      </c>
      <c r="AE17" s="49">
        <f t="shared" si="7"/>
        <v>30.326000000000001</v>
      </c>
      <c r="AF17" s="51" t="str">
        <f t="shared" si="3"/>
        <v xml:space="preserve"> </v>
      </c>
      <c r="AG17" s="51" t="str">
        <f t="shared" si="8"/>
        <v xml:space="preserve"> </v>
      </c>
      <c r="AH17" s="51" t="str">
        <f t="shared" si="9"/>
        <v xml:space="preserve"> </v>
      </c>
      <c r="AI17" s="52">
        <f t="shared" si="10"/>
        <v>30</v>
      </c>
      <c r="AJ17" s="48"/>
      <c r="AK17" s="48"/>
      <c r="AL17" s="48"/>
      <c r="AM17" s="48"/>
    </row>
    <row r="18" spans="1:39" x14ac:dyDescent="0.2">
      <c r="A18" s="41" t="s">
        <v>70</v>
      </c>
      <c r="B18" s="41" t="s">
        <v>54</v>
      </c>
      <c r="C18" s="42">
        <v>7757</v>
      </c>
      <c r="D18" s="43" t="s">
        <v>72</v>
      </c>
      <c r="E18" s="42">
        <v>3156</v>
      </c>
      <c r="F18" s="44">
        <v>1786930.598</v>
      </c>
      <c r="G18" s="44">
        <v>2742217.2390000001</v>
      </c>
      <c r="H18" s="44">
        <v>2080948.6459999999</v>
      </c>
      <c r="I18" s="44">
        <v>1508911.8160000001</v>
      </c>
      <c r="J18" s="44">
        <v>1604751.97</v>
      </c>
      <c r="K18" s="44">
        <v>2203365.4943333301</v>
      </c>
      <c r="L18" s="45">
        <f t="shared" si="0"/>
        <v>341045301.95999992</v>
      </c>
      <c r="M18" s="46">
        <f t="shared" si="4"/>
        <v>6.4606240920795782E-3</v>
      </c>
      <c r="N18" s="44">
        <v>11408.18</v>
      </c>
      <c r="O18" s="45">
        <f t="shared" si="5"/>
        <v>73.703962554780404</v>
      </c>
      <c r="P18" s="44">
        <v>25.797000000000001</v>
      </c>
      <c r="Q18" s="44">
        <v>25.434999999999999</v>
      </c>
      <c r="R18" s="44">
        <v>36.043999999999997</v>
      </c>
      <c r="S18" s="44">
        <v>22.132999999999999</v>
      </c>
      <c r="T18" s="44">
        <v>30.748000000000001</v>
      </c>
      <c r="U18" s="44">
        <v>20.742000000000001</v>
      </c>
      <c r="V18" s="44">
        <v>14.018000000000001</v>
      </c>
      <c r="W18" s="44">
        <v>16.047999999999998</v>
      </c>
      <c r="X18" s="44">
        <v>36.043999999999997</v>
      </c>
      <c r="Y18" s="47">
        <v>36</v>
      </c>
      <c r="Z18" s="41"/>
      <c r="AA18" s="48"/>
      <c r="AB18" s="49">
        <f t="shared" si="1"/>
        <v>-37.659962554780407</v>
      </c>
      <c r="AC18" s="49" t="str">
        <f t="shared" si="6"/>
        <v xml:space="preserve"> </v>
      </c>
      <c r="AD18" s="50" t="str">
        <f t="shared" si="2"/>
        <v xml:space="preserve"> </v>
      </c>
      <c r="AE18" s="49">
        <f t="shared" si="7"/>
        <v>36.043999999999997</v>
      </c>
      <c r="AF18" s="51" t="str">
        <f t="shared" si="3"/>
        <v xml:space="preserve"> </v>
      </c>
      <c r="AG18" s="51" t="str">
        <f t="shared" si="8"/>
        <v xml:space="preserve"> </v>
      </c>
      <c r="AH18" s="51" t="str">
        <f t="shared" si="9"/>
        <v xml:space="preserve"> </v>
      </c>
      <c r="AI18" s="52">
        <f t="shared" si="10"/>
        <v>36</v>
      </c>
      <c r="AJ18" s="48"/>
      <c r="AK18" s="48"/>
      <c r="AL18" s="48"/>
      <c r="AM18" s="48"/>
    </row>
    <row r="19" spans="1:39" x14ac:dyDescent="0.2">
      <c r="A19" s="41" t="s">
        <v>70</v>
      </c>
      <c r="B19" s="41" t="s">
        <v>54</v>
      </c>
      <c r="C19" s="42">
        <v>7757</v>
      </c>
      <c r="D19" s="43" t="s">
        <v>60</v>
      </c>
      <c r="E19" s="42">
        <v>90617</v>
      </c>
      <c r="F19" s="44">
        <v>1751203.4879999999</v>
      </c>
      <c r="G19" s="44">
        <v>2880624.4470000002</v>
      </c>
      <c r="H19" s="44">
        <v>2323422.7829999998</v>
      </c>
      <c r="I19" s="44">
        <v>1766885.298</v>
      </c>
      <c r="J19" s="44">
        <v>2293282.3930000002</v>
      </c>
      <c r="K19" s="44">
        <v>2499109.87433333</v>
      </c>
      <c r="L19" s="45">
        <f t="shared" si="0"/>
        <v>341045301.95999992</v>
      </c>
      <c r="M19" s="46">
        <f t="shared" si="4"/>
        <v>7.3277944600639664E-3</v>
      </c>
      <c r="N19" s="44">
        <v>11408.18</v>
      </c>
      <c r="O19" s="45">
        <f t="shared" si="5"/>
        <v>83.596798203412547</v>
      </c>
      <c r="P19" s="44"/>
      <c r="Q19" s="44"/>
      <c r="R19" s="44"/>
      <c r="S19" s="44">
        <v>7.43</v>
      </c>
      <c r="T19" s="44">
        <v>9.1199999999999992</v>
      </c>
      <c r="U19" s="44">
        <v>7.96</v>
      </c>
      <c r="V19" s="44">
        <v>6.226</v>
      </c>
      <c r="W19" s="44">
        <v>7.0620000000000003</v>
      </c>
      <c r="X19" s="44">
        <v>9.1199999999999992</v>
      </c>
      <c r="Y19" s="47">
        <v>9</v>
      </c>
      <c r="Z19" s="41"/>
      <c r="AA19" s="48"/>
      <c r="AB19" s="49">
        <f t="shared" si="1"/>
        <v>-74.476798203412542</v>
      </c>
      <c r="AC19" s="49" t="str">
        <f t="shared" si="6"/>
        <v xml:space="preserve"> </v>
      </c>
      <c r="AD19" s="50" t="str">
        <f t="shared" si="2"/>
        <v xml:space="preserve"> </v>
      </c>
      <c r="AE19" s="49">
        <f t="shared" si="7"/>
        <v>9.1199999999999992</v>
      </c>
      <c r="AF19" s="51" t="str">
        <f t="shared" si="3"/>
        <v xml:space="preserve"> </v>
      </c>
      <c r="AG19" s="51" t="str">
        <f t="shared" si="8"/>
        <v xml:space="preserve"> </v>
      </c>
      <c r="AH19" s="51" t="str">
        <f t="shared" si="9"/>
        <v xml:space="preserve"> </v>
      </c>
      <c r="AI19" s="52">
        <f t="shared" si="10"/>
        <v>9</v>
      </c>
      <c r="AJ19" s="48"/>
      <c r="AK19" s="48"/>
      <c r="AL19" s="48"/>
      <c r="AM19" s="48"/>
    </row>
    <row r="20" spans="1:39" x14ac:dyDescent="0.2">
      <c r="A20" s="41" t="s">
        <v>70</v>
      </c>
      <c r="B20" s="41" t="s">
        <v>54</v>
      </c>
      <c r="C20" s="42">
        <v>7757</v>
      </c>
      <c r="D20" s="43" t="s">
        <v>67</v>
      </c>
      <c r="E20" s="42">
        <v>90618</v>
      </c>
      <c r="F20" s="44">
        <v>2106231.452</v>
      </c>
      <c r="G20" s="44">
        <v>2984165.838</v>
      </c>
      <c r="H20" s="44">
        <v>2627158.4640000002</v>
      </c>
      <c r="I20" s="44">
        <v>1939519.423</v>
      </c>
      <c r="J20" s="44">
        <v>2534857.8509999998</v>
      </c>
      <c r="K20" s="44">
        <v>2715394.051</v>
      </c>
      <c r="L20" s="45">
        <f t="shared" si="0"/>
        <v>341045301.95999992</v>
      </c>
      <c r="M20" s="46">
        <f t="shared" si="4"/>
        <v>7.9619746567231101E-3</v>
      </c>
      <c r="N20" s="44">
        <v>11408.18</v>
      </c>
      <c r="O20" s="45">
        <f t="shared" si="5"/>
        <v>90.831640039335454</v>
      </c>
      <c r="P20" s="44"/>
      <c r="Q20" s="44"/>
      <c r="R20" s="44"/>
      <c r="S20" s="44">
        <v>8.9060000000000006</v>
      </c>
      <c r="T20" s="44">
        <v>9.7029999999999994</v>
      </c>
      <c r="U20" s="44">
        <v>8.2620000000000005</v>
      </c>
      <c r="V20" s="44">
        <v>6.7839999999999998</v>
      </c>
      <c r="W20" s="44">
        <v>7.6879999999999997</v>
      </c>
      <c r="X20" s="44">
        <v>9.7029999999999994</v>
      </c>
      <c r="Y20" s="47">
        <v>10</v>
      </c>
      <c r="Z20" s="41"/>
      <c r="AA20" s="48"/>
      <c r="AB20" s="49">
        <f t="shared" si="1"/>
        <v>-81.128640039335451</v>
      </c>
      <c r="AC20" s="49" t="str">
        <f t="shared" si="6"/>
        <v xml:space="preserve"> </v>
      </c>
      <c r="AD20" s="50" t="str">
        <f t="shared" si="2"/>
        <v xml:space="preserve"> </v>
      </c>
      <c r="AE20" s="49">
        <f t="shared" si="7"/>
        <v>9.7029999999999994</v>
      </c>
      <c r="AF20" s="51" t="str">
        <f t="shared" si="3"/>
        <v xml:space="preserve"> </v>
      </c>
      <c r="AG20" s="51" t="str">
        <f t="shared" si="8"/>
        <v xml:space="preserve"> </v>
      </c>
      <c r="AH20" s="51" t="str">
        <f t="shared" si="9"/>
        <v xml:space="preserve"> </v>
      </c>
      <c r="AI20" s="52">
        <f t="shared" si="10"/>
        <v>10</v>
      </c>
      <c r="AJ20" s="48"/>
      <c r="AK20" s="48"/>
      <c r="AL20" s="48"/>
      <c r="AM20" s="48"/>
    </row>
    <row r="21" spans="1:39" x14ac:dyDescent="0.2">
      <c r="A21" s="41" t="s">
        <v>73</v>
      </c>
      <c r="B21" s="41" t="s">
        <v>54</v>
      </c>
      <c r="C21" s="42">
        <v>8059</v>
      </c>
      <c r="D21" s="43" t="s">
        <v>74</v>
      </c>
      <c r="E21" s="42">
        <v>3452</v>
      </c>
      <c r="F21" s="44">
        <v>2355465.77</v>
      </c>
      <c r="G21" s="44">
        <v>3027043.986</v>
      </c>
      <c r="H21" s="44">
        <v>2331456.398</v>
      </c>
      <c r="I21" s="44">
        <v>830554.201</v>
      </c>
      <c r="J21" s="44">
        <v>400900.65</v>
      </c>
      <c r="K21" s="44">
        <v>2571322.0513333301</v>
      </c>
      <c r="L21" s="45">
        <f t="shared" si="0"/>
        <v>341045301.95999992</v>
      </c>
      <c r="M21" s="46">
        <f t="shared" si="4"/>
        <v>7.5395322455868692E-3</v>
      </c>
      <c r="N21" s="44">
        <v>11408.18</v>
      </c>
      <c r="O21" s="45">
        <f t="shared" si="5"/>
        <v>86.012340973459217</v>
      </c>
      <c r="P21" s="44">
        <v>612.75400000000002</v>
      </c>
      <c r="Q21" s="44"/>
      <c r="R21" s="44">
        <v>466.63299999999998</v>
      </c>
      <c r="S21" s="44">
        <v>551.60199999999998</v>
      </c>
      <c r="T21" s="44">
        <v>875.12400000000002</v>
      </c>
      <c r="U21" s="44">
        <v>552.46199999999999</v>
      </c>
      <c r="V21" s="44">
        <v>231.68899999999999</v>
      </c>
      <c r="W21" s="44">
        <v>101.42100000000001</v>
      </c>
      <c r="X21" s="44">
        <v>875.12400000000002</v>
      </c>
      <c r="Y21" s="47">
        <v>108</v>
      </c>
      <c r="Z21" s="41"/>
      <c r="AA21" s="48"/>
      <c r="AB21" s="49">
        <f t="shared" si="1"/>
        <v>789.11165902654079</v>
      </c>
      <c r="AC21" s="49">
        <f t="shared" si="6"/>
        <v>2571322.0513333301</v>
      </c>
      <c r="AD21" s="50">
        <f t="shared" si="2"/>
        <v>1.0787185425470608E-2</v>
      </c>
      <c r="AE21" s="49">
        <f t="shared" si="7"/>
        <v>86.012340973459217</v>
      </c>
      <c r="AF21" s="51">
        <f t="shared" si="3"/>
        <v>21.029309916531776</v>
      </c>
      <c r="AG21" s="51">
        <f t="shared" si="8"/>
        <v>107.04165088999099</v>
      </c>
      <c r="AH21" s="51">
        <f t="shared" si="9"/>
        <v>0.88736028704537973</v>
      </c>
      <c r="AI21" s="52">
        <f t="shared" si="10"/>
        <v>107</v>
      </c>
      <c r="AJ21" s="48"/>
      <c r="AK21" s="48"/>
      <c r="AL21" s="48"/>
      <c r="AM21" s="48"/>
    </row>
    <row r="22" spans="1:39" x14ac:dyDescent="0.2">
      <c r="A22" s="41" t="s">
        <v>73</v>
      </c>
      <c r="B22" s="41" t="s">
        <v>54</v>
      </c>
      <c r="C22" s="42">
        <v>8059</v>
      </c>
      <c r="D22" s="43" t="s">
        <v>75</v>
      </c>
      <c r="E22" s="42">
        <v>3453</v>
      </c>
      <c r="F22" s="44">
        <v>2036003.63</v>
      </c>
      <c r="G22" s="44">
        <v>1118658.9779999999</v>
      </c>
      <c r="H22" s="44">
        <v>2376483.6919999998</v>
      </c>
      <c r="I22" s="44">
        <v>827743.473</v>
      </c>
      <c r="J22" s="44">
        <v>402644.07199999999</v>
      </c>
      <c r="K22" s="44">
        <v>1843715.4333333301</v>
      </c>
      <c r="L22" s="45">
        <f t="shared" si="0"/>
        <v>341045301.95999992</v>
      </c>
      <c r="M22" s="46">
        <f t="shared" si="4"/>
        <v>5.4060719286775968E-3</v>
      </c>
      <c r="N22" s="44">
        <v>11408.18</v>
      </c>
      <c r="O22" s="45">
        <f t="shared" si="5"/>
        <v>61.67344165530119</v>
      </c>
      <c r="P22" s="44">
        <v>651.61</v>
      </c>
      <c r="Q22" s="44">
        <v>963.79600000000005</v>
      </c>
      <c r="R22" s="44">
        <v>701.3</v>
      </c>
      <c r="S22" s="44">
        <v>509.26799999999997</v>
      </c>
      <c r="T22" s="44">
        <v>303.68599999999998</v>
      </c>
      <c r="U22" s="44">
        <v>523.84400000000005</v>
      </c>
      <c r="V22" s="44">
        <v>227.34299999999999</v>
      </c>
      <c r="W22" s="44">
        <v>88.48</v>
      </c>
      <c r="X22" s="44">
        <v>963.79600000000005</v>
      </c>
      <c r="Y22" s="47">
        <v>77</v>
      </c>
      <c r="Z22" s="41"/>
      <c r="AA22" s="48"/>
      <c r="AB22" s="49">
        <f t="shared" si="1"/>
        <v>902.12255834469886</v>
      </c>
      <c r="AC22" s="49">
        <f t="shared" si="6"/>
        <v>1843715.4333333301</v>
      </c>
      <c r="AD22" s="50">
        <f t="shared" si="2"/>
        <v>7.7347371718200636E-3</v>
      </c>
      <c r="AE22" s="49">
        <f t="shared" si="7"/>
        <v>61.67344165530119</v>
      </c>
      <c r="AF22" s="51">
        <f t="shared" si="3"/>
        <v>15.078649220681815</v>
      </c>
      <c r="AG22" s="51">
        <f t="shared" si="8"/>
        <v>76.752090875983001</v>
      </c>
      <c r="AH22" s="51">
        <f t="shared" si="9"/>
        <v>0.32195990132077829</v>
      </c>
      <c r="AI22" s="52">
        <f t="shared" si="10"/>
        <v>77</v>
      </c>
      <c r="AJ22" s="48"/>
      <c r="AK22" s="48"/>
      <c r="AL22" s="48"/>
      <c r="AM22" s="48"/>
    </row>
    <row r="23" spans="1:39" x14ac:dyDescent="0.2">
      <c r="A23" s="41" t="s">
        <v>76</v>
      </c>
      <c r="B23" s="41" t="s">
        <v>54</v>
      </c>
      <c r="C23" s="42">
        <v>165</v>
      </c>
      <c r="D23" s="43" t="s">
        <v>71</v>
      </c>
      <c r="E23" s="42">
        <v>95</v>
      </c>
      <c r="F23" s="44">
        <v>18403551.827</v>
      </c>
      <c r="G23" s="44">
        <v>13685148.857000001</v>
      </c>
      <c r="H23" s="44">
        <v>11137886.148</v>
      </c>
      <c r="I23" s="44">
        <v>11098937.544</v>
      </c>
      <c r="J23" s="44">
        <v>12995996.890000001</v>
      </c>
      <c r="K23" s="44">
        <v>15028232.524666701</v>
      </c>
      <c r="L23" s="45">
        <f t="shared" si="0"/>
        <v>341045301.95999992</v>
      </c>
      <c r="M23" s="46">
        <f t="shared" si="4"/>
        <v>4.4065209044953542E-2</v>
      </c>
      <c r="N23" s="44">
        <v>11408.18</v>
      </c>
      <c r="O23" s="45">
        <f t="shared" si="5"/>
        <v>502.70383652245812</v>
      </c>
      <c r="P23" s="44">
        <v>2745.886</v>
      </c>
      <c r="Q23" s="44">
        <v>2630.5970000000002</v>
      </c>
      <c r="R23" s="44">
        <v>2652.768</v>
      </c>
      <c r="S23" s="44">
        <v>3393.0210000000002</v>
      </c>
      <c r="T23" s="44">
        <v>2734.145</v>
      </c>
      <c r="U23" s="44">
        <v>962.37599999999998</v>
      </c>
      <c r="V23" s="44">
        <v>991.86599999999999</v>
      </c>
      <c r="W23" s="44">
        <v>1046.3030000000001</v>
      </c>
      <c r="X23" s="44">
        <v>3393.0210000000002</v>
      </c>
      <c r="Y23" s="47">
        <v>629</v>
      </c>
      <c r="Z23" s="41"/>
      <c r="AA23" s="48"/>
      <c r="AB23" s="49">
        <f t="shared" si="1"/>
        <v>2890.3171634775422</v>
      </c>
      <c r="AC23" s="49">
        <f t="shared" si="6"/>
        <v>15028232.524666701</v>
      </c>
      <c r="AD23" s="50">
        <f t="shared" si="2"/>
        <v>6.3046295883709497E-2</v>
      </c>
      <c r="AE23" s="49">
        <f t="shared" si="7"/>
        <v>502.70383652245812</v>
      </c>
      <c r="AF23" s="51">
        <f t="shared" si="3"/>
        <v>122.90695329083468</v>
      </c>
      <c r="AG23" s="51">
        <f t="shared" si="8"/>
        <v>625.61078981329274</v>
      </c>
      <c r="AH23" s="51">
        <f t="shared" si="9"/>
        <v>0.53882514892007305</v>
      </c>
      <c r="AI23" s="52">
        <f t="shared" si="10"/>
        <v>626</v>
      </c>
      <c r="AJ23" s="48"/>
      <c r="AK23" s="48"/>
      <c r="AL23" s="48"/>
      <c r="AM23" s="48"/>
    </row>
    <row r="24" spans="1:39" x14ac:dyDescent="0.2">
      <c r="A24" s="41" t="s">
        <v>76</v>
      </c>
      <c r="B24" s="41" t="s">
        <v>54</v>
      </c>
      <c r="C24" s="42">
        <v>165</v>
      </c>
      <c r="D24" s="43" t="s">
        <v>72</v>
      </c>
      <c r="E24" s="42">
        <v>96</v>
      </c>
      <c r="F24" s="44">
        <v>18269014.798</v>
      </c>
      <c r="G24" s="44">
        <v>16338246.290999999</v>
      </c>
      <c r="H24" s="44">
        <v>15658303.544</v>
      </c>
      <c r="I24" s="44">
        <v>14282766.467</v>
      </c>
      <c r="J24" s="44">
        <v>11908353.943</v>
      </c>
      <c r="K24" s="44">
        <v>16755188.210999999</v>
      </c>
      <c r="L24" s="45">
        <f t="shared" si="0"/>
        <v>341045301.95999992</v>
      </c>
      <c r="M24" s="46">
        <f t="shared" si="4"/>
        <v>4.9128922505917293E-2</v>
      </c>
      <c r="N24" s="44">
        <v>11408.18</v>
      </c>
      <c r="O24" s="45">
        <f t="shared" si="5"/>
        <v>560.47159115355555</v>
      </c>
      <c r="P24" s="44">
        <v>3075.1660000000002</v>
      </c>
      <c r="Q24" s="44">
        <v>3379.6129999999998</v>
      </c>
      <c r="R24" s="44">
        <v>3234.5819999999999</v>
      </c>
      <c r="S24" s="44">
        <v>3111.5529999999999</v>
      </c>
      <c r="T24" s="44">
        <v>3153.759</v>
      </c>
      <c r="U24" s="44">
        <v>1338.8589999999999</v>
      </c>
      <c r="V24" s="44">
        <v>1169.796</v>
      </c>
      <c r="W24" s="44">
        <v>906.41499999999996</v>
      </c>
      <c r="X24" s="44">
        <v>3379.6129999999998</v>
      </c>
      <c r="Y24" s="47">
        <v>701</v>
      </c>
      <c r="Z24" s="41"/>
      <c r="AA24" s="48"/>
      <c r="AB24" s="49">
        <f t="shared" si="1"/>
        <v>2819.1414088464444</v>
      </c>
      <c r="AC24" s="49">
        <f t="shared" si="6"/>
        <v>16755188.210999999</v>
      </c>
      <c r="AD24" s="50">
        <f t="shared" si="2"/>
        <v>7.0291203693055401E-2</v>
      </c>
      <c r="AE24" s="49">
        <f t="shared" si="7"/>
        <v>560.47159115355555</v>
      </c>
      <c r="AF24" s="51">
        <f t="shared" si="3"/>
        <v>137.03069415837331</v>
      </c>
      <c r="AG24" s="51">
        <f t="shared" si="8"/>
        <v>697.50228531192886</v>
      </c>
      <c r="AH24" s="51">
        <f t="shared" si="9"/>
        <v>0.49896072583040535</v>
      </c>
      <c r="AI24" s="52">
        <f t="shared" si="10"/>
        <v>698</v>
      </c>
      <c r="AJ24" s="48"/>
      <c r="AK24" s="48"/>
      <c r="AL24" s="48"/>
      <c r="AM24" s="48"/>
    </row>
    <row r="25" spans="1:39" x14ac:dyDescent="0.2">
      <c r="A25" s="41" t="s">
        <v>77</v>
      </c>
      <c r="B25" s="41" t="s">
        <v>54</v>
      </c>
      <c r="C25" s="42">
        <v>55146</v>
      </c>
      <c r="D25" s="43" t="s">
        <v>78</v>
      </c>
      <c r="E25" s="42">
        <v>4006</v>
      </c>
      <c r="F25" s="44">
        <v>3024873.8429999999</v>
      </c>
      <c r="G25" s="44">
        <v>4885756.9390000002</v>
      </c>
      <c r="H25" s="44">
        <v>3244306.84</v>
      </c>
      <c r="I25" s="44">
        <v>3599882.1510000001</v>
      </c>
      <c r="J25" s="44">
        <v>4268153.5109999999</v>
      </c>
      <c r="K25" s="44">
        <v>4251264.2003333298</v>
      </c>
      <c r="L25" s="45">
        <f t="shared" si="0"/>
        <v>341045301.95999992</v>
      </c>
      <c r="M25" s="46">
        <f t="shared" si="4"/>
        <v>1.2465394409191852E-2</v>
      </c>
      <c r="N25" s="44">
        <v>11408.18</v>
      </c>
      <c r="O25" s="45">
        <f t="shared" si="5"/>
        <v>142.2074631910543</v>
      </c>
      <c r="P25" s="44">
        <v>54.392000000000003</v>
      </c>
      <c r="Q25" s="44">
        <v>54.048999999999999</v>
      </c>
      <c r="R25" s="44">
        <v>57.408000000000001</v>
      </c>
      <c r="S25" s="44">
        <v>43.201000000000001</v>
      </c>
      <c r="T25" s="44">
        <v>61.859000000000002</v>
      </c>
      <c r="U25" s="44">
        <v>39.365000000000002</v>
      </c>
      <c r="V25" s="44">
        <v>51.920999999999999</v>
      </c>
      <c r="W25" s="44">
        <v>54.384</v>
      </c>
      <c r="X25" s="44">
        <v>61.859000000000002</v>
      </c>
      <c r="Y25" s="47">
        <v>62</v>
      </c>
      <c r="Z25" s="41"/>
      <c r="AA25" s="48"/>
      <c r="AB25" s="49">
        <f t="shared" si="1"/>
        <v>-80.348463191054293</v>
      </c>
      <c r="AC25" s="49" t="str">
        <f t="shared" si="6"/>
        <v xml:space="preserve"> </v>
      </c>
      <c r="AD25" s="50" t="str">
        <f t="shared" si="2"/>
        <v xml:space="preserve"> </v>
      </c>
      <c r="AE25" s="49">
        <f t="shared" si="7"/>
        <v>61.859000000000002</v>
      </c>
      <c r="AF25" s="51" t="str">
        <f t="shared" si="3"/>
        <v xml:space="preserve"> </v>
      </c>
      <c r="AG25" s="51" t="str">
        <f t="shared" si="8"/>
        <v xml:space="preserve"> </v>
      </c>
      <c r="AH25" s="51" t="str">
        <f t="shared" si="9"/>
        <v xml:space="preserve"> </v>
      </c>
      <c r="AI25" s="52">
        <f t="shared" si="10"/>
        <v>62</v>
      </c>
      <c r="AJ25" s="48"/>
      <c r="AK25" s="48"/>
      <c r="AL25" s="48"/>
      <c r="AM25" s="48"/>
    </row>
    <row r="26" spans="1:39" x14ac:dyDescent="0.2">
      <c r="A26" s="41" t="s">
        <v>77</v>
      </c>
      <c r="B26" s="41" t="s">
        <v>54</v>
      </c>
      <c r="C26" s="42">
        <v>55146</v>
      </c>
      <c r="D26" s="43" t="s">
        <v>79</v>
      </c>
      <c r="E26" s="42">
        <v>4007</v>
      </c>
      <c r="F26" s="44">
        <v>3511384.7259999998</v>
      </c>
      <c r="G26" s="44">
        <v>5018229.2130000005</v>
      </c>
      <c r="H26" s="44">
        <v>3454452.923</v>
      </c>
      <c r="I26" s="44">
        <v>3363115.0729999999</v>
      </c>
      <c r="J26" s="44">
        <v>4060370.0970000001</v>
      </c>
      <c r="K26" s="44">
        <v>4196661.3453333303</v>
      </c>
      <c r="L26" s="45">
        <f t="shared" si="0"/>
        <v>341045301.95999992</v>
      </c>
      <c r="M26" s="46">
        <f t="shared" si="4"/>
        <v>1.2305290004626842E-2</v>
      </c>
      <c r="N26" s="44">
        <v>11408.18</v>
      </c>
      <c r="O26" s="45">
        <f t="shared" si="5"/>
        <v>140.38096332498387</v>
      </c>
      <c r="P26" s="44">
        <v>38.231000000000002</v>
      </c>
      <c r="Q26" s="44">
        <v>62.792000000000002</v>
      </c>
      <c r="R26" s="44">
        <v>46.823</v>
      </c>
      <c r="S26" s="44">
        <v>55.658000000000001</v>
      </c>
      <c r="T26" s="44">
        <v>65.5</v>
      </c>
      <c r="U26" s="44">
        <v>44.055999999999997</v>
      </c>
      <c r="V26" s="44">
        <v>44.67</v>
      </c>
      <c r="W26" s="44">
        <v>53.823</v>
      </c>
      <c r="X26" s="44">
        <v>65.5</v>
      </c>
      <c r="Y26" s="47">
        <v>66</v>
      </c>
      <c r="Z26" s="41"/>
      <c r="AA26" s="48"/>
      <c r="AB26" s="49">
        <f t="shared" si="1"/>
        <v>-74.880963324983867</v>
      </c>
      <c r="AC26" s="49" t="str">
        <f t="shared" si="6"/>
        <v xml:space="preserve"> </v>
      </c>
      <c r="AD26" s="50" t="str">
        <f t="shared" si="2"/>
        <v xml:space="preserve"> </v>
      </c>
      <c r="AE26" s="49">
        <f t="shared" si="7"/>
        <v>65.5</v>
      </c>
      <c r="AF26" s="51" t="str">
        <f t="shared" si="3"/>
        <v xml:space="preserve"> </v>
      </c>
      <c r="AG26" s="51" t="str">
        <f t="shared" si="8"/>
        <v xml:space="preserve"> </v>
      </c>
      <c r="AH26" s="51" t="str">
        <f t="shared" si="9"/>
        <v xml:space="preserve"> </v>
      </c>
      <c r="AI26" s="52">
        <f t="shared" si="10"/>
        <v>66</v>
      </c>
      <c r="AJ26" s="48"/>
      <c r="AK26" s="48"/>
      <c r="AL26" s="48"/>
      <c r="AM26" s="48"/>
    </row>
    <row r="27" spans="1:39" x14ac:dyDescent="0.2">
      <c r="A27" s="41" t="s">
        <v>77</v>
      </c>
      <c r="B27" s="41" t="s">
        <v>54</v>
      </c>
      <c r="C27" s="42">
        <v>55146</v>
      </c>
      <c r="D27" s="43" t="s">
        <v>80</v>
      </c>
      <c r="E27" s="42">
        <v>4008</v>
      </c>
      <c r="F27" s="44">
        <v>2040433.0560000001</v>
      </c>
      <c r="G27" s="44">
        <v>4687391.602</v>
      </c>
      <c r="H27" s="44">
        <v>3855250.9330000002</v>
      </c>
      <c r="I27" s="44">
        <v>3421368.96</v>
      </c>
      <c r="J27" s="44">
        <v>4558723.6210000003</v>
      </c>
      <c r="K27" s="44">
        <v>4367122.0520000001</v>
      </c>
      <c r="L27" s="45">
        <f t="shared" si="0"/>
        <v>341045301.95999992</v>
      </c>
      <c r="M27" s="46">
        <f t="shared" si="4"/>
        <v>1.2805108373878745E-2</v>
      </c>
      <c r="N27" s="44">
        <v>11408.18</v>
      </c>
      <c r="O27" s="45">
        <f t="shared" si="5"/>
        <v>146.08298124871601</v>
      </c>
      <c r="P27" s="44">
        <v>47.289000000000001</v>
      </c>
      <c r="Q27" s="44">
        <v>53.353999999999999</v>
      </c>
      <c r="R27" s="44">
        <v>48.664000000000001</v>
      </c>
      <c r="S27" s="44">
        <v>28.727</v>
      </c>
      <c r="T27" s="44">
        <v>60.198</v>
      </c>
      <c r="U27" s="44">
        <v>42.837000000000003</v>
      </c>
      <c r="V27" s="44">
        <v>44.744999999999997</v>
      </c>
      <c r="W27" s="44">
        <v>53.838999999999999</v>
      </c>
      <c r="X27" s="44">
        <v>60.198</v>
      </c>
      <c r="Y27" s="47">
        <v>60</v>
      </c>
      <c r="Z27" s="41"/>
      <c r="AA27" s="48"/>
      <c r="AB27" s="49">
        <f t="shared" si="1"/>
        <v>-85.884981248716002</v>
      </c>
      <c r="AC27" s="49" t="str">
        <f t="shared" si="6"/>
        <v xml:space="preserve"> </v>
      </c>
      <c r="AD27" s="50" t="str">
        <f t="shared" si="2"/>
        <v xml:space="preserve"> </v>
      </c>
      <c r="AE27" s="49">
        <f t="shared" si="7"/>
        <v>60.198</v>
      </c>
      <c r="AF27" s="51" t="str">
        <f t="shared" si="3"/>
        <v xml:space="preserve"> </v>
      </c>
      <c r="AG27" s="51" t="str">
        <f t="shared" si="8"/>
        <v xml:space="preserve"> </v>
      </c>
      <c r="AH27" s="51" t="str">
        <f t="shared" si="9"/>
        <v xml:space="preserve"> </v>
      </c>
      <c r="AI27" s="52">
        <f t="shared" si="10"/>
        <v>60</v>
      </c>
      <c r="AJ27" s="48"/>
      <c r="AK27" s="48"/>
      <c r="AL27" s="48"/>
      <c r="AM27" s="48"/>
    </row>
    <row r="28" spans="1:39" x14ac:dyDescent="0.2">
      <c r="A28" s="41" t="s">
        <v>81</v>
      </c>
      <c r="B28" s="41" t="s">
        <v>54</v>
      </c>
      <c r="C28" s="42">
        <v>2951</v>
      </c>
      <c r="D28" s="43" t="s">
        <v>69</v>
      </c>
      <c r="E28" s="42">
        <v>2000</v>
      </c>
      <c r="F28" s="44">
        <v>2728198.8590000002</v>
      </c>
      <c r="G28" s="44">
        <v>2784077.7050000001</v>
      </c>
      <c r="H28" s="44">
        <v>293185.62900000002</v>
      </c>
      <c r="I28" s="44">
        <v>1626279.0009999999</v>
      </c>
      <c r="J28" s="44">
        <v>981552.40599999996</v>
      </c>
      <c r="K28" s="44">
        <v>2379518.5216666702</v>
      </c>
      <c r="L28" s="45">
        <f t="shared" si="0"/>
        <v>341045301.95999992</v>
      </c>
      <c r="M28" s="46">
        <f t="shared" si="4"/>
        <v>6.9771332664355428E-3</v>
      </c>
      <c r="N28" s="44">
        <v>11408.18</v>
      </c>
      <c r="O28" s="45">
        <f t="shared" si="5"/>
        <v>79.596392187484639</v>
      </c>
      <c r="P28" s="44">
        <v>327.31200000000001</v>
      </c>
      <c r="Q28" s="44">
        <v>376.68799999999999</v>
      </c>
      <c r="R28" s="44">
        <v>397.18200000000002</v>
      </c>
      <c r="S28" s="44">
        <v>350.96699999999998</v>
      </c>
      <c r="T28" s="44">
        <v>375.58100000000002</v>
      </c>
      <c r="U28" s="44">
        <v>36.381</v>
      </c>
      <c r="V28" s="44">
        <v>199.72900000000001</v>
      </c>
      <c r="W28" s="44">
        <v>120.434</v>
      </c>
      <c r="X28" s="44">
        <v>397.18200000000002</v>
      </c>
      <c r="Y28" s="47">
        <v>100</v>
      </c>
      <c r="Z28" s="41"/>
      <c r="AA28" s="48"/>
      <c r="AB28" s="49">
        <f t="shared" si="1"/>
        <v>317.58560781251538</v>
      </c>
      <c r="AC28" s="49">
        <f t="shared" si="6"/>
        <v>2379518.5216666702</v>
      </c>
      <c r="AD28" s="50">
        <f t="shared" si="2"/>
        <v>9.9825331110313699E-3</v>
      </c>
      <c r="AE28" s="49">
        <f t="shared" si="7"/>
        <v>79.596392187484639</v>
      </c>
      <c r="AF28" s="51">
        <f t="shared" si="3"/>
        <v>19.460663209537852</v>
      </c>
      <c r="AG28" s="51">
        <f t="shared" si="8"/>
        <v>99.057055397022495</v>
      </c>
      <c r="AH28" s="51">
        <f t="shared" si="9"/>
        <v>0.94294460297750493</v>
      </c>
      <c r="AI28" s="52">
        <f t="shared" si="10"/>
        <v>99</v>
      </c>
      <c r="AJ28" s="48"/>
      <c r="AK28" s="48"/>
      <c r="AL28" s="48"/>
      <c r="AM28" s="48"/>
    </row>
    <row r="29" spans="1:39" x14ac:dyDescent="0.2">
      <c r="A29" s="41" t="s">
        <v>81</v>
      </c>
      <c r="B29" s="41" t="s">
        <v>54</v>
      </c>
      <c r="C29" s="42">
        <v>2951</v>
      </c>
      <c r="D29" s="43" t="s">
        <v>61</v>
      </c>
      <c r="E29" s="42">
        <v>2001</v>
      </c>
      <c r="F29" s="44">
        <v>4653859.5990000004</v>
      </c>
      <c r="G29" s="44">
        <v>3830768.3390000002</v>
      </c>
      <c r="H29" s="44">
        <v>2988490.111</v>
      </c>
      <c r="I29" s="44">
        <v>2132490.0019999999</v>
      </c>
      <c r="J29" s="44">
        <v>335162.42800000001</v>
      </c>
      <c r="K29" s="44">
        <v>3824372.6830000002</v>
      </c>
      <c r="L29" s="45">
        <f t="shared" si="0"/>
        <v>341045301.95999992</v>
      </c>
      <c r="M29" s="46">
        <f t="shared" si="4"/>
        <v>1.1213679417429854E-2</v>
      </c>
      <c r="N29" s="44">
        <v>11408.18</v>
      </c>
      <c r="O29" s="45">
        <f t="shared" si="5"/>
        <v>127.92767325633491</v>
      </c>
      <c r="P29" s="44">
        <v>200.762</v>
      </c>
      <c r="Q29" s="44">
        <v>315.642</v>
      </c>
      <c r="R29" s="44">
        <v>300.84300000000002</v>
      </c>
      <c r="S29" s="44">
        <v>365.274</v>
      </c>
      <c r="T29" s="44">
        <v>318.601</v>
      </c>
      <c r="U29" s="44">
        <v>227.15700000000001</v>
      </c>
      <c r="V29" s="44">
        <v>183.125</v>
      </c>
      <c r="W29" s="44">
        <v>26.402000000000001</v>
      </c>
      <c r="X29" s="44">
        <v>365.274</v>
      </c>
      <c r="Y29" s="47">
        <v>160</v>
      </c>
      <c r="Z29" s="41"/>
      <c r="AA29" s="48"/>
      <c r="AB29" s="49">
        <f t="shared" si="1"/>
        <v>237.34632674366509</v>
      </c>
      <c r="AC29" s="49">
        <f t="shared" si="6"/>
        <v>3824372.6830000002</v>
      </c>
      <c r="AD29" s="50">
        <f t="shared" si="2"/>
        <v>1.6043971328380906E-2</v>
      </c>
      <c r="AE29" s="49">
        <f t="shared" si="7"/>
        <v>127.92767325633491</v>
      </c>
      <c r="AF29" s="51">
        <f t="shared" si="3"/>
        <v>31.277263906099282</v>
      </c>
      <c r="AG29" s="51">
        <f t="shared" si="8"/>
        <v>159.20493716243419</v>
      </c>
      <c r="AH29" s="51">
        <f t="shared" si="9"/>
        <v>0.49691427347863021</v>
      </c>
      <c r="AI29" s="52">
        <f t="shared" si="10"/>
        <v>159</v>
      </c>
      <c r="AJ29" s="48"/>
      <c r="AK29" s="48"/>
      <c r="AL29" s="48"/>
      <c r="AM29" s="48"/>
    </row>
    <row r="30" spans="1:39" x14ac:dyDescent="0.2">
      <c r="A30" s="41" t="s">
        <v>81</v>
      </c>
      <c r="B30" s="41" t="s">
        <v>54</v>
      </c>
      <c r="C30" s="42">
        <v>2951</v>
      </c>
      <c r="D30" s="43" t="s">
        <v>62</v>
      </c>
      <c r="E30" s="42">
        <v>2002</v>
      </c>
      <c r="F30" s="44">
        <v>4244154.1509999996</v>
      </c>
      <c r="G30" s="44">
        <v>6019650.7010000004</v>
      </c>
      <c r="H30" s="44">
        <v>3154859.3560000001</v>
      </c>
      <c r="I30" s="44">
        <v>1181171.196</v>
      </c>
      <c r="J30" s="44">
        <v>909173.9</v>
      </c>
      <c r="K30" s="44">
        <v>4472888.0693333298</v>
      </c>
      <c r="L30" s="45">
        <f t="shared" si="0"/>
        <v>341045301.95999992</v>
      </c>
      <c r="M30" s="46">
        <f t="shared" si="4"/>
        <v>1.3115231447633137E-2</v>
      </c>
      <c r="N30" s="44">
        <v>11408.18</v>
      </c>
      <c r="O30" s="45">
        <f t="shared" si="5"/>
        <v>149.62092109625939</v>
      </c>
      <c r="P30" s="44">
        <v>93.564999999999998</v>
      </c>
      <c r="Q30" s="44">
        <v>163.386</v>
      </c>
      <c r="R30" s="44">
        <v>426.90699999999998</v>
      </c>
      <c r="S30" s="44">
        <v>270.18799999999999</v>
      </c>
      <c r="T30" s="44">
        <v>497.53699999999998</v>
      </c>
      <c r="U30" s="44">
        <v>299.60899999999998</v>
      </c>
      <c r="V30" s="44">
        <v>158.739</v>
      </c>
      <c r="W30" s="44">
        <v>128.63800000000001</v>
      </c>
      <c r="X30" s="44">
        <v>497.53699999999998</v>
      </c>
      <c r="Y30" s="47">
        <v>187</v>
      </c>
      <c r="Z30" s="41"/>
      <c r="AA30" s="48"/>
      <c r="AB30" s="49">
        <f t="shared" si="1"/>
        <v>347.91607890374058</v>
      </c>
      <c r="AC30" s="49">
        <f t="shared" si="6"/>
        <v>4472888.0693333298</v>
      </c>
      <c r="AD30" s="50">
        <f t="shared" si="2"/>
        <v>1.8764616811128124E-2</v>
      </c>
      <c r="AE30" s="49">
        <f t="shared" si="7"/>
        <v>149.62092109625939</v>
      </c>
      <c r="AF30" s="51">
        <f t="shared" si="3"/>
        <v>36.581084576003775</v>
      </c>
      <c r="AG30" s="51">
        <f t="shared" si="8"/>
        <v>186.20200567226317</v>
      </c>
      <c r="AH30" s="51">
        <f t="shared" si="9"/>
        <v>0.42673493461862605</v>
      </c>
      <c r="AI30" s="52">
        <f t="shared" si="10"/>
        <v>186</v>
      </c>
      <c r="AJ30" s="48"/>
      <c r="AK30" s="48"/>
      <c r="AL30" s="48"/>
      <c r="AM30" s="48"/>
    </row>
    <row r="31" spans="1:39" x14ac:dyDescent="0.2">
      <c r="A31" s="41" t="s">
        <v>81</v>
      </c>
      <c r="B31" s="41" t="s">
        <v>54</v>
      </c>
      <c r="C31" s="42">
        <v>2951</v>
      </c>
      <c r="D31" s="43" t="s">
        <v>63</v>
      </c>
      <c r="E31" s="42">
        <v>2003</v>
      </c>
      <c r="F31" s="44">
        <v>185581.49100000001</v>
      </c>
      <c r="G31" s="44">
        <v>94721.324999999997</v>
      </c>
      <c r="H31" s="44">
        <v>53165.408000000003</v>
      </c>
      <c r="I31" s="44">
        <v>311000.06599999999</v>
      </c>
      <c r="J31" s="44">
        <v>346427.57799999998</v>
      </c>
      <c r="K31" s="44">
        <v>281003.04499999998</v>
      </c>
      <c r="L31" s="45">
        <f t="shared" si="0"/>
        <v>341045301.95999992</v>
      </c>
      <c r="M31" s="46">
        <f t="shared" si="4"/>
        <v>8.2394638889632876E-4</v>
      </c>
      <c r="N31" s="44">
        <v>11408.18</v>
      </c>
      <c r="O31" s="45">
        <f t="shared" si="5"/>
        <v>9.3997287148793198</v>
      </c>
      <c r="P31" s="44">
        <v>1.56</v>
      </c>
      <c r="Q31" s="44">
        <v>3.67</v>
      </c>
      <c r="R31" s="44">
        <v>1.8740000000000001</v>
      </c>
      <c r="S31" s="44">
        <v>7.8010000000000002</v>
      </c>
      <c r="T31" s="44">
        <v>3.9340000000000002</v>
      </c>
      <c r="U31" s="44">
        <v>2.1619999999999999</v>
      </c>
      <c r="V31" s="44">
        <v>9.9760000000000009</v>
      </c>
      <c r="W31" s="44">
        <v>16.448</v>
      </c>
      <c r="X31" s="44">
        <v>16.448</v>
      </c>
      <c r="Y31" s="47">
        <v>12</v>
      </c>
      <c r="Z31" s="41"/>
      <c r="AA31" s="48"/>
      <c r="AB31" s="49">
        <f t="shared" si="1"/>
        <v>7.0482712851206806</v>
      </c>
      <c r="AC31" s="49">
        <f t="shared" si="6"/>
        <v>281003.04499999998</v>
      </c>
      <c r="AD31" s="50">
        <f t="shared" si="2"/>
        <v>1.1788612593140754E-3</v>
      </c>
      <c r="AE31" s="49">
        <f t="shared" si="7"/>
        <v>9.3997287148793198</v>
      </c>
      <c r="AF31" s="51">
        <f t="shared" si="3"/>
        <v>2.2981563580221014</v>
      </c>
      <c r="AG31" s="51">
        <f t="shared" si="8"/>
        <v>11.697885072901421</v>
      </c>
      <c r="AH31" s="51">
        <f t="shared" si="9"/>
        <v>2.5176243924881563</v>
      </c>
      <c r="AI31" s="52">
        <f t="shared" si="10"/>
        <v>12</v>
      </c>
      <c r="AJ31" s="48"/>
      <c r="AK31" s="48"/>
      <c r="AL31" s="48"/>
      <c r="AM31" s="48"/>
    </row>
    <row r="32" spans="1:39" x14ac:dyDescent="0.2">
      <c r="A32" s="41" t="s">
        <v>81</v>
      </c>
      <c r="B32" s="41" t="s">
        <v>54</v>
      </c>
      <c r="C32" s="42">
        <v>2951</v>
      </c>
      <c r="D32" s="43" t="s">
        <v>64</v>
      </c>
      <c r="E32" s="42">
        <v>1999</v>
      </c>
      <c r="F32" s="44">
        <v>168484.91500000001</v>
      </c>
      <c r="G32" s="44">
        <v>91273.244999999995</v>
      </c>
      <c r="H32" s="44">
        <v>50907.256999999998</v>
      </c>
      <c r="I32" s="44">
        <v>319982.21799999999</v>
      </c>
      <c r="J32" s="44">
        <v>334325.99300000002</v>
      </c>
      <c r="K32" s="44">
        <v>274264.37533333298</v>
      </c>
      <c r="L32" s="45">
        <f t="shared" si="0"/>
        <v>341045301.95999992</v>
      </c>
      <c r="M32" s="46">
        <f t="shared" si="4"/>
        <v>8.0418751924487891E-4</v>
      </c>
      <c r="N32" s="44">
        <v>11408.18</v>
      </c>
      <c r="O32" s="45">
        <f t="shared" si="5"/>
        <v>9.1743159732990431</v>
      </c>
      <c r="P32" s="44">
        <v>1.7949999999999999</v>
      </c>
      <c r="Q32" s="44">
        <v>3.1280000000000001</v>
      </c>
      <c r="R32" s="44">
        <v>10.186999999999999</v>
      </c>
      <c r="S32" s="44">
        <v>7.2</v>
      </c>
      <c r="T32" s="44">
        <v>4.093</v>
      </c>
      <c r="U32" s="44">
        <v>2.2810000000000001</v>
      </c>
      <c r="V32" s="44">
        <v>14.456</v>
      </c>
      <c r="W32" s="44">
        <v>16.805</v>
      </c>
      <c r="X32" s="44">
        <v>16.805</v>
      </c>
      <c r="Y32" s="47">
        <v>11</v>
      </c>
      <c r="Z32" s="41"/>
      <c r="AA32" s="48"/>
      <c r="AB32" s="49">
        <f t="shared" si="1"/>
        <v>7.6306840267009566</v>
      </c>
      <c r="AC32" s="49">
        <f t="shared" si="6"/>
        <v>274264.37533333298</v>
      </c>
      <c r="AD32" s="50">
        <f t="shared" si="2"/>
        <v>1.1505912574379441E-3</v>
      </c>
      <c r="AE32" s="49">
        <f t="shared" si="7"/>
        <v>9.1743159732990431</v>
      </c>
      <c r="AF32" s="51">
        <f t="shared" si="3"/>
        <v>2.2430447967254561</v>
      </c>
      <c r="AG32" s="51">
        <f t="shared" si="8"/>
        <v>11.4173607700245</v>
      </c>
      <c r="AH32" s="51">
        <f t="shared" si="9"/>
        <v>-3.7941888184045425</v>
      </c>
      <c r="AI32" s="52">
        <f t="shared" si="10"/>
        <v>11</v>
      </c>
      <c r="AJ32" s="48"/>
      <c r="AK32" s="48"/>
      <c r="AL32" s="48"/>
      <c r="AM32" s="48"/>
    </row>
    <row r="33" spans="1:39" x14ac:dyDescent="0.2">
      <c r="A33" s="41" t="s">
        <v>82</v>
      </c>
      <c r="B33" s="41" t="s">
        <v>54</v>
      </c>
      <c r="C33" s="42">
        <v>6772</v>
      </c>
      <c r="D33" s="43" t="s">
        <v>71</v>
      </c>
      <c r="E33" s="42">
        <v>2908</v>
      </c>
      <c r="F33" s="44">
        <v>14053803.458000001</v>
      </c>
      <c r="G33" s="44">
        <v>12443868.028000001</v>
      </c>
      <c r="H33" s="44">
        <v>15779222.982000001</v>
      </c>
      <c r="I33" s="44">
        <v>15100852.699999999</v>
      </c>
      <c r="J33" s="44">
        <v>12161798.876</v>
      </c>
      <c r="K33" s="44">
        <v>14977959.713333299</v>
      </c>
      <c r="L33" s="45">
        <f t="shared" si="0"/>
        <v>341045301.95999992</v>
      </c>
      <c r="M33" s="46">
        <f t="shared" si="4"/>
        <v>4.3917801028937838E-2</v>
      </c>
      <c r="N33" s="44">
        <v>11408.18</v>
      </c>
      <c r="O33" s="45">
        <f t="shared" si="5"/>
        <v>501.02217934230805</v>
      </c>
      <c r="P33" s="44">
        <v>1437.6130000000001</v>
      </c>
      <c r="Q33" s="44">
        <v>1350.6679999999999</v>
      </c>
      <c r="R33" s="44">
        <v>1264.223</v>
      </c>
      <c r="S33" s="44">
        <v>1289.423</v>
      </c>
      <c r="T33" s="44">
        <v>1123.681</v>
      </c>
      <c r="U33" s="44">
        <v>1472.0709999999999</v>
      </c>
      <c r="V33" s="44">
        <v>1465.0989999999999</v>
      </c>
      <c r="W33" s="44">
        <v>1078.693</v>
      </c>
      <c r="X33" s="44">
        <v>1472.0709999999999</v>
      </c>
      <c r="Y33" s="47">
        <v>627</v>
      </c>
      <c r="Z33" s="41"/>
      <c r="AA33" s="48"/>
      <c r="AB33" s="49">
        <f t="shared" si="1"/>
        <v>971.04882065769186</v>
      </c>
      <c r="AC33" s="49">
        <f t="shared" si="6"/>
        <v>14977959.713333299</v>
      </c>
      <c r="AD33" s="50">
        <f t="shared" si="2"/>
        <v>6.2835391871342836E-2</v>
      </c>
      <c r="AE33" s="49">
        <f t="shared" si="7"/>
        <v>501.02217934230805</v>
      </c>
      <c r="AF33" s="51">
        <f t="shared" si="3"/>
        <v>122.49580194191782</v>
      </c>
      <c r="AG33" s="51">
        <f t="shared" si="8"/>
        <v>623.51798128422593</v>
      </c>
      <c r="AH33" s="51">
        <f t="shared" si="9"/>
        <v>0.55534588768326554</v>
      </c>
      <c r="AI33" s="52">
        <f t="shared" si="10"/>
        <v>624</v>
      </c>
      <c r="AJ33" s="48"/>
      <c r="AK33" s="48"/>
      <c r="AL33" s="48"/>
      <c r="AM33" s="48"/>
    </row>
    <row r="34" spans="1:39" x14ac:dyDescent="0.2">
      <c r="A34" s="41" t="s">
        <v>83</v>
      </c>
      <c r="B34" s="41" t="s">
        <v>54</v>
      </c>
      <c r="C34" s="42">
        <v>55457</v>
      </c>
      <c r="D34" s="43" t="s">
        <v>84</v>
      </c>
      <c r="E34" s="42">
        <v>4808</v>
      </c>
      <c r="F34" s="44">
        <v>4764423.0389999999</v>
      </c>
      <c r="G34" s="44">
        <v>5209352.7429999998</v>
      </c>
      <c r="H34" s="44">
        <v>3965514.5580000002</v>
      </c>
      <c r="I34" s="44">
        <v>3648239.7110000001</v>
      </c>
      <c r="J34" s="44">
        <v>5410266.6239999998</v>
      </c>
      <c r="K34" s="44">
        <v>5128014.1353333304</v>
      </c>
      <c r="L34" s="45">
        <f t="shared" si="0"/>
        <v>341045301.95999992</v>
      </c>
      <c r="M34" s="46">
        <f t="shared" si="4"/>
        <v>1.5036167060101529E-2</v>
      </c>
      <c r="N34" s="44">
        <v>11408.18</v>
      </c>
      <c r="O34" s="45">
        <f t="shared" si="5"/>
        <v>171.53530033170907</v>
      </c>
      <c r="P34" s="44">
        <v>58.15</v>
      </c>
      <c r="Q34" s="44">
        <v>74.111999999999995</v>
      </c>
      <c r="R34" s="44">
        <v>68.567999999999998</v>
      </c>
      <c r="S34" s="44">
        <v>70.557000000000002</v>
      </c>
      <c r="T34" s="44">
        <v>81.247</v>
      </c>
      <c r="U34" s="44">
        <v>58.802999999999997</v>
      </c>
      <c r="V34" s="44">
        <v>52.759</v>
      </c>
      <c r="W34" s="44">
        <v>77.519000000000005</v>
      </c>
      <c r="X34" s="44">
        <v>81.247</v>
      </c>
      <c r="Y34" s="47">
        <v>81</v>
      </c>
      <c r="Z34" s="41"/>
      <c r="AA34" s="48"/>
      <c r="AB34" s="49">
        <f t="shared" si="1"/>
        <v>-90.288300331709067</v>
      </c>
      <c r="AC34" s="49" t="str">
        <f t="shared" si="6"/>
        <v xml:space="preserve"> </v>
      </c>
      <c r="AD34" s="50" t="str">
        <f t="shared" si="2"/>
        <v xml:space="preserve"> </v>
      </c>
      <c r="AE34" s="49">
        <f t="shared" si="7"/>
        <v>81.247</v>
      </c>
      <c r="AF34" s="51" t="str">
        <f t="shared" si="3"/>
        <v xml:space="preserve"> </v>
      </c>
      <c r="AG34" s="51" t="str">
        <f t="shared" si="8"/>
        <v xml:space="preserve"> </v>
      </c>
      <c r="AH34" s="51" t="str">
        <f t="shared" si="9"/>
        <v xml:space="preserve"> </v>
      </c>
      <c r="AI34" s="52">
        <f t="shared" si="10"/>
        <v>81</v>
      </c>
      <c r="AJ34" s="48"/>
      <c r="AK34" s="48"/>
      <c r="AL34" s="48"/>
      <c r="AM34" s="48"/>
    </row>
    <row r="35" spans="1:39" x14ac:dyDescent="0.2">
      <c r="A35" s="41" t="s">
        <v>83</v>
      </c>
      <c r="B35" s="41" t="s">
        <v>54</v>
      </c>
      <c r="C35" s="42">
        <v>55457</v>
      </c>
      <c r="D35" s="43" t="s">
        <v>85</v>
      </c>
      <c r="E35" s="42">
        <v>4809</v>
      </c>
      <c r="F35" s="44">
        <v>5355734.6169999996</v>
      </c>
      <c r="G35" s="44">
        <v>4911199.392</v>
      </c>
      <c r="H35" s="44">
        <v>4389373.8190000001</v>
      </c>
      <c r="I35" s="44">
        <v>3776631.6860000002</v>
      </c>
      <c r="J35" s="44">
        <v>5193702.3859999999</v>
      </c>
      <c r="K35" s="44">
        <v>5153545.4649999999</v>
      </c>
      <c r="L35" s="45">
        <f t="shared" si="0"/>
        <v>341045301.95999992</v>
      </c>
      <c r="M35" s="46">
        <f t="shared" si="4"/>
        <v>1.5111029049168495E-2</v>
      </c>
      <c r="N35" s="44">
        <v>11408.18</v>
      </c>
      <c r="O35" s="45">
        <f t="shared" si="5"/>
        <v>172.38933937814306</v>
      </c>
      <c r="P35" s="44">
        <v>61.104999999999997</v>
      </c>
      <c r="Q35" s="44">
        <v>78.974000000000004</v>
      </c>
      <c r="R35" s="44">
        <v>72.338999999999999</v>
      </c>
      <c r="S35" s="44">
        <v>73.597999999999999</v>
      </c>
      <c r="T35" s="44">
        <v>75.61</v>
      </c>
      <c r="U35" s="44">
        <v>67.02</v>
      </c>
      <c r="V35" s="44">
        <v>55.923000000000002</v>
      </c>
      <c r="W35" s="44">
        <v>73.536000000000001</v>
      </c>
      <c r="X35" s="44">
        <v>78.974000000000004</v>
      </c>
      <c r="Y35" s="47">
        <v>79</v>
      </c>
      <c r="Z35" s="41"/>
      <c r="AA35" s="48"/>
      <c r="AB35" s="49">
        <f t="shared" si="1"/>
        <v>-93.415339378143059</v>
      </c>
      <c r="AC35" s="49" t="str">
        <f t="shared" si="6"/>
        <v xml:space="preserve"> </v>
      </c>
      <c r="AD35" s="50" t="str">
        <f t="shared" si="2"/>
        <v xml:space="preserve"> </v>
      </c>
      <c r="AE35" s="49">
        <f t="shared" si="7"/>
        <v>78.974000000000004</v>
      </c>
      <c r="AF35" s="51" t="str">
        <f t="shared" si="3"/>
        <v xml:space="preserve"> </v>
      </c>
      <c r="AG35" s="51" t="str">
        <f t="shared" si="8"/>
        <v xml:space="preserve"> </v>
      </c>
      <c r="AH35" s="51" t="str">
        <f t="shared" si="9"/>
        <v xml:space="preserve"> </v>
      </c>
      <c r="AI35" s="52">
        <f t="shared" si="10"/>
        <v>79</v>
      </c>
      <c r="AJ35" s="48"/>
      <c r="AK35" s="48"/>
      <c r="AL35" s="48"/>
      <c r="AM35" s="48"/>
    </row>
    <row r="36" spans="1:39" x14ac:dyDescent="0.2">
      <c r="A36" s="41" t="s">
        <v>86</v>
      </c>
      <c r="B36" s="41" t="s">
        <v>54</v>
      </c>
      <c r="C36" s="42">
        <v>3008</v>
      </c>
      <c r="D36" s="43" t="s">
        <v>71</v>
      </c>
      <c r="E36" s="42">
        <v>2029</v>
      </c>
      <c r="F36" s="44"/>
      <c r="G36" s="44">
        <v>267927.07699999999</v>
      </c>
      <c r="H36" s="44">
        <v>22550.564999999999</v>
      </c>
      <c r="I36" s="44">
        <v>6086.5150000000003</v>
      </c>
      <c r="J36" s="44">
        <v>26841.454000000002</v>
      </c>
      <c r="K36" s="44">
        <v>105773.03200000001</v>
      </c>
      <c r="L36" s="45">
        <f t="shared" si="0"/>
        <v>341045301.95999992</v>
      </c>
      <c r="M36" s="46">
        <f t="shared" si="4"/>
        <v>3.1014364189190847E-4</v>
      </c>
      <c r="N36" s="44">
        <v>11408.18</v>
      </c>
      <c r="O36" s="45">
        <f t="shared" si="5"/>
        <v>3.5381744925584324</v>
      </c>
      <c r="P36" s="44">
        <v>11.089</v>
      </c>
      <c r="Q36" s="44">
        <v>4.0620000000000003</v>
      </c>
      <c r="R36" s="44">
        <v>10.763</v>
      </c>
      <c r="S36" s="44"/>
      <c r="T36" s="44">
        <v>48.648000000000003</v>
      </c>
      <c r="U36" s="44">
        <v>3.4569999999999999</v>
      </c>
      <c r="V36" s="44">
        <v>1.3720000000000001</v>
      </c>
      <c r="W36" s="44">
        <v>6.8120000000000003</v>
      </c>
      <c r="X36" s="44">
        <v>48.648000000000003</v>
      </c>
      <c r="Y36" s="47">
        <v>4</v>
      </c>
      <c r="Z36" s="41"/>
      <c r="AA36" s="48"/>
      <c r="AB36" s="49">
        <f t="shared" si="1"/>
        <v>45.10982550744157</v>
      </c>
      <c r="AC36" s="49">
        <f t="shared" si="6"/>
        <v>105773.03200000001</v>
      </c>
      <c r="AD36" s="50">
        <f t="shared" si="2"/>
        <v>4.4373800186039985E-4</v>
      </c>
      <c r="AE36" s="49">
        <f t="shared" si="7"/>
        <v>3.5381744925584324</v>
      </c>
      <c r="AF36" s="51">
        <f t="shared" si="3"/>
        <v>0.86505456194638475</v>
      </c>
      <c r="AG36" s="51">
        <f t="shared" si="8"/>
        <v>4.4032290545048172</v>
      </c>
      <c r="AH36" s="51">
        <f t="shared" si="9"/>
        <v>-10.080726362620428</v>
      </c>
      <c r="AI36" s="52">
        <f t="shared" si="10"/>
        <v>4</v>
      </c>
      <c r="AJ36" s="48"/>
      <c r="AK36" s="48"/>
      <c r="AL36" s="48"/>
      <c r="AM36" s="48"/>
    </row>
    <row r="37" spans="1:39" x14ac:dyDescent="0.2">
      <c r="A37" s="41" t="s">
        <v>86</v>
      </c>
      <c r="B37" s="41" t="s">
        <v>54</v>
      </c>
      <c r="C37" s="42">
        <v>3008</v>
      </c>
      <c r="D37" s="43" t="s">
        <v>72</v>
      </c>
      <c r="E37" s="42">
        <v>2030</v>
      </c>
      <c r="F37" s="44">
        <v>1404730.334</v>
      </c>
      <c r="G37" s="44">
        <v>1292672.6569999999</v>
      </c>
      <c r="H37" s="44">
        <v>1178776.0349999999</v>
      </c>
      <c r="I37" s="44">
        <v>1110082.0689999999</v>
      </c>
      <c r="J37" s="44">
        <v>1746617.2749999999</v>
      </c>
      <c r="K37" s="44">
        <v>1481340.08866667</v>
      </c>
      <c r="L37" s="45">
        <f t="shared" si="0"/>
        <v>341045301.95999992</v>
      </c>
      <c r="M37" s="46">
        <f t="shared" si="4"/>
        <v>4.3435287926658246E-3</v>
      </c>
      <c r="N37" s="44">
        <v>11408.18</v>
      </c>
      <c r="O37" s="45">
        <f t="shared" si="5"/>
        <v>49.551758301914411</v>
      </c>
      <c r="P37" s="44">
        <v>90.301000000000002</v>
      </c>
      <c r="Q37" s="44">
        <v>127.98399999999999</v>
      </c>
      <c r="R37" s="44">
        <v>103.642</v>
      </c>
      <c r="S37" s="44">
        <v>114.176</v>
      </c>
      <c r="T37" s="44">
        <v>105.607</v>
      </c>
      <c r="U37" s="44">
        <v>77.38</v>
      </c>
      <c r="V37" s="44">
        <v>109.53700000000001</v>
      </c>
      <c r="W37" s="44">
        <v>172.733</v>
      </c>
      <c r="X37" s="44">
        <v>172.733</v>
      </c>
      <c r="Y37" s="47">
        <v>62</v>
      </c>
      <c r="Z37" s="41"/>
      <c r="AA37" s="48"/>
      <c r="AB37" s="49">
        <f t="shared" si="1"/>
        <v>123.18124169808559</v>
      </c>
      <c r="AC37" s="49">
        <f t="shared" si="6"/>
        <v>1481340.08866667</v>
      </c>
      <c r="AD37" s="50">
        <f t="shared" si="2"/>
        <v>6.2145036271689337E-3</v>
      </c>
      <c r="AE37" s="49">
        <f t="shared" si="7"/>
        <v>49.551758301914411</v>
      </c>
      <c r="AF37" s="51">
        <f t="shared" si="3"/>
        <v>12.114997341620734</v>
      </c>
      <c r="AG37" s="51">
        <f t="shared" si="8"/>
        <v>61.666755643535147</v>
      </c>
      <c r="AH37" s="51">
        <f t="shared" si="9"/>
        <v>0.53749089752395618</v>
      </c>
      <c r="AI37" s="52">
        <f t="shared" si="10"/>
        <v>62</v>
      </c>
      <c r="AJ37" s="48"/>
      <c r="AK37" s="48"/>
      <c r="AL37" s="48"/>
      <c r="AM37" s="48"/>
    </row>
    <row r="38" spans="1:39" x14ac:dyDescent="0.2">
      <c r="A38" s="41" t="s">
        <v>86</v>
      </c>
      <c r="B38" s="41" t="s">
        <v>54</v>
      </c>
      <c r="C38" s="42">
        <v>3008</v>
      </c>
      <c r="D38" s="43" t="s">
        <v>60</v>
      </c>
      <c r="E38" s="42">
        <v>2031</v>
      </c>
      <c r="F38" s="44">
        <v>1600846.426</v>
      </c>
      <c r="G38" s="44">
        <v>1080048.034</v>
      </c>
      <c r="H38" s="44">
        <v>653392.66299999994</v>
      </c>
      <c r="I38" s="44">
        <v>482996.36499999999</v>
      </c>
      <c r="J38" s="44">
        <v>421942.984</v>
      </c>
      <c r="K38" s="44">
        <v>1111429.041</v>
      </c>
      <c r="L38" s="45">
        <f t="shared" si="0"/>
        <v>341045301.95999992</v>
      </c>
      <c r="M38" s="46">
        <f t="shared" si="4"/>
        <v>3.2588897563243838E-3</v>
      </c>
      <c r="N38" s="44">
        <v>11408.18</v>
      </c>
      <c r="O38" s="45">
        <f t="shared" si="5"/>
        <v>37.178000940304713</v>
      </c>
      <c r="P38" s="44">
        <v>49.343000000000004</v>
      </c>
      <c r="Q38" s="44">
        <v>94.483000000000004</v>
      </c>
      <c r="R38" s="44">
        <v>138.02500000000001</v>
      </c>
      <c r="S38" s="44">
        <v>113.295</v>
      </c>
      <c r="T38" s="44">
        <v>71.471999999999994</v>
      </c>
      <c r="U38" s="44">
        <v>40.811</v>
      </c>
      <c r="V38" s="44">
        <v>34.628</v>
      </c>
      <c r="W38" s="44">
        <v>28.395</v>
      </c>
      <c r="X38" s="44">
        <v>138.02500000000001</v>
      </c>
      <c r="Y38" s="47">
        <v>47</v>
      </c>
      <c r="Z38" s="41"/>
      <c r="AA38" s="48"/>
      <c r="AB38" s="49">
        <f t="shared" si="1"/>
        <v>100.84699905969529</v>
      </c>
      <c r="AC38" s="49">
        <f t="shared" si="6"/>
        <v>1111429.041</v>
      </c>
      <c r="AD38" s="50">
        <f t="shared" si="2"/>
        <v>4.6626563741026198E-3</v>
      </c>
      <c r="AE38" s="49">
        <f t="shared" si="7"/>
        <v>37.178000940304713</v>
      </c>
      <c r="AF38" s="51">
        <f t="shared" si="3"/>
        <v>9.0897154408577929</v>
      </c>
      <c r="AG38" s="51">
        <f t="shared" si="8"/>
        <v>46.267716381162508</v>
      </c>
      <c r="AH38" s="51">
        <f t="shared" si="9"/>
        <v>1.5580502528457278</v>
      </c>
      <c r="AI38" s="52">
        <f t="shared" si="10"/>
        <v>46</v>
      </c>
      <c r="AJ38" s="48"/>
      <c r="AK38" s="48"/>
      <c r="AL38" s="48"/>
      <c r="AM38" s="48"/>
    </row>
    <row r="39" spans="1:39" x14ac:dyDescent="0.2">
      <c r="A39" s="41" t="s">
        <v>87</v>
      </c>
      <c r="B39" s="41" t="s">
        <v>54</v>
      </c>
      <c r="C39" s="42">
        <v>2952</v>
      </c>
      <c r="D39" s="43" t="s">
        <v>60</v>
      </c>
      <c r="E39" s="42">
        <v>2004</v>
      </c>
      <c r="F39" s="44"/>
      <c r="G39" s="44"/>
      <c r="H39" s="44"/>
      <c r="I39" s="44"/>
      <c r="J39" s="44"/>
      <c r="K39" s="44"/>
      <c r="L39" s="45">
        <f t="shared" si="0"/>
        <v>341045301.95999992</v>
      </c>
      <c r="M39" s="46">
        <f t="shared" si="4"/>
        <v>0</v>
      </c>
      <c r="N39" s="44">
        <v>11408.18</v>
      </c>
      <c r="O39" s="45">
        <f>M39*N39</f>
        <v>0</v>
      </c>
      <c r="P39" s="44">
        <v>175.05199999999999</v>
      </c>
      <c r="Q39" s="44"/>
      <c r="R39" s="44"/>
      <c r="S39" s="44"/>
      <c r="T39" s="44"/>
      <c r="U39" s="44"/>
      <c r="V39" s="44"/>
      <c r="W39" s="44"/>
      <c r="X39" s="44">
        <v>175.05199999999999</v>
      </c>
      <c r="Y39" s="47"/>
      <c r="Z39" s="41"/>
      <c r="AA39" s="48"/>
      <c r="AB39" s="49">
        <f t="shared" si="1"/>
        <v>175.05199999999999</v>
      </c>
      <c r="AC39" s="49">
        <f t="shared" si="6"/>
        <v>0</v>
      </c>
      <c r="AD39" s="50">
        <f t="shared" si="2"/>
        <v>0</v>
      </c>
      <c r="AE39" s="49">
        <f t="shared" si="7"/>
        <v>0</v>
      </c>
      <c r="AF39" s="51">
        <f t="shared" si="3"/>
        <v>0</v>
      </c>
      <c r="AG39" s="51">
        <f t="shared" si="8"/>
        <v>0</v>
      </c>
      <c r="AH39" s="51"/>
      <c r="AI39" s="52">
        <f t="shared" si="10"/>
        <v>0</v>
      </c>
      <c r="AJ39" s="48"/>
      <c r="AK39" s="48"/>
      <c r="AL39" s="48"/>
      <c r="AM39" s="48"/>
    </row>
    <row r="40" spans="1:39" x14ac:dyDescent="0.2">
      <c r="A40" s="41" t="s">
        <v>87</v>
      </c>
      <c r="B40" s="41" t="s">
        <v>54</v>
      </c>
      <c r="C40" s="42">
        <v>2952</v>
      </c>
      <c r="D40" s="43" t="s">
        <v>67</v>
      </c>
      <c r="E40" s="42">
        <v>2005</v>
      </c>
      <c r="F40" s="44">
        <v>14645468.460999999</v>
      </c>
      <c r="G40" s="44">
        <v>14714429.854</v>
      </c>
      <c r="H40" s="44">
        <v>11346598.966</v>
      </c>
      <c r="I40" s="44">
        <v>14015058.887</v>
      </c>
      <c r="J40" s="44">
        <v>407652.84700000001</v>
      </c>
      <c r="K40" s="44">
        <v>14458319.0673333</v>
      </c>
      <c r="L40" s="45">
        <f t="shared" si="0"/>
        <v>341045301.95999992</v>
      </c>
      <c r="M40" s="46">
        <f t="shared" si="4"/>
        <v>4.2394130586877479E-2</v>
      </c>
      <c r="N40" s="44">
        <v>11408.18</v>
      </c>
      <c r="O40" s="45">
        <f t="shared" si="5"/>
        <v>483.63987267860392</v>
      </c>
      <c r="P40" s="44">
        <v>2117.1010000000001</v>
      </c>
      <c r="Q40" s="44">
        <v>2453.1460000000002</v>
      </c>
      <c r="R40" s="44">
        <v>2460.357</v>
      </c>
      <c r="S40" s="44">
        <v>2216.2179999999998</v>
      </c>
      <c r="T40" s="44">
        <v>1991.086</v>
      </c>
      <c r="U40" s="44">
        <v>1897.722</v>
      </c>
      <c r="V40" s="44">
        <v>2190.645</v>
      </c>
      <c r="W40" s="44">
        <v>39.286999999999999</v>
      </c>
      <c r="X40" s="44">
        <v>2460.357</v>
      </c>
      <c r="Y40" s="47">
        <v>605</v>
      </c>
      <c r="Z40" s="41"/>
      <c r="AA40" s="48"/>
      <c r="AB40" s="49">
        <f t="shared" si="1"/>
        <v>1976.717127321396</v>
      </c>
      <c r="AC40" s="49">
        <f t="shared" si="6"/>
        <v>14458319.0673333</v>
      </c>
      <c r="AD40" s="50">
        <f t="shared" si="2"/>
        <v>6.0655400454045771E-2</v>
      </c>
      <c r="AE40" s="49">
        <f t="shared" si="7"/>
        <v>483.63987267860392</v>
      </c>
      <c r="AF40" s="51">
        <f t="shared" si="3"/>
        <v>118.24597093210932</v>
      </c>
      <c r="AG40" s="51">
        <f t="shared" si="8"/>
        <v>601.88584361071321</v>
      </c>
      <c r="AH40" s="51">
        <f t="shared" si="9"/>
        <v>0.51473659327054389</v>
      </c>
      <c r="AI40" s="52">
        <f t="shared" si="10"/>
        <v>602</v>
      </c>
      <c r="AJ40" s="48"/>
      <c r="AK40" s="48"/>
      <c r="AL40" s="48"/>
      <c r="AM40" s="48"/>
    </row>
    <row r="41" spans="1:39" x14ac:dyDescent="0.2">
      <c r="A41" s="41" t="s">
        <v>87</v>
      </c>
      <c r="B41" s="41" t="s">
        <v>54</v>
      </c>
      <c r="C41" s="42">
        <v>2952</v>
      </c>
      <c r="D41" s="43" t="s">
        <v>68</v>
      </c>
      <c r="E41" s="42">
        <v>2006</v>
      </c>
      <c r="F41" s="44">
        <v>13526094.244000001</v>
      </c>
      <c r="G41" s="44">
        <v>13585713.889</v>
      </c>
      <c r="H41" s="44">
        <v>13404319.112</v>
      </c>
      <c r="I41" s="44">
        <v>17495093.545000002</v>
      </c>
      <c r="J41" s="44">
        <v>13286088.517000001</v>
      </c>
      <c r="K41" s="44">
        <v>14868967.226</v>
      </c>
      <c r="L41" s="45">
        <f t="shared" si="0"/>
        <v>341045301.95999992</v>
      </c>
      <c r="M41" s="46">
        <f t="shared" si="4"/>
        <v>4.3598217423161958E-2</v>
      </c>
      <c r="N41" s="44">
        <v>11408.18</v>
      </c>
      <c r="O41" s="45">
        <f t="shared" si="5"/>
        <v>497.3763120425678</v>
      </c>
      <c r="P41" s="44">
        <v>2727.569</v>
      </c>
      <c r="Q41" s="44">
        <v>2256.884</v>
      </c>
      <c r="R41" s="44">
        <v>2428.6</v>
      </c>
      <c r="S41" s="44">
        <v>2211.739</v>
      </c>
      <c r="T41" s="44">
        <v>1880.5989999999999</v>
      </c>
      <c r="U41" s="44">
        <v>2115.2620000000002</v>
      </c>
      <c r="V41" s="44">
        <v>1289.875</v>
      </c>
      <c r="W41" s="44">
        <v>929.36099999999999</v>
      </c>
      <c r="X41" s="44">
        <v>2727.569</v>
      </c>
      <c r="Y41" s="47">
        <v>622</v>
      </c>
      <c r="Z41" s="41"/>
      <c r="AA41" s="48"/>
      <c r="AB41" s="49">
        <f t="shared" si="1"/>
        <v>2230.1926879574321</v>
      </c>
      <c r="AC41" s="49">
        <f t="shared" si="6"/>
        <v>14868967.226</v>
      </c>
      <c r="AD41" s="50">
        <f t="shared" si="2"/>
        <v>6.237814764157476E-2</v>
      </c>
      <c r="AE41" s="49">
        <f t="shared" si="7"/>
        <v>497.3763120425678</v>
      </c>
      <c r="AF41" s="51">
        <f t="shared" si="3"/>
        <v>121.60441737438877</v>
      </c>
      <c r="AG41" s="51">
        <f t="shared" si="8"/>
        <v>618.98072941695659</v>
      </c>
      <c r="AH41" s="51">
        <f t="shared" si="9"/>
        <v>0.48541327701662507</v>
      </c>
      <c r="AI41" s="52">
        <f t="shared" si="10"/>
        <v>619</v>
      </c>
      <c r="AJ41" s="48"/>
      <c r="AK41" s="48"/>
      <c r="AL41" s="48"/>
      <c r="AM41" s="48"/>
    </row>
    <row r="42" spans="1:39" x14ac:dyDescent="0.2">
      <c r="A42" s="41" t="s">
        <v>87</v>
      </c>
      <c r="B42" s="41" t="s">
        <v>54</v>
      </c>
      <c r="C42" s="42">
        <v>2952</v>
      </c>
      <c r="D42" s="43" t="s">
        <v>69</v>
      </c>
      <c r="E42" s="42">
        <v>2007</v>
      </c>
      <c r="F42" s="44">
        <v>15873980.926999999</v>
      </c>
      <c r="G42" s="44">
        <v>15669397.677999999</v>
      </c>
      <c r="H42" s="44">
        <v>13181624.189999999</v>
      </c>
      <c r="I42" s="44">
        <v>7224451.4699999997</v>
      </c>
      <c r="J42" s="44">
        <v>11503681.564999999</v>
      </c>
      <c r="K42" s="44">
        <v>14908334.265000001</v>
      </c>
      <c r="L42" s="45">
        <f t="shared" si="0"/>
        <v>341045301.95999992</v>
      </c>
      <c r="M42" s="46">
        <f t="shared" si="4"/>
        <v>4.371364795034928E-2</v>
      </c>
      <c r="N42" s="44">
        <v>11408.18</v>
      </c>
      <c r="O42" s="45">
        <f t="shared" si="5"/>
        <v>498.69316427421563</v>
      </c>
      <c r="P42" s="44">
        <v>3056.6689999999999</v>
      </c>
      <c r="Q42" s="44">
        <v>2403.9169999999999</v>
      </c>
      <c r="R42" s="44">
        <v>2508.8780000000002</v>
      </c>
      <c r="S42" s="44">
        <v>2691.038</v>
      </c>
      <c r="T42" s="44">
        <v>2374.7190000000001</v>
      </c>
      <c r="U42" s="44">
        <v>1838.9010000000001</v>
      </c>
      <c r="V42" s="44">
        <v>1241.0519999999999</v>
      </c>
      <c r="W42" s="44">
        <v>1497.05</v>
      </c>
      <c r="X42" s="44">
        <v>3056.6689999999999</v>
      </c>
      <c r="Y42" s="47">
        <v>624</v>
      </c>
      <c r="Z42" s="41"/>
      <c r="AA42" s="48"/>
      <c r="AB42" s="49">
        <f t="shared" si="1"/>
        <v>2557.9758357257842</v>
      </c>
      <c r="AC42" s="49">
        <f t="shared" si="6"/>
        <v>14908334.265000001</v>
      </c>
      <c r="AD42" s="50">
        <f t="shared" si="2"/>
        <v>6.2543299863220644E-2</v>
      </c>
      <c r="AE42" s="49">
        <f t="shared" si="7"/>
        <v>498.69316427421563</v>
      </c>
      <c r="AF42" s="51">
        <f t="shared" si="3"/>
        <v>121.92637691391745</v>
      </c>
      <c r="AG42" s="51">
        <f t="shared" si="8"/>
        <v>620.6195411881331</v>
      </c>
      <c r="AH42" s="51">
        <f t="shared" si="9"/>
        <v>0.54174019420943931</v>
      </c>
      <c r="AI42" s="52">
        <f t="shared" si="10"/>
        <v>621</v>
      </c>
      <c r="AJ42" s="48"/>
      <c r="AK42" s="48"/>
      <c r="AL42" s="48"/>
      <c r="AM42" s="48"/>
    </row>
    <row r="43" spans="1:39" x14ac:dyDescent="0.2">
      <c r="A43" s="41" t="s">
        <v>88</v>
      </c>
      <c r="B43" s="41" t="s">
        <v>54</v>
      </c>
      <c r="C43" s="42">
        <v>2953</v>
      </c>
      <c r="D43" s="43" t="s">
        <v>71</v>
      </c>
      <c r="E43" s="42">
        <v>2008</v>
      </c>
      <c r="F43" s="44">
        <v>364304.82799999998</v>
      </c>
      <c r="G43" s="44">
        <v>202390.02</v>
      </c>
      <c r="H43" s="44">
        <v>129584.614</v>
      </c>
      <c r="I43" s="44">
        <v>127563.784</v>
      </c>
      <c r="J43" s="44">
        <v>67379.070000000007</v>
      </c>
      <c r="K43" s="44">
        <v>232093.15400000001</v>
      </c>
      <c r="L43" s="45">
        <f t="shared" si="0"/>
        <v>341045301.95999992</v>
      </c>
      <c r="M43" s="46">
        <f t="shared" si="4"/>
        <v>6.8053467579278209E-4</v>
      </c>
      <c r="N43" s="44">
        <v>11408.18</v>
      </c>
      <c r="O43" s="45">
        <f t="shared" si="5"/>
        <v>7.7636620776857006</v>
      </c>
      <c r="P43" s="44">
        <v>4.1340000000000003</v>
      </c>
      <c r="Q43" s="44">
        <v>14.882</v>
      </c>
      <c r="R43" s="44">
        <v>49.247</v>
      </c>
      <c r="S43" s="44">
        <v>26.620999999999999</v>
      </c>
      <c r="T43" s="44">
        <v>14.734</v>
      </c>
      <c r="U43" s="44">
        <v>9.2289999999999992</v>
      </c>
      <c r="V43" s="44">
        <v>10.992000000000001</v>
      </c>
      <c r="W43" s="44">
        <v>8.1549999999999994</v>
      </c>
      <c r="X43" s="44">
        <v>49.247</v>
      </c>
      <c r="Y43" s="47">
        <v>10</v>
      </c>
      <c r="Z43" s="41"/>
      <c r="AA43" s="48"/>
      <c r="AB43" s="49">
        <f t="shared" si="1"/>
        <v>41.483337922314298</v>
      </c>
      <c r="AC43" s="49">
        <f t="shared" si="6"/>
        <v>232093.15400000001</v>
      </c>
      <c r="AD43" s="50">
        <f t="shared" si="2"/>
        <v>9.7367495716146305E-4</v>
      </c>
      <c r="AE43" s="49">
        <f t="shared" si="7"/>
        <v>7.7636620776857006</v>
      </c>
      <c r="AF43" s="51">
        <f t="shared" si="3"/>
        <v>1.8981515218758671</v>
      </c>
      <c r="AG43" s="51">
        <f t="shared" si="8"/>
        <v>9.661813599561567</v>
      </c>
      <c r="AH43" s="51">
        <f t="shared" si="9"/>
        <v>3.3818640043843295</v>
      </c>
      <c r="AI43" s="52">
        <f t="shared" si="10"/>
        <v>10</v>
      </c>
      <c r="AJ43" s="48"/>
      <c r="AK43" s="48"/>
      <c r="AL43" s="48"/>
      <c r="AM43" s="48"/>
    </row>
    <row r="44" spans="1:39" x14ac:dyDescent="0.2">
      <c r="A44" s="41" t="s">
        <v>88</v>
      </c>
      <c r="B44" s="41" t="s">
        <v>54</v>
      </c>
      <c r="C44" s="42">
        <v>2953</v>
      </c>
      <c r="D44" s="43" t="s">
        <v>72</v>
      </c>
      <c r="E44" s="42">
        <v>2009</v>
      </c>
      <c r="F44" s="44">
        <v>421621.33299999998</v>
      </c>
      <c r="G44" s="44">
        <v>268951.22399999999</v>
      </c>
      <c r="H44" s="44">
        <v>133631.079</v>
      </c>
      <c r="I44" s="44">
        <v>180958.96400000001</v>
      </c>
      <c r="J44" s="44">
        <v>39378.661</v>
      </c>
      <c r="K44" s="44">
        <v>290510.50699999998</v>
      </c>
      <c r="L44" s="45">
        <f t="shared" si="0"/>
        <v>341045301.95999992</v>
      </c>
      <c r="M44" s="46">
        <f t="shared" si="4"/>
        <v>8.5182380560713019E-4</v>
      </c>
      <c r="N44" s="44">
        <v>11408.18</v>
      </c>
      <c r="O44" s="45">
        <f t="shared" si="5"/>
        <v>9.7177593026511513</v>
      </c>
      <c r="P44" s="44">
        <v>2.7480000000000002</v>
      </c>
      <c r="Q44" s="44">
        <v>11.086</v>
      </c>
      <c r="R44" s="44">
        <v>38.299999999999997</v>
      </c>
      <c r="S44" s="44">
        <v>24.422999999999998</v>
      </c>
      <c r="T44" s="44">
        <v>15.978</v>
      </c>
      <c r="U44" s="44">
        <v>8.173</v>
      </c>
      <c r="V44" s="44">
        <v>12.737</v>
      </c>
      <c r="W44" s="44">
        <v>3.9609999999999999</v>
      </c>
      <c r="X44" s="44">
        <v>38.299999999999997</v>
      </c>
      <c r="Y44" s="47">
        <v>12</v>
      </c>
      <c r="Z44" s="41"/>
      <c r="AA44" s="48"/>
      <c r="AB44" s="49">
        <f t="shared" si="1"/>
        <v>28.582240697348844</v>
      </c>
      <c r="AC44" s="49">
        <f t="shared" si="6"/>
        <v>290510.50699999998</v>
      </c>
      <c r="AD44" s="50">
        <f t="shared" si="2"/>
        <v>1.2187468720347516E-3</v>
      </c>
      <c r="AE44" s="49">
        <f t="shared" si="7"/>
        <v>9.7177593026511513</v>
      </c>
      <c r="AF44" s="51">
        <f t="shared" si="3"/>
        <v>2.3759122209308239</v>
      </c>
      <c r="AG44" s="51">
        <f t="shared" si="8"/>
        <v>12.093671523581975</v>
      </c>
      <c r="AH44" s="51">
        <f t="shared" si="9"/>
        <v>-0.78059602984978937</v>
      </c>
      <c r="AI44" s="52">
        <f t="shared" si="10"/>
        <v>12</v>
      </c>
      <c r="AJ44" s="48"/>
      <c r="AK44" s="48"/>
      <c r="AL44" s="48"/>
      <c r="AM44" s="48"/>
    </row>
    <row r="45" spans="1:39" x14ac:dyDescent="0.2">
      <c r="A45" s="41" t="s">
        <v>88</v>
      </c>
      <c r="B45" s="41" t="s">
        <v>54</v>
      </c>
      <c r="C45" s="42">
        <v>2953</v>
      </c>
      <c r="D45" s="43" t="s">
        <v>60</v>
      </c>
      <c r="E45" s="42">
        <v>2010</v>
      </c>
      <c r="F45" s="44">
        <v>2562029.2429999998</v>
      </c>
      <c r="G45" s="44">
        <v>1802438.73</v>
      </c>
      <c r="H45" s="44">
        <v>686474.61100000003</v>
      </c>
      <c r="I45" s="44">
        <v>290335.61700000003</v>
      </c>
      <c r="J45" s="44">
        <v>268648.73499999999</v>
      </c>
      <c r="K45" s="44">
        <v>1683647.5279999999</v>
      </c>
      <c r="L45" s="45">
        <f t="shared" si="0"/>
        <v>341045301.95999992</v>
      </c>
      <c r="M45" s="46">
        <f t="shared" si="4"/>
        <v>4.9367269342929388E-3</v>
      </c>
      <c r="N45" s="44">
        <v>11408.18</v>
      </c>
      <c r="O45" s="45">
        <f t="shared" si="5"/>
        <v>56.319069477262019</v>
      </c>
      <c r="P45" s="44">
        <v>215.27500000000001</v>
      </c>
      <c r="Q45" s="44">
        <v>142.42500000000001</v>
      </c>
      <c r="R45" s="44">
        <v>185.24</v>
      </c>
      <c r="S45" s="44">
        <v>318.315</v>
      </c>
      <c r="T45" s="44">
        <v>270.87200000000001</v>
      </c>
      <c r="U45" s="44">
        <v>71.358000000000004</v>
      </c>
      <c r="V45" s="44">
        <v>43.927999999999997</v>
      </c>
      <c r="W45" s="44">
        <v>38.143000000000001</v>
      </c>
      <c r="X45" s="44">
        <v>318.315</v>
      </c>
      <c r="Y45" s="47">
        <v>70</v>
      </c>
      <c r="Z45" s="41"/>
      <c r="AA45" s="48"/>
      <c r="AB45" s="49">
        <f t="shared" si="1"/>
        <v>261.99593052273798</v>
      </c>
      <c r="AC45" s="49">
        <f t="shared" si="6"/>
        <v>1683647.5279999999</v>
      </c>
      <c r="AD45" s="50">
        <f t="shared" si="2"/>
        <v>7.0632218419523184E-3</v>
      </c>
      <c r="AE45" s="49">
        <f t="shared" si="7"/>
        <v>56.319069477262019</v>
      </c>
      <c r="AF45" s="51">
        <f t="shared" si="3"/>
        <v>13.769549262860814</v>
      </c>
      <c r="AG45" s="51">
        <f t="shared" si="8"/>
        <v>70.088618740122826</v>
      </c>
      <c r="AH45" s="51">
        <f t="shared" si="9"/>
        <v>-0.12659820017546508</v>
      </c>
      <c r="AI45" s="52">
        <f t="shared" si="10"/>
        <v>70</v>
      </c>
      <c r="AJ45" s="48"/>
      <c r="AK45" s="48"/>
      <c r="AL45" s="48"/>
      <c r="AM45" s="48"/>
    </row>
    <row r="46" spans="1:39" x14ac:dyDescent="0.2">
      <c r="A46" s="41" t="s">
        <v>88</v>
      </c>
      <c r="B46" s="41" t="s">
        <v>54</v>
      </c>
      <c r="C46" s="42">
        <v>2953</v>
      </c>
      <c r="D46" s="43" t="s">
        <v>67</v>
      </c>
      <c r="E46" s="42">
        <v>2011</v>
      </c>
      <c r="F46" s="44">
        <v>4363918.03</v>
      </c>
      <c r="G46" s="44">
        <v>3343121.5619999999</v>
      </c>
      <c r="H46" s="44">
        <v>2999936.8089999999</v>
      </c>
      <c r="I46" s="44">
        <v>817506.36499999999</v>
      </c>
      <c r="J46" s="44">
        <v>769130.58900000004</v>
      </c>
      <c r="K46" s="44">
        <v>3568992.1336666699</v>
      </c>
      <c r="L46" s="45">
        <f t="shared" si="0"/>
        <v>341045301.95999992</v>
      </c>
      <c r="M46" s="46">
        <f t="shared" si="4"/>
        <v>1.0464862331061418E-2</v>
      </c>
      <c r="N46" s="44">
        <v>11408.18</v>
      </c>
      <c r="O46" s="45">
        <f t="shared" si="5"/>
        <v>119.38503314796824</v>
      </c>
      <c r="P46" s="44">
        <v>618.76800000000003</v>
      </c>
      <c r="Q46" s="44">
        <v>490.673</v>
      </c>
      <c r="R46" s="44">
        <v>397.387</v>
      </c>
      <c r="S46" s="44">
        <v>810.48199999999997</v>
      </c>
      <c r="T46" s="44">
        <v>618.14300000000003</v>
      </c>
      <c r="U46" s="44">
        <v>495.94499999999999</v>
      </c>
      <c r="V46" s="44">
        <v>135.72399999999999</v>
      </c>
      <c r="W46" s="44">
        <v>137.548</v>
      </c>
      <c r="X46" s="44">
        <v>810.48199999999997</v>
      </c>
      <c r="Y46" s="47">
        <v>149</v>
      </c>
      <c r="Z46" s="41"/>
      <c r="AA46" s="48"/>
      <c r="AB46" s="49">
        <f t="shared" si="1"/>
        <v>691.09696685203176</v>
      </c>
      <c r="AC46" s="49">
        <f t="shared" si="6"/>
        <v>3568992.1336666699</v>
      </c>
      <c r="AD46" s="50">
        <f t="shared" si="2"/>
        <v>1.4972601315321405E-2</v>
      </c>
      <c r="AE46" s="49">
        <f t="shared" si="7"/>
        <v>119.38503314796824</v>
      </c>
      <c r="AF46" s="51">
        <f t="shared" si="3"/>
        <v>29.188658662815996</v>
      </c>
      <c r="AG46" s="51">
        <f t="shared" si="8"/>
        <v>148.57369181078423</v>
      </c>
      <c r="AH46" s="51">
        <f t="shared" si="9"/>
        <v>0.28611287866830493</v>
      </c>
      <c r="AI46" s="52">
        <f t="shared" si="10"/>
        <v>149</v>
      </c>
      <c r="AJ46" s="48"/>
      <c r="AK46" s="48"/>
      <c r="AL46" s="48"/>
      <c r="AM46" s="48"/>
    </row>
    <row r="47" spans="1:39" x14ac:dyDescent="0.2">
      <c r="A47" s="41" t="s">
        <v>88</v>
      </c>
      <c r="B47" s="41" t="s">
        <v>54</v>
      </c>
      <c r="C47" s="42">
        <v>2953</v>
      </c>
      <c r="D47" s="43" t="s">
        <v>89</v>
      </c>
      <c r="E47" s="42">
        <v>90979</v>
      </c>
      <c r="F47" s="44"/>
      <c r="G47" s="44"/>
      <c r="H47" s="44"/>
      <c r="I47" s="44"/>
      <c r="J47" s="44">
        <v>5761.5</v>
      </c>
      <c r="K47" s="44">
        <v>5761.5</v>
      </c>
      <c r="L47" s="45">
        <f t="shared" si="0"/>
        <v>341045301.95999992</v>
      </c>
      <c r="M47" s="46">
        <f t="shared" si="4"/>
        <v>1.6893650101286977E-5</v>
      </c>
      <c r="N47" s="44">
        <v>11408.18</v>
      </c>
      <c r="O47" s="45">
        <f t="shared" si="5"/>
        <v>0.19272580121250008</v>
      </c>
      <c r="P47" s="44"/>
      <c r="Q47" s="44"/>
      <c r="R47" s="44"/>
      <c r="S47" s="44"/>
      <c r="T47" s="44"/>
      <c r="U47" s="44"/>
      <c r="V47" s="44"/>
      <c r="W47" s="44">
        <v>2.0169999999999999</v>
      </c>
      <c r="X47" s="44">
        <v>2.0169999999999999</v>
      </c>
      <c r="Y47" s="47">
        <v>0</v>
      </c>
      <c r="Z47" s="41"/>
      <c r="AA47" s="48"/>
      <c r="AB47" s="49">
        <f t="shared" si="1"/>
        <v>1.8242741987874997</v>
      </c>
      <c r="AC47" s="49">
        <f t="shared" si="6"/>
        <v>5761.5</v>
      </c>
      <c r="AD47" s="50">
        <f t="shared" si="2"/>
        <v>2.4170589132007613E-5</v>
      </c>
      <c r="AE47" s="49">
        <f t="shared" si="7"/>
        <v>0.19272580121250008</v>
      </c>
      <c r="AF47" s="51">
        <f t="shared" si="3"/>
        <v>4.7119873226798441E-2</v>
      </c>
      <c r="AG47" s="51">
        <f t="shared" si="8"/>
        <v>0.23984567443929852</v>
      </c>
      <c r="AH47" s="51"/>
      <c r="AI47" s="52">
        <f t="shared" si="10"/>
        <v>0</v>
      </c>
      <c r="AJ47" s="48"/>
      <c r="AK47" s="48"/>
      <c r="AL47" s="48"/>
      <c r="AM47" s="48"/>
    </row>
    <row r="48" spans="1:39" x14ac:dyDescent="0.2">
      <c r="A48" s="41" t="s">
        <v>88</v>
      </c>
      <c r="B48" s="41" t="s">
        <v>54</v>
      </c>
      <c r="C48" s="42">
        <v>2953</v>
      </c>
      <c r="D48" s="43" t="s">
        <v>90</v>
      </c>
      <c r="E48" s="42">
        <v>90980</v>
      </c>
      <c r="F48" s="44"/>
      <c r="G48" s="44"/>
      <c r="H48" s="44"/>
      <c r="I48" s="44"/>
      <c r="J48" s="44">
        <v>5761.5</v>
      </c>
      <c r="K48" s="44">
        <v>5761.5</v>
      </c>
      <c r="L48" s="45">
        <f t="shared" si="0"/>
        <v>341045301.95999992</v>
      </c>
      <c r="M48" s="46">
        <f t="shared" si="4"/>
        <v>1.6893650101286977E-5</v>
      </c>
      <c r="N48" s="44">
        <v>11408.18</v>
      </c>
      <c r="O48" s="45">
        <f t="shared" si="5"/>
        <v>0.19272580121250008</v>
      </c>
      <c r="P48" s="44"/>
      <c r="Q48" s="44"/>
      <c r="R48" s="44"/>
      <c r="S48" s="44"/>
      <c r="T48" s="44"/>
      <c r="U48" s="44"/>
      <c r="V48" s="44"/>
      <c r="W48" s="44">
        <v>2.0169999999999999</v>
      </c>
      <c r="X48" s="44">
        <v>2.0169999999999999</v>
      </c>
      <c r="Y48" s="47">
        <v>0</v>
      </c>
      <c r="Z48" s="41"/>
      <c r="AA48" s="48"/>
      <c r="AB48" s="49">
        <f t="shared" si="1"/>
        <v>1.8242741987874997</v>
      </c>
      <c r="AC48" s="49">
        <f t="shared" si="6"/>
        <v>5761.5</v>
      </c>
      <c r="AD48" s="50">
        <f t="shared" si="2"/>
        <v>2.4170589132007613E-5</v>
      </c>
      <c r="AE48" s="49">
        <f t="shared" si="7"/>
        <v>0.19272580121250008</v>
      </c>
      <c r="AF48" s="51">
        <f t="shared" si="3"/>
        <v>4.7119873226798441E-2</v>
      </c>
      <c r="AG48" s="51">
        <f t="shared" si="8"/>
        <v>0.23984567443929852</v>
      </c>
      <c r="AH48" s="51"/>
      <c r="AI48" s="52">
        <f t="shared" si="10"/>
        <v>0</v>
      </c>
      <c r="AJ48" s="48"/>
      <c r="AK48" s="48"/>
      <c r="AL48" s="48"/>
      <c r="AM48" s="48"/>
    </row>
    <row r="49" spans="1:39" x14ac:dyDescent="0.2">
      <c r="A49" s="41" t="s">
        <v>88</v>
      </c>
      <c r="B49" s="41" t="s">
        <v>54</v>
      </c>
      <c r="C49" s="42">
        <v>2953</v>
      </c>
      <c r="D49" s="43" t="s">
        <v>91</v>
      </c>
      <c r="E49" s="42">
        <v>90981</v>
      </c>
      <c r="F49" s="44"/>
      <c r="G49" s="44"/>
      <c r="H49" s="44"/>
      <c r="I49" s="44"/>
      <c r="J49" s="44">
        <v>5125.5</v>
      </c>
      <c r="K49" s="44">
        <v>5125.5</v>
      </c>
      <c r="L49" s="45">
        <f t="shared" si="0"/>
        <v>341045301.95999992</v>
      </c>
      <c r="M49" s="46">
        <f t="shared" si="4"/>
        <v>1.5028795208564852E-5</v>
      </c>
      <c r="N49" s="44">
        <v>11408.18</v>
      </c>
      <c r="O49" s="45">
        <f t="shared" si="5"/>
        <v>0.17145120092244537</v>
      </c>
      <c r="P49" s="44"/>
      <c r="Q49" s="44"/>
      <c r="R49" s="44"/>
      <c r="S49" s="44"/>
      <c r="T49" s="44"/>
      <c r="U49" s="44"/>
      <c r="V49" s="44"/>
      <c r="W49" s="44">
        <v>1.794</v>
      </c>
      <c r="X49" s="44">
        <v>1.794</v>
      </c>
      <c r="Y49" s="47">
        <v>0</v>
      </c>
      <c r="Z49" s="41"/>
      <c r="AA49" s="48"/>
      <c r="AB49" s="49">
        <f t="shared" si="1"/>
        <v>1.6225487990775547</v>
      </c>
      <c r="AC49" s="49">
        <f t="shared" si="6"/>
        <v>5125.5</v>
      </c>
      <c r="AD49" s="50">
        <f t="shared" si="2"/>
        <v>2.1502448077081493E-5</v>
      </c>
      <c r="AE49" s="49">
        <f>MIN(X49,O49)</f>
        <v>0.17145120092244537</v>
      </c>
      <c r="AF49" s="51">
        <f t="shared" si="3"/>
        <v>4.1918408439461152E-2</v>
      </c>
      <c r="AG49" s="51">
        <f t="shared" si="8"/>
        <v>0.21336960936190652</v>
      </c>
      <c r="AH49" s="51"/>
      <c r="AI49" s="52">
        <f t="shared" si="10"/>
        <v>0</v>
      </c>
      <c r="AJ49" s="48"/>
      <c r="AK49" s="48"/>
      <c r="AL49" s="48"/>
      <c r="AM49" s="48"/>
    </row>
    <row r="50" spans="1:39" x14ac:dyDescent="0.2">
      <c r="A50" s="41" t="s">
        <v>88</v>
      </c>
      <c r="B50" s="41" t="s">
        <v>54</v>
      </c>
      <c r="C50" s="42">
        <v>2953</v>
      </c>
      <c r="D50" s="43" t="s">
        <v>92</v>
      </c>
      <c r="E50" s="42">
        <v>90982</v>
      </c>
      <c r="F50" s="44"/>
      <c r="G50" s="44"/>
      <c r="H50" s="44"/>
      <c r="I50" s="44"/>
      <c r="J50" s="44">
        <v>2932.4</v>
      </c>
      <c r="K50" s="44">
        <v>2932.4</v>
      </c>
      <c r="L50" s="45">
        <f t="shared" si="0"/>
        <v>341045301.95999992</v>
      </c>
      <c r="M50" s="46">
        <f t="shared" si="4"/>
        <v>8.5982712066326365E-6</v>
      </c>
      <c r="N50" s="44">
        <v>11408.18</v>
      </c>
      <c r="O50" s="45">
        <f t="shared" si="5"/>
        <v>9.8090625614082314E-2</v>
      </c>
      <c r="P50" s="44"/>
      <c r="Q50" s="44"/>
      <c r="R50" s="44"/>
      <c r="S50" s="44"/>
      <c r="T50" s="44"/>
      <c r="U50" s="44"/>
      <c r="V50" s="44"/>
      <c r="W50" s="44">
        <v>1.0269999999999999</v>
      </c>
      <c r="X50" s="44">
        <v>1.0269999999999999</v>
      </c>
      <c r="Y50" s="47">
        <v>0</v>
      </c>
      <c r="Z50" s="41"/>
      <c r="AA50" s="48"/>
      <c r="AB50" s="49">
        <f t="shared" si="1"/>
        <v>0.92890937438591759</v>
      </c>
      <c r="AC50" s="49">
        <f t="shared" si="6"/>
        <v>2932.4</v>
      </c>
      <c r="AD50" s="50">
        <f t="shared" si="2"/>
        <v>1.2301976146958107E-5</v>
      </c>
      <c r="AE50" s="49">
        <f t="shared" si="7"/>
        <v>9.8090625614082314E-2</v>
      </c>
      <c r="AF50" s="51">
        <f t="shared" si="3"/>
        <v>2.3982351167276539E-2</v>
      </c>
      <c r="AG50" s="51">
        <f t="shared" si="8"/>
        <v>0.12207297678135885</v>
      </c>
      <c r="AH50" s="51"/>
      <c r="AI50" s="52">
        <f t="shared" si="10"/>
        <v>0</v>
      </c>
      <c r="AJ50" s="48"/>
      <c r="AK50" s="48"/>
      <c r="AL50" s="48"/>
      <c r="AM50" s="48"/>
    </row>
    <row r="51" spans="1:39" x14ac:dyDescent="0.2">
      <c r="A51" s="41" t="s">
        <v>93</v>
      </c>
      <c r="B51" s="41" t="s">
        <v>54</v>
      </c>
      <c r="C51" s="42">
        <v>2963</v>
      </c>
      <c r="D51" s="43" t="s">
        <v>94</v>
      </c>
      <c r="E51" s="42">
        <v>2018</v>
      </c>
      <c r="F51" s="44">
        <v>7877877.193</v>
      </c>
      <c r="G51" s="44">
        <v>6957295.0329999998</v>
      </c>
      <c r="H51" s="44">
        <v>4455656.0470000003</v>
      </c>
      <c r="I51" s="44">
        <v>1010287.057</v>
      </c>
      <c r="J51" s="44">
        <v>344724.62699999998</v>
      </c>
      <c r="K51" s="44">
        <v>6430276.091</v>
      </c>
      <c r="L51" s="45">
        <f t="shared" si="0"/>
        <v>341045301.95999992</v>
      </c>
      <c r="M51" s="46">
        <f t="shared" si="4"/>
        <v>1.8854609795370195E-2</v>
      </c>
      <c r="N51" s="44">
        <v>11408.18</v>
      </c>
      <c r="O51" s="45">
        <f t="shared" si="5"/>
        <v>215.09678237534635</v>
      </c>
      <c r="P51" s="44">
        <v>1458.7760000000001</v>
      </c>
      <c r="Q51" s="44">
        <v>905.73199999999997</v>
      </c>
      <c r="R51" s="44">
        <v>1772.4549999999999</v>
      </c>
      <c r="S51" s="44">
        <v>1945.8810000000001</v>
      </c>
      <c r="T51" s="44">
        <v>1716.9970000000001</v>
      </c>
      <c r="U51" s="44">
        <v>907.95799999999997</v>
      </c>
      <c r="V51" s="44">
        <v>103.324</v>
      </c>
      <c r="W51" s="44">
        <v>33.752000000000002</v>
      </c>
      <c r="X51" s="44">
        <v>1945.8810000000001</v>
      </c>
      <c r="Y51" s="47">
        <v>269</v>
      </c>
      <c r="Z51" s="41"/>
      <c r="AA51" s="48"/>
      <c r="AB51" s="49">
        <f t="shared" si="1"/>
        <v>1730.7842176246538</v>
      </c>
      <c r="AC51" s="49">
        <f t="shared" si="6"/>
        <v>6430276.091</v>
      </c>
      <c r="AD51" s="50">
        <f t="shared" si="2"/>
        <v>2.6976232127212185E-2</v>
      </c>
      <c r="AE51" s="49">
        <f t="shared" si="7"/>
        <v>215.09678237534635</v>
      </c>
      <c r="AF51" s="51">
        <f t="shared" si="3"/>
        <v>52.589394119800929</v>
      </c>
      <c r="AG51" s="51">
        <f t="shared" si="8"/>
        <v>267.68617649514727</v>
      </c>
      <c r="AH51" s="51">
        <f t="shared" si="9"/>
        <v>0.48841022485231783</v>
      </c>
      <c r="AI51" s="52">
        <f t="shared" si="10"/>
        <v>268</v>
      </c>
      <c r="AJ51" s="48"/>
      <c r="AK51" s="48"/>
      <c r="AL51" s="48"/>
      <c r="AM51" s="48"/>
    </row>
    <row r="52" spans="1:39" x14ac:dyDescent="0.2">
      <c r="A52" s="41" t="s">
        <v>93</v>
      </c>
      <c r="B52" s="41" t="s">
        <v>54</v>
      </c>
      <c r="C52" s="42">
        <v>2963</v>
      </c>
      <c r="D52" s="43" t="s">
        <v>95</v>
      </c>
      <c r="E52" s="42">
        <v>2019</v>
      </c>
      <c r="F52" s="44">
        <v>15036138.448000001</v>
      </c>
      <c r="G52" s="44">
        <v>14605961.715</v>
      </c>
      <c r="H52" s="44">
        <v>16401727.526000001</v>
      </c>
      <c r="I52" s="44">
        <v>17836753.763999999</v>
      </c>
      <c r="J52" s="44">
        <v>14654298.844000001</v>
      </c>
      <c r="K52" s="44">
        <v>16424873.245999999</v>
      </c>
      <c r="L52" s="45">
        <f t="shared" si="0"/>
        <v>341045301.95999992</v>
      </c>
      <c r="M52" s="46">
        <f t="shared" si="4"/>
        <v>4.816038558984876E-2</v>
      </c>
      <c r="N52" s="44">
        <v>11408.18</v>
      </c>
      <c r="O52" s="45">
        <f t="shared" si="5"/>
        <v>549.4223476784008</v>
      </c>
      <c r="P52" s="44">
        <v>2390.1370000000002</v>
      </c>
      <c r="Q52" s="44">
        <v>3026.3319999999999</v>
      </c>
      <c r="R52" s="44">
        <v>2780.26</v>
      </c>
      <c r="S52" s="44">
        <v>2939.3589999999999</v>
      </c>
      <c r="T52" s="44">
        <v>1106.5740000000001</v>
      </c>
      <c r="U52" s="44">
        <v>1606.1610000000001</v>
      </c>
      <c r="V52" s="44">
        <v>1403.4880000000001</v>
      </c>
      <c r="W52" s="44">
        <v>980.69500000000005</v>
      </c>
      <c r="X52" s="44">
        <v>3026.3319999999999</v>
      </c>
      <c r="Y52" s="47">
        <v>687</v>
      </c>
      <c r="Z52" s="41"/>
      <c r="AA52" s="48"/>
      <c r="AB52" s="49">
        <f t="shared" si="1"/>
        <v>2476.909652321599</v>
      </c>
      <c r="AC52" s="49">
        <f t="shared" si="6"/>
        <v>16424873.245999999</v>
      </c>
      <c r="AD52" s="50">
        <f t="shared" si="2"/>
        <v>6.890546954341234E-2</v>
      </c>
      <c r="AE52" s="49">
        <f t="shared" si="7"/>
        <v>549.4223476784008</v>
      </c>
      <c r="AF52" s="51">
        <f t="shared" si="3"/>
        <v>134.32924500872227</v>
      </c>
      <c r="AG52" s="51">
        <f t="shared" si="8"/>
        <v>683.75159268712309</v>
      </c>
      <c r="AH52" s="51">
        <f t="shared" si="9"/>
        <v>0.47283949241294132</v>
      </c>
      <c r="AI52" s="52">
        <f t="shared" si="10"/>
        <v>684</v>
      </c>
      <c r="AJ52" s="48"/>
      <c r="AK52" s="48"/>
      <c r="AL52" s="48"/>
      <c r="AM52" s="48"/>
    </row>
    <row r="53" spans="1:39" x14ac:dyDescent="0.2">
      <c r="A53" s="41" t="s">
        <v>93</v>
      </c>
      <c r="B53" s="41" t="s">
        <v>54</v>
      </c>
      <c r="C53" s="42">
        <v>2963</v>
      </c>
      <c r="D53" s="43" t="s">
        <v>96</v>
      </c>
      <c r="E53" s="42">
        <v>2020</v>
      </c>
      <c r="F53" s="44">
        <v>16360545.484999999</v>
      </c>
      <c r="G53" s="44">
        <v>14565496.305</v>
      </c>
      <c r="H53" s="44">
        <v>16167021.154999999</v>
      </c>
      <c r="I53" s="44">
        <v>14092113.098999999</v>
      </c>
      <c r="J53" s="44">
        <v>12901609.299000001</v>
      </c>
      <c r="K53" s="44">
        <v>15697687.6483333</v>
      </c>
      <c r="L53" s="45">
        <f t="shared" si="0"/>
        <v>341045301.95999992</v>
      </c>
      <c r="M53" s="46">
        <f t="shared" si="4"/>
        <v>4.6028159772669823E-2</v>
      </c>
      <c r="N53" s="44">
        <v>11408.18</v>
      </c>
      <c r="O53" s="45">
        <f t="shared" si="5"/>
        <v>525.09753175537639</v>
      </c>
      <c r="P53" s="44">
        <v>2990.9749999999999</v>
      </c>
      <c r="Q53" s="44">
        <v>2933.1080000000002</v>
      </c>
      <c r="R53" s="44">
        <v>2492.337</v>
      </c>
      <c r="S53" s="44">
        <v>3244.078</v>
      </c>
      <c r="T53" s="44">
        <v>1097.7670000000001</v>
      </c>
      <c r="U53" s="44">
        <v>1574.56</v>
      </c>
      <c r="V53" s="44">
        <v>1082.856</v>
      </c>
      <c r="W53" s="44">
        <v>866.548</v>
      </c>
      <c r="X53" s="44">
        <v>3244.078</v>
      </c>
      <c r="Y53" s="47">
        <v>657</v>
      </c>
      <c r="Z53" s="41"/>
      <c r="AA53" s="48"/>
      <c r="AB53" s="49">
        <f t="shared" si="1"/>
        <v>2718.9804682446238</v>
      </c>
      <c r="AC53" s="49">
        <f t="shared" si="6"/>
        <v>15697687.6483333</v>
      </c>
      <c r="AD53" s="50">
        <f t="shared" si="2"/>
        <v>6.5854787550196137E-2</v>
      </c>
      <c r="AE53" s="49">
        <f t="shared" si="7"/>
        <v>525.09753175537639</v>
      </c>
      <c r="AF53" s="51">
        <f t="shared" si="3"/>
        <v>128.38202758714658</v>
      </c>
      <c r="AG53" s="51">
        <f t="shared" si="8"/>
        <v>653.47955934252298</v>
      </c>
      <c r="AH53" s="51">
        <f t="shared" si="9"/>
        <v>0.53583571651096262</v>
      </c>
      <c r="AI53" s="52">
        <f t="shared" si="10"/>
        <v>653</v>
      </c>
      <c r="AJ53" s="48"/>
      <c r="AK53" s="48"/>
      <c r="AL53" s="48"/>
      <c r="AM53" s="48"/>
    </row>
    <row r="54" spans="1:39" x14ac:dyDescent="0.2">
      <c r="A54" s="41" t="s">
        <v>93</v>
      </c>
      <c r="B54" s="41" t="s">
        <v>54</v>
      </c>
      <c r="C54" s="42">
        <v>2963</v>
      </c>
      <c r="D54" s="43" t="s">
        <v>97</v>
      </c>
      <c r="E54" s="42">
        <v>2016</v>
      </c>
      <c r="F54" s="44">
        <v>4537700.1909999996</v>
      </c>
      <c r="G54" s="44">
        <v>4891997.8490000004</v>
      </c>
      <c r="H54" s="44">
        <v>3802708.625</v>
      </c>
      <c r="I54" s="44">
        <v>3314657.148</v>
      </c>
      <c r="J54" s="44">
        <v>2544135.193</v>
      </c>
      <c r="K54" s="44">
        <v>4410802.2216666704</v>
      </c>
      <c r="L54" s="45">
        <f t="shared" si="0"/>
        <v>341045301.95999992</v>
      </c>
      <c r="M54" s="46">
        <f t="shared" si="4"/>
        <v>1.2933185697963371E-2</v>
      </c>
      <c r="N54" s="44">
        <v>11408.18</v>
      </c>
      <c r="O54" s="45">
        <f t="shared" si="5"/>
        <v>147.54411041579178</v>
      </c>
      <c r="P54" s="44">
        <v>73.635000000000005</v>
      </c>
      <c r="Q54" s="44">
        <v>61.384</v>
      </c>
      <c r="R54" s="44">
        <v>74.531999999999996</v>
      </c>
      <c r="S54" s="44">
        <v>88.236000000000004</v>
      </c>
      <c r="T54" s="44">
        <v>87.855999999999995</v>
      </c>
      <c r="U54" s="44">
        <v>68.668999999999997</v>
      </c>
      <c r="V54" s="44">
        <v>63.79</v>
      </c>
      <c r="W54" s="44">
        <v>46.618000000000002</v>
      </c>
      <c r="X54" s="44">
        <v>88.236000000000004</v>
      </c>
      <c r="Y54" s="47">
        <v>88</v>
      </c>
      <c r="Z54" s="41"/>
      <c r="AA54" s="48"/>
      <c r="AB54" s="49">
        <f t="shared" si="1"/>
        <v>-59.308110415791774</v>
      </c>
      <c r="AC54" s="49" t="str">
        <f t="shared" si="6"/>
        <v xml:space="preserve"> </v>
      </c>
      <c r="AD54" s="50" t="str">
        <f t="shared" si="2"/>
        <v xml:space="preserve"> </v>
      </c>
      <c r="AE54" s="49">
        <f t="shared" si="7"/>
        <v>88.236000000000004</v>
      </c>
      <c r="AF54" s="51" t="str">
        <f t="shared" si="3"/>
        <v xml:space="preserve"> </v>
      </c>
      <c r="AG54" s="51" t="str">
        <f t="shared" si="8"/>
        <v xml:space="preserve"> </v>
      </c>
      <c r="AH54" s="51" t="str">
        <f t="shared" si="9"/>
        <v xml:space="preserve"> </v>
      </c>
      <c r="AI54" s="52">
        <f t="shared" si="10"/>
        <v>88</v>
      </c>
      <c r="AJ54" s="48"/>
      <c r="AK54" s="48"/>
      <c r="AL54" s="48"/>
      <c r="AM54" s="48"/>
    </row>
    <row r="55" spans="1:39" x14ac:dyDescent="0.2">
      <c r="A55" s="41" t="s">
        <v>93</v>
      </c>
      <c r="B55" s="41" t="s">
        <v>54</v>
      </c>
      <c r="C55" s="42">
        <v>2963</v>
      </c>
      <c r="D55" s="43" t="s">
        <v>98</v>
      </c>
      <c r="E55" s="42">
        <v>2017</v>
      </c>
      <c r="F55" s="44">
        <v>4718497.9539999999</v>
      </c>
      <c r="G55" s="44">
        <v>4522602.6749999998</v>
      </c>
      <c r="H55" s="44">
        <v>4368881.32</v>
      </c>
      <c r="I55" s="44">
        <v>3096951.25</v>
      </c>
      <c r="J55" s="44">
        <v>3079964.5520000001</v>
      </c>
      <c r="K55" s="44">
        <v>4536660.6496666698</v>
      </c>
      <c r="L55" s="45">
        <f t="shared" si="0"/>
        <v>341045301.95999992</v>
      </c>
      <c r="M55" s="46">
        <f t="shared" si="4"/>
        <v>1.3302222970362923E-2</v>
      </c>
      <c r="N55" s="44">
        <v>11408.18</v>
      </c>
      <c r="O55" s="45">
        <f t="shared" si="5"/>
        <v>151.7541540460349</v>
      </c>
      <c r="P55" s="44">
        <v>85.245999999999995</v>
      </c>
      <c r="Q55" s="44">
        <v>61.015000000000001</v>
      </c>
      <c r="R55" s="44">
        <v>72.072999999999993</v>
      </c>
      <c r="S55" s="44">
        <v>73.222999999999999</v>
      </c>
      <c r="T55" s="44">
        <v>73.277000000000001</v>
      </c>
      <c r="U55" s="44">
        <v>75.135999999999996</v>
      </c>
      <c r="V55" s="44">
        <v>52.863999999999997</v>
      </c>
      <c r="W55" s="44">
        <v>56.408999999999999</v>
      </c>
      <c r="X55" s="44">
        <v>85.245999999999995</v>
      </c>
      <c r="Y55" s="47">
        <v>85</v>
      </c>
      <c r="Z55" s="41"/>
      <c r="AA55" s="48"/>
      <c r="AB55" s="49">
        <f t="shared" si="1"/>
        <v>-66.508154046034903</v>
      </c>
      <c r="AC55" s="49" t="str">
        <f t="shared" si="6"/>
        <v xml:space="preserve"> </v>
      </c>
      <c r="AD55" s="50" t="str">
        <f t="shared" si="2"/>
        <v xml:space="preserve"> </v>
      </c>
      <c r="AE55" s="49">
        <f t="shared" si="7"/>
        <v>85.245999999999995</v>
      </c>
      <c r="AF55" s="51" t="str">
        <f t="shared" si="3"/>
        <v xml:space="preserve"> </v>
      </c>
      <c r="AG55" s="51" t="str">
        <f t="shared" si="8"/>
        <v xml:space="preserve"> </v>
      </c>
      <c r="AH55" s="51" t="str">
        <f t="shared" si="9"/>
        <v xml:space="preserve"> </v>
      </c>
      <c r="AI55" s="52">
        <f t="shared" si="10"/>
        <v>85</v>
      </c>
      <c r="AJ55" s="48"/>
      <c r="AK55" s="48"/>
      <c r="AL55" s="48"/>
      <c r="AM55" s="48"/>
    </row>
    <row r="56" spans="1:39" s="66" customFormat="1" x14ac:dyDescent="0.2">
      <c r="A56" s="53" t="s">
        <v>99</v>
      </c>
      <c r="B56" s="53" t="s">
        <v>54</v>
      </c>
      <c r="C56" s="54">
        <v>50558</v>
      </c>
      <c r="D56" s="55" t="s">
        <v>100</v>
      </c>
      <c r="E56" s="54">
        <v>90991</v>
      </c>
      <c r="F56" s="56">
        <v>1959370</v>
      </c>
      <c r="G56" s="56">
        <v>1456596</v>
      </c>
      <c r="H56" s="56">
        <v>1018766</v>
      </c>
      <c r="I56" s="56">
        <v>316237</v>
      </c>
      <c r="J56" s="56">
        <v>284731</v>
      </c>
      <c r="K56" s="56">
        <f>AVERAGE(F56:H56)</f>
        <v>1478244</v>
      </c>
      <c r="L56" s="56">
        <f t="shared" si="0"/>
        <v>341045301.95999992</v>
      </c>
      <c r="M56" s="57">
        <f>K56/L56</f>
        <v>4.3344505598067974E-3</v>
      </c>
      <c r="N56" s="58">
        <v>11408.18</v>
      </c>
      <c r="O56" s="56">
        <f>M56*N56</f>
        <v>49.448192187376712</v>
      </c>
      <c r="P56" s="56">
        <v>126</v>
      </c>
      <c r="Q56" s="56">
        <v>105</v>
      </c>
      <c r="R56" s="56">
        <v>145</v>
      </c>
      <c r="S56" s="56">
        <v>163</v>
      </c>
      <c r="T56" s="56">
        <v>130</v>
      </c>
      <c r="U56" s="56">
        <v>96</v>
      </c>
      <c r="V56" s="56">
        <v>29</v>
      </c>
      <c r="W56" s="56">
        <v>43</v>
      </c>
      <c r="X56" s="56">
        <f>MAX(P56:W56)</f>
        <v>163</v>
      </c>
      <c r="Y56" s="59">
        <v>12</v>
      </c>
      <c r="Z56" s="53"/>
      <c r="AA56" s="60"/>
      <c r="AB56" s="61">
        <f>X56-O56</f>
        <v>113.55180781262328</v>
      </c>
      <c r="AC56" s="61">
        <f>IF(AB56&gt;0,K56," ")</f>
        <v>1478244</v>
      </c>
      <c r="AD56" s="62">
        <f t="shared" si="2"/>
        <v>6.2015149459091314E-3</v>
      </c>
      <c r="AE56" s="61">
        <f>MIN(X56,O56)</f>
        <v>49.448192187376712</v>
      </c>
      <c r="AF56" s="63">
        <f t="shared" si="3"/>
        <v>12.089676278447529</v>
      </c>
      <c r="AG56" s="64">
        <f>IF(AB56&gt;0,AE56+AF56," ")</f>
        <v>61.537868465824239</v>
      </c>
      <c r="AH56" s="63">
        <f>IF(AB56&gt;0,(Y56-AG56)/Y56*100," ")</f>
        <v>-412.81557054853533</v>
      </c>
      <c r="AI56" s="65">
        <f t="shared" si="10"/>
        <v>62</v>
      </c>
      <c r="AJ56" s="60"/>
      <c r="AK56" s="60"/>
      <c r="AL56" s="60"/>
      <c r="AM56" s="60"/>
    </row>
    <row r="57" spans="1:39" x14ac:dyDescent="0.2">
      <c r="A57" s="41" t="s">
        <v>101</v>
      </c>
      <c r="B57" s="41" t="s">
        <v>54</v>
      </c>
      <c r="C57" s="42">
        <v>55225</v>
      </c>
      <c r="D57" s="43" t="s">
        <v>102</v>
      </c>
      <c r="E57" s="42">
        <v>4187</v>
      </c>
      <c r="F57" s="44">
        <v>3224013.55</v>
      </c>
      <c r="G57" s="44">
        <v>3962016.63</v>
      </c>
      <c r="H57" s="44">
        <v>3046023.5809999998</v>
      </c>
      <c r="I57" s="44">
        <v>2974407.72</v>
      </c>
      <c r="J57" s="44">
        <v>4562330.0420000004</v>
      </c>
      <c r="K57" s="44">
        <v>3916120.074</v>
      </c>
      <c r="L57" s="45">
        <f t="shared" si="0"/>
        <v>341045301.95999992</v>
      </c>
      <c r="M57" s="46">
        <f t="shared" si="4"/>
        <v>1.1482697610827399E-2</v>
      </c>
      <c r="N57" s="44">
        <v>11408.18</v>
      </c>
      <c r="O57" s="45">
        <f t="shared" si="5"/>
        <v>130.99668122988894</v>
      </c>
      <c r="P57" s="44">
        <v>38.244999999999997</v>
      </c>
      <c r="Q57" s="44">
        <v>45.792000000000002</v>
      </c>
      <c r="R57" s="44">
        <v>63.466000000000001</v>
      </c>
      <c r="S57" s="44">
        <v>56.44</v>
      </c>
      <c r="T57" s="44">
        <v>65.370999999999995</v>
      </c>
      <c r="U57" s="44">
        <v>59.073999999999998</v>
      </c>
      <c r="V57" s="44">
        <v>60.131999999999998</v>
      </c>
      <c r="W57" s="44">
        <v>81.677999999999997</v>
      </c>
      <c r="X57" s="44">
        <v>81.677999999999997</v>
      </c>
      <c r="Y57" s="47">
        <v>82</v>
      </c>
      <c r="Z57" s="41"/>
      <c r="AA57" s="48"/>
      <c r="AB57" s="49">
        <f t="shared" ref="AB57:AB96" si="11">X57-O57</f>
        <v>-49.318681229888938</v>
      </c>
      <c r="AC57" s="49" t="str">
        <f t="shared" si="6"/>
        <v xml:space="preserve"> </v>
      </c>
      <c r="AD57" s="50" t="str">
        <f t="shared" si="2"/>
        <v xml:space="preserve"> </v>
      </c>
      <c r="AE57" s="49">
        <f t="shared" si="7"/>
        <v>81.677999999999997</v>
      </c>
      <c r="AF57" s="51" t="str">
        <f t="shared" si="3"/>
        <v xml:space="preserve"> </v>
      </c>
      <c r="AG57" s="51" t="str">
        <f t="shared" si="8"/>
        <v xml:space="preserve"> </v>
      </c>
      <c r="AH57" s="51" t="str">
        <f t="shared" si="9"/>
        <v xml:space="preserve"> </v>
      </c>
      <c r="AI57" s="52">
        <f t="shared" si="10"/>
        <v>82</v>
      </c>
      <c r="AJ57" s="48"/>
      <c r="AK57" s="48"/>
      <c r="AL57" s="48"/>
      <c r="AM57" s="48"/>
    </row>
    <row r="58" spans="1:39" x14ac:dyDescent="0.2">
      <c r="A58" s="41" t="s">
        <v>101</v>
      </c>
      <c r="B58" s="41" t="s">
        <v>54</v>
      </c>
      <c r="C58" s="42">
        <v>55225</v>
      </c>
      <c r="D58" s="43" t="s">
        <v>103</v>
      </c>
      <c r="E58" s="42">
        <v>4188</v>
      </c>
      <c r="F58" s="44">
        <v>3201389.1329999999</v>
      </c>
      <c r="G58" s="44">
        <v>3497851.926</v>
      </c>
      <c r="H58" s="44">
        <v>2654787.182</v>
      </c>
      <c r="I58" s="44">
        <v>3020684.4190000002</v>
      </c>
      <c r="J58" s="44">
        <v>4372870.9359999998</v>
      </c>
      <c r="K58" s="44">
        <v>3690703.9983333298</v>
      </c>
      <c r="L58" s="45">
        <f t="shared" si="0"/>
        <v>341045301.95999992</v>
      </c>
      <c r="M58" s="46">
        <f t="shared" si="4"/>
        <v>1.0821741208932414E-2</v>
      </c>
      <c r="N58" s="44">
        <v>11408.18</v>
      </c>
      <c r="O58" s="45">
        <f t="shared" si="5"/>
        <v>123.45637162491859</v>
      </c>
      <c r="P58" s="44">
        <v>33.097000000000001</v>
      </c>
      <c r="Q58" s="44">
        <v>48.752000000000002</v>
      </c>
      <c r="R58" s="44">
        <v>63.801000000000002</v>
      </c>
      <c r="S58" s="44">
        <v>57.040999999999997</v>
      </c>
      <c r="T58" s="44">
        <v>62.140999999999998</v>
      </c>
      <c r="U58" s="44">
        <v>50.503</v>
      </c>
      <c r="V58" s="44">
        <v>60.05</v>
      </c>
      <c r="W58" s="44">
        <v>79.576999999999998</v>
      </c>
      <c r="X58" s="44">
        <v>79.576999999999998</v>
      </c>
      <c r="Y58" s="47">
        <v>80</v>
      </c>
      <c r="Z58" s="41"/>
      <c r="AA58" s="48"/>
      <c r="AB58" s="49">
        <f t="shared" si="11"/>
        <v>-43.879371624918591</v>
      </c>
      <c r="AC58" s="49" t="str">
        <f t="shared" si="6"/>
        <v xml:space="preserve"> </v>
      </c>
      <c r="AD58" s="50" t="str">
        <f t="shared" si="2"/>
        <v xml:space="preserve"> </v>
      </c>
      <c r="AE58" s="49">
        <f t="shared" si="7"/>
        <v>79.576999999999998</v>
      </c>
      <c r="AF58" s="51" t="str">
        <f t="shared" si="3"/>
        <v xml:space="preserve"> </v>
      </c>
      <c r="AG58" s="51" t="str">
        <f t="shared" si="8"/>
        <v xml:space="preserve"> </v>
      </c>
      <c r="AH58" s="51" t="str">
        <f t="shared" si="9"/>
        <v xml:space="preserve"> </v>
      </c>
      <c r="AI58" s="52">
        <f t="shared" si="10"/>
        <v>80</v>
      </c>
      <c r="AJ58" s="48"/>
      <c r="AK58" s="48"/>
      <c r="AL58" s="48"/>
      <c r="AM58" s="48"/>
    </row>
    <row r="59" spans="1:39" x14ac:dyDescent="0.2">
      <c r="A59" s="41" t="s">
        <v>101</v>
      </c>
      <c r="B59" s="41" t="s">
        <v>54</v>
      </c>
      <c r="C59" s="42">
        <v>55225</v>
      </c>
      <c r="D59" s="43" t="s">
        <v>104</v>
      </c>
      <c r="E59" s="42">
        <v>4189</v>
      </c>
      <c r="F59" s="44">
        <v>3419843.4849999999</v>
      </c>
      <c r="G59" s="44">
        <v>3334069.2089999998</v>
      </c>
      <c r="H59" s="44">
        <v>2525902.3470000001</v>
      </c>
      <c r="I59" s="44">
        <v>2677616.5320000001</v>
      </c>
      <c r="J59" s="44">
        <v>4580192.2980000004</v>
      </c>
      <c r="K59" s="44">
        <v>3778034.9973333301</v>
      </c>
      <c r="L59" s="45">
        <f t="shared" si="0"/>
        <v>341045301.95999992</v>
      </c>
      <c r="M59" s="46">
        <f t="shared" si="4"/>
        <v>1.1077809826497606E-2</v>
      </c>
      <c r="N59" s="44">
        <v>11408.18</v>
      </c>
      <c r="O59" s="45">
        <f t="shared" si="5"/>
        <v>126.37764850645345</v>
      </c>
      <c r="P59" s="44">
        <v>34.783000000000001</v>
      </c>
      <c r="Q59" s="44">
        <v>54.603000000000002</v>
      </c>
      <c r="R59" s="44">
        <v>52.811999999999998</v>
      </c>
      <c r="S59" s="44">
        <v>56.698</v>
      </c>
      <c r="T59" s="44">
        <v>60.012999999999998</v>
      </c>
      <c r="U59" s="44">
        <v>48.575000000000003</v>
      </c>
      <c r="V59" s="44">
        <v>55.499000000000002</v>
      </c>
      <c r="W59" s="44">
        <v>74.385000000000005</v>
      </c>
      <c r="X59" s="44">
        <v>74.385000000000005</v>
      </c>
      <c r="Y59" s="47">
        <v>74</v>
      </c>
      <c r="Z59" s="41"/>
      <c r="AA59" s="48"/>
      <c r="AB59" s="49">
        <f t="shared" si="11"/>
        <v>-51.992648506453449</v>
      </c>
      <c r="AC59" s="49" t="str">
        <f t="shared" si="6"/>
        <v xml:space="preserve"> </v>
      </c>
      <c r="AD59" s="50" t="str">
        <f t="shared" si="2"/>
        <v xml:space="preserve"> </v>
      </c>
      <c r="AE59" s="49">
        <f t="shared" si="7"/>
        <v>74.385000000000005</v>
      </c>
      <c r="AF59" s="51" t="str">
        <f t="shared" si="3"/>
        <v xml:space="preserve"> </v>
      </c>
      <c r="AG59" s="51" t="str">
        <f t="shared" si="8"/>
        <v xml:space="preserve"> </v>
      </c>
      <c r="AH59" s="51" t="str">
        <f t="shared" si="9"/>
        <v xml:space="preserve"> </v>
      </c>
      <c r="AI59" s="52">
        <f t="shared" si="10"/>
        <v>74</v>
      </c>
      <c r="AJ59" s="48"/>
      <c r="AK59" s="48"/>
      <c r="AL59" s="48"/>
      <c r="AM59" s="48"/>
    </row>
    <row r="60" spans="1:39" x14ac:dyDescent="0.2">
      <c r="A60" s="41" t="s">
        <v>101</v>
      </c>
      <c r="B60" s="41" t="s">
        <v>54</v>
      </c>
      <c r="C60" s="42">
        <v>55225</v>
      </c>
      <c r="D60" s="43" t="s">
        <v>105</v>
      </c>
      <c r="E60" s="42">
        <v>4190</v>
      </c>
      <c r="F60" s="44">
        <v>3000645.7990000001</v>
      </c>
      <c r="G60" s="44">
        <v>3371770.0049999999</v>
      </c>
      <c r="H60" s="44">
        <v>2959106.8119999999</v>
      </c>
      <c r="I60" s="44">
        <v>2764797.8560000001</v>
      </c>
      <c r="J60" s="44">
        <v>4807111.4289999995</v>
      </c>
      <c r="K60" s="44">
        <v>3726509.0776666701</v>
      </c>
      <c r="L60" s="45">
        <f t="shared" si="0"/>
        <v>341045301.95999992</v>
      </c>
      <c r="M60" s="46">
        <f t="shared" si="4"/>
        <v>1.0926727494119652E-2</v>
      </c>
      <c r="N60" s="44">
        <v>11408.18</v>
      </c>
      <c r="O60" s="45">
        <f t="shared" si="5"/>
        <v>124.65407406386593</v>
      </c>
      <c r="P60" s="44">
        <v>34.356000000000002</v>
      </c>
      <c r="Q60" s="44">
        <v>62.466999999999999</v>
      </c>
      <c r="R60" s="44">
        <v>66.819000000000003</v>
      </c>
      <c r="S60" s="44">
        <v>56.052999999999997</v>
      </c>
      <c r="T60" s="44">
        <v>63.241</v>
      </c>
      <c r="U60" s="44">
        <v>60.351999999999997</v>
      </c>
      <c r="V60" s="44">
        <v>57.087000000000003</v>
      </c>
      <c r="W60" s="44">
        <v>82.673000000000002</v>
      </c>
      <c r="X60" s="44">
        <v>82.673000000000002</v>
      </c>
      <c r="Y60" s="47">
        <v>83</v>
      </c>
      <c r="Z60" s="41"/>
      <c r="AA60" s="48"/>
      <c r="AB60" s="49">
        <f t="shared" si="11"/>
        <v>-41.981074063865933</v>
      </c>
      <c r="AC60" s="49" t="str">
        <f t="shared" si="6"/>
        <v xml:space="preserve"> </v>
      </c>
      <c r="AD60" s="50" t="str">
        <f t="shared" si="2"/>
        <v xml:space="preserve"> </v>
      </c>
      <c r="AE60" s="49">
        <f t="shared" si="7"/>
        <v>82.673000000000002</v>
      </c>
      <c r="AF60" s="51" t="str">
        <f t="shared" si="3"/>
        <v xml:space="preserve"> </v>
      </c>
      <c r="AG60" s="51" t="str">
        <f t="shared" si="8"/>
        <v xml:space="preserve"> </v>
      </c>
      <c r="AH60" s="51" t="str">
        <f t="shared" si="9"/>
        <v xml:space="preserve"> </v>
      </c>
      <c r="AI60" s="52">
        <f t="shared" si="10"/>
        <v>83</v>
      </c>
      <c r="AJ60" s="48"/>
      <c r="AK60" s="48"/>
      <c r="AL60" s="48"/>
      <c r="AM60" s="48"/>
    </row>
    <row r="61" spans="1:39" x14ac:dyDescent="0.2">
      <c r="A61" s="41" t="s">
        <v>106</v>
      </c>
      <c r="B61" s="41" t="s">
        <v>54</v>
      </c>
      <c r="C61" s="42">
        <v>762</v>
      </c>
      <c r="D61" s="43" t="s">
        <v>72</v>
      </c>
      <c r="E61" s="42">
        <v>565</v>
      </c>
      <c r="F61" s="44">
        <v>20311.23</v>
      </c>
      <c r="G61" s="44">
        <v>2014.1189999999999</v>
      </c>
      <c r="H61" s="44">
        <v>1432.3230000000001</v>
      </c>
      <c r="I61" s="44">
        <v>0.185</v>
      </c>
      <c r="J61" s="44">
        <v>6702.2950000000001</v>
      </c>
      <c r="K61" s="44">
        <v>9675.8813333333292</v>
      </c>
      <c r="L61" s="45">
        <f t="shared" si="0"/>
        <v>341045301.95999992</v>
      </c>
      <c r="M61" s="46">
        <f t="shared" si="4"/>
        <v>2.8371249443184475E-5</v>
      </c>
      <c r="N61" s="44">
        <v>11408.18</v>
      </c>
      <c r="O61" s="45">
        <f t="shared" si="5"/>
        <v>0.32366432047274829</v>
      </c>
      <c r="P61" s="44">
        <v>0.49199999999999999</v>
      </c>
      <c r="Q61" s="44">
        <v>0.13600000000000001</v>
      </c>
      <c r="R61" s="44">
        <v>0.17399999999999999</v>
      </c>
      <c r="S61" s="44">
        <v>1.917</v>
      </c>
      <c r="T61" s="44">
        <v>0.127</v>
      </c>
      <c r="U61" s="44">
        <v>0.09</v>
      </c>
      <c r="V61" s="44">
        <v>0</v>
      </c>
      <c r="W61" s="44">
        <v>0.41599999999999998</v>
      </c>
      <c r="X61" s="44">
        <v>1.917</v>
      </c>
      <c r="Y61" s="47">
        <v>0</v>
      </c>
      <c r="Z61" s="41"/>
      <c r="AA61" s="48"/>
      <c r="AB61" s="49">
        <f t="shared" si="11"/>
        <v>1.5933356795272517</v>
      </c>
      <c r="AC61" s="49">
        <f t="shared" si="6"/>
        <v>9675.8813333333292</v>
      </c>
      <c r="AD61" s="50">
        <f t="shared" si="2"/>
        <v>4.05921638805974E-5</v>
      </c>
      <c r="AE61" s="49">
        <f t="shared" si="7"/>
        <v>0.32366432047274829</v>
      </c>
      <c r="AF61" s="51">
        <f t="shared" si="3"/>
        <v>7.9133264216647056E-2</v>
      </c>
      <c r="AG61" s="51">
        <f t="shared" si="8"/>
        <v>0.40279758468939536</v>
      </c>
      <c r="AH61" s="51"/>
      <c r="AI61" s="52">
        <f t="shared" si="10"/>
        <v>0</v>
      </c>
      <c r="AJ61" s="48"/>
      <c r="AK61" s="48"/>
      <c r="AL61" s="48"/>
      <c r="AM61" s="48"/>
    </row>
    <row r="62" spans="1:39" x14ac:dyDescent="0.2">
      <c r="A62" s="41" t="s">
        <v>106</v>
      </c>
      <c r="B62" s="41" t="s">
        <v>54</v>
      </c>
      <c r="C62" s="42">
        <v>762</v>
      </c>
      <c r="D62" s="43" t="s">
        <v>60</v>
      </c>
      <c r="E62" s="42">
        <v>566</v>
      </c>
      <c r="F62" s="44">
        <v>378068.48499999999</v>
      </c>
      <c r="G62" s="44">
        <v>423106.60399999999</v>
      </c>
      <c r="H62" s="44">
        <v>77717.13</v>
      </c>
      <c r="I62" s="44">
        <v>200395.234</v>
      </c>
      <c r="J62" s="44">
        <v>171100.641</v>
      </c>
      <c r="K62" s="44">
        <v>333856.77433333301</v>
      </c>
      <c r="L62" s="45">
        <f t="shared" si="0"/>
        <v>341045301.95999992</v>
      </c>
      <c r="M62" s="46">
        <f t="shared" si="4"/>
        <v>9.7892207403135539E-4</v>
      </c>
      <c r="N62" s="44">
        <v>11408.18</v>
      </c>
      <c r="O62" s="45">
        <f t="shared" si="5"/>
        <v>11.167719226523028</v>
      </c>
      <c r="P62" s="44">
        <v>17.085000000000001</v>
      </c>
      <c r="Q62" s="44">
        <v>6.43</v>
      </c>
      <c r="R62" s="44">
        <v>11.587</v>
      </c>
      <c r="S62" s="44">
        <v>15.474</v>
      </c>
      <c r="T62" s="44">
        <v>17.209</v>
      </c>
      <c r="U62" s="44">
        <v>3.254</v>
      </c>
      <c r="V62" s="44">
        <v>8.4949999999999992</v>
      </c>
      <c r="W62" s="44">
        <v>7.3890000000000002</v>
      </c>
      <c r="X62" s="44">
        <v>17.209</v>
      </c>
      <c r="Y62" s="47">
        <v>14</v>
      </c>
      <c r="Z62" s="41"/>
      <c r="AA62" s="48"/>
      <c r="AB62" s="49">
        <f t="shared" si="11"/>
        <v>6.0412807734769718</v>
      </c>
      <c r="AC62" s="49">
        <f t="shared" si="6"/>
        <v>333856.77433333301</v>
      </c>
      <c r="AD62" s="50">
        <f t="shared" si="2"/>
        <v>1.4005927139370611E-3</v>
      </c>
      <c r="AE62" s="49">
        <f t="shared" si="7"/>
        <v>11.167719226523028</v>
      </c>
      <c r="AF62" s="51">
        <f t="shared" si="3"/>
        <v>2.7304154963975544</v>
      </c>
      <c r="AG62" s="51">
        <f t="shared" si="8"/>
        <v>13.898134722920583</v>
      </c>
      <c r="AH62" s="51">
        <f t="shared" si="9"/>
        <v>0.72760912199583772</v>
      </c>
      <c r="AI62" s="52">
        <f t="shared" si="10"/>
        <v>14</v>
      </c>
      <c r="AJ62" s="48"/>
      <c r="AK62" s="48"/>
      <c r="AL62" s="48"/>
      <c r="AM62" s="48"/>
    </row>
    <row r="63" spans="1:39" x14ac:dyDescent="0.2">
      <c r="A63" s="41" t="s">
        <v>106</v>
      </c>
      <c r="B63" s="41" t="s">
        <v>54</v>
      </c>
      <c r="C63" s="42">
        <v>762</v>
      </c>
      <c r="D63" s="43" t="s">
        <v>67</v>
      </c>
      <c r="E63" s="42">
        <v>89334</v>
      </c>
      <c r="F63" s="44">
        <v>83012.414999999994</v>
      </c>
      <c r="G63" s="44">
        <v>186383.97</v>
      </c>
      <c r="H63" s="44">
        <v>23042.42</v>
      </c>
      <c r="I63" s="44">
        <v>46674.49</v>
      </c>
      <c r="J63" s="44">
        <v>57162.207000000002</v>
      </c>
      <c r="K63" s="44">
        <v>108852.864</v>
      </c>
      <c r="L63" s="45">
        <f t="shared" si="0"/>
        <v>341045301.95999992</v>
      </c>
      <c r="M63" s="46">
        <f t="shared" si="4"/>
        <v>3.1917420757423892E-4</v>
      </c>
      <c r="N63" s="44">
        <v>11408.18</v>
      </c>
      <c r="O63" s="45">
        <f t="shared" si="5"/>
        <v>3.641196811364281</v>
      </c>
      <c r="P63" s="44">
        <v>2.8620000000000001</v>
      </c>
      <c r="Q63" s="44">
        <v>1.6950000000000001</v>
      </c>
      <c r="R63" s="44">
        <v>5.3849999999999998</v>
      </c>
      <c r="S63" s="44">
        <v>2.9950000000000001</v>
      </c>
      <c r="T63" s="44">
        <v>6.6639999999999997</v>
      </c>
      <c r="U63" s="44">
        <v>0.85599999999999998</v>
      </c>
      <c r="V63" s="44">
        <v>1.87</v>
      </c>
      <c r="W63" s="44">
        <v>2.3159999999999998</v>
      </c>
      <c r="X63" s="44">
        <v>6.6639999999999997</v>
      </c>
      <c r="Y63" s="47">
        <v>5</v>
      </c>
      <c r="Z63" s="41"/>
      <c r="AA63" s="48"/>
      <c r="AB63" s="49">
        <f t="shared" si="11"/>
        <v>3.0228031886357187</v>
      </c>
      <c r="AC63" s="49">
        <f t="shared" si="6"/>
        <v>108852.864</v>
      </c>
      <c r="AD63" s="50">
        <f t="shared" si="2"/>
        <v>4.5665848330926021E-4</v>
      </c>
      <c r="AE63" s="49">
        <f t="shared" si="7"/>
        <v>3.641196811364281</v>
      </c>
      <c r="AF63" s="51">
        <f t="shared" si="3"/>
        <v>0.890242671535873</v>
      </c>
      <c r="AG63" s="51">
        <f t="shared" si="8"/>
        <v>4.5314394829001543</v>
      </c>
      <c r="AH63" s="51">
        <f t="shared" si="9"/>
        <v>9.3712103419969139</v>
      </c>
      <c r="AI63" s="52">
        <f t="shared" si="10"/>
        <v>5</v>
      </c>
      <c r="AJ63" s="48"/>
      <c r="AK63" s="48"/>
      <c r="AL63" s="48"/>
      <c r="AM63" s="48"/>
    </row>
    <row r="64" spans="1:39" x14ac:dyDescent="0.2">
      <c r="A64" s="41" t="s">
        <v>107</v>
      </c>
      <c r="B64" s="41" t="s">
        <v>54</v>
      </c>
      <c r="C64" s="42">
        <v>55463</v>
      </c>
      <c r="D64" s="43" t="s">
        <v>108</v>
      </c>
      <c r="E64" s="42">
        <v>4817</v>
      </c>
      <c r="F64" s="44">
        <v>4862939.1629999997</v>
      </c>
      <c r="G64" s="44">
        <v>6628641.2429999998</v>
      </c>
      <c r="H64" s="44">
        <v>3677760.1460000002</v>
      </c>
      <c r="I64" s="44">
        <v>4376521.8779999996</v>
      </c>
      <c r="J64" s="44">
        <v>7468257.591</v>
      </c>
      <c r="K64" s="44">
        <v>6319945.9989999998</v>
      </c>
      <c r="L64" s="45">
        <f t="shared" si="0"/>
        <v>341045301.95999992</v>
      </c>
      <c r="M64" s="46">
        <f t="shared" si="4"/>
        <v>1.8531104116312518E-2</v>
      </c>
      <c r="N64" s="44">
        <v>11408.18</v>
      </c>
      <c r="O64" s="45">
        <f t="shared" si="5"/>
        <v>211.40617135763415</v>
      </c>
      <c r="P64" s="44">
        <v>25.056000000000001</v>
      </c>
      <c r="Q64" s="44">
        <v>28.082999999999998</v>
      </c>
      <c r="R64" s="44">
        <v>26.786999999999999</v>
      </c>
      <c r="S64" s="44">
        <v>29.376000000000001</v>
      </c>
      <c r="T64" s="44">
        <v>34.226999999999997</v>
      </c>
      <c r="U64" s="44">
        <v>24.524999999999999</v>
      </c>
      <c r="V64" s="44">
        <v>24.271000000000001</v>
      </c>
      <c r="W64" s="44">
        <v>38.619999999999997</v>
      </c>
      <c r="X64" s="44">
        <v>38.619999999999997</v>
      </c>
      <c r="Y64" s="47">
        <v>39</v>
      </c>
      <c r="Z64" s="41"/>
      <c r="AA64" s="48"/>
      <c r="AB64" s="49">
        <f t="shared" si="11"/>
        <v>-172.78617135763415</v>
      </c>
      <c r="AC64" s="49" t="str">
        <f t="shared" si="6"/>
        <v xml:space="preserve"> </v>
      </c>
      <c r="AD64" s="50" t="str">
        <f t="shared" si="2"/>
        <v xml:space="preserve"> </v>
      </c>
      <c r="AE64" s="49">
        <f t="shared" si="7"/>
        <v>38.619999999999997</v>
      </c>
      <c r="AF64" s="51" t="str">
        <f t="shared" si="3"/>
        <v xml:space="preserve"> </v>
      </c>
      <c r="AG64" s="51" t="str">
        <f t="shared" si="8"/>
        <v xml:space="preserve"> </v>
      </c>
      <c r="AH64" s="51" t="str">
        <f t="shared" si="9"/>
        <v xml:space="preserve"> </v>
      </c>
      <c r="AI64" s="52">
        <f t="shared" si="10"/>
        <v>39</v>
      </c>
      <c r="AJ64" s="48"/>
      <c r="AK64" s="48"/>
      <c r="AL64" s="48"/>
      <c r="AM64" s="48"/>
    </row>
    <row r="65" spans="1:39" x14ac:dyDescent="0.2">
      <c r="A65" s="41" t="s">
        <v>107</v>
      </c>
      <c r="B65" s="41" t="s">
        <v>54</v>
      </c>
      <c r="C65" s="42">
        <v>55463</v>
      </c>
      <c r="D65" s="43" t="s">
        <v>109</v>
      </c>
      <c r="E65" s="42">
        <v>4818</v>
      </c>
      <c r="F65" s="44">
        <v>4555704.0070000002</v>
      </c>
      <c r="G65" s="44">
        <v>5748420.3470000001</v>
      </c>
      <c r="H65" s="44">
        <v>4819740.2699999996</v>
      </c>
      <c r="I65" s="44">
        <v>5505093.6890000002</v>
      </c>
      <c r="J65" s="44">
        <v>6808479.9340000004</v>
      </c>
      <c r="K65" s="44">
        <v>6020664.65666667</v>
      </c>
      <c r="L65" s="45">
        <f t="shared" si="0"/>
        <v>341045301.95999992</v>
      </c>
      <c r="M65" s="46">
        <f t="shared" si="4"/>
        <v>1.7653562802553469E-2</v>
      </c>
      <c r="N65" s="44">
        <v>11408.18</v>
      </c>
      <c r="O65" s="45">
        <f t="shared" si="5"/>
        <v>201.39502209283444</v>
      </c>
      <c r="P65" s="44">
        <v>22.248000000000001</v>
      </c>
      <c r="Q65" s="44">
        <v>32.134</v>
      </c>
      <c r="R65" s="44">
        <v>22.751000000000001</v>
      </c>
      <c r="S65" s="44">
        <v>29.27</v>
      </c>
      <c r="T65" s="44">
        <v>32.335000000000001</v>
      </c>
      <c r="U65" s="44">
        <v>26.899000000000001</v>
      </c>
      <c r="V65" s="44">
        <v>32.082000000000001</v>
      </c>
      <c r="W65" s="44">
        <v>36.936</v>
      </c>
      <c r="X65" s="44">
        <v>36.936</v>
      </c>
      <c r="Y65" s="47">
        <v>37</v>
      </c>
      <c r="Z65" s="41"/>
      <c r="AA65" s="48"/>
      <c r="AB65" s="49">
        <f t="shared" si="11"/>
        <v>-164.45902209283443</v>
      </c>
      <c r="AC65" s="49" t="str">
        <f t="shared" si="6"/>
        <v xml:space="preserve"> </v>
      </c>
      <c r="AD65" s="50" t="str">
        <f t="shared" si="2"/>
        <v xml:space="preserve"> </v>
      </c>
      <c r="AE65" s="49">
        <f t="shared" si="7"/>
        <v>36.936</v>
      </c>
      <c r="AF65" s="51" t="str">
        <f t="shared" si="3"/>
        <v xml:space="preserve"> </v>
      </c>
      <c r="AG65" s="51" t="str">
        <f t="shared" si="8"/>
        <v xml:space="preserve"> </v>
      </c>
      <c r="AH65" s="51" t="str">
        <f t="shared" si="9"/>
        <v xml:space="preserve"> </v>
      </c>
      <c r="AI65" s="52">
        <f t="shared" si="10"/>
        <v>37</v>
      </c>
      <c r="AJ65" s="48"/>
      <c r="AK65" s="48"/>
      <c r="AL65" s="48"/>
      <c r="AM65" s="48"/>
    </row>
    <row r="66" spans="1:39" x14ac:dyDescent="0.2">
      <c r="A66" s="41" t="s">
        <v>107</v>
      </c>
      <c r="B66" s="41" t="s">
        <v>54</v>
      </c>
      <c r="C66" s="42">
        <v>55463</v>
      </c>
      <c r="D66" s="43" t="s">
        <v>110</v>
      </c>
      <c r="E66" s="42">
        <v>4819</v>
      </c>
      <c r="F66" s="44">
        <v>5047457.2429999998</v>
      </c>
      <c r="G66" s="44">
        <v>6183199.2249999996</v>
      </c>
      <c r="H66" s="44">
        <v>5359072.0580000002</v>
      </c>
      <c r="I66" s="44">
        <v>5828258.9249999998</v>
      </c>
      <c r="J66" s="44">
        <v>6672154.2999999998</v>
      </c>
      <c r="K66" s="44">
        <v>6227870.8166666701</v>
      </c>
      <c r="L66" s="45">
        <f t="shared" si="0"/>
        <v>341045301.95999992</v>
      </c>
      <c r="M66" s="46">
        <f t="shared" si="4"/>
        <v>1.8261124785695235E-2</v>
      </c>
      <c r="N66" s="44">
        <v>11408.18</v>
      </c>
      <c r="O66" s="45">
        <f t="shared" si="5"/>
        <v>208.32619855767265</v>
      </c>
      <c r="P66" s="44">
        <v>21.132999999999999</v>
      </c>
      <c r="Q66" s="44">
        <v>26.010999999999999</v>
      </c>
      <c r="R66" s="44">
        <v>24.701000000000001</v>
      </c>
      <c r="S66" s="44">
        <v>28.89</v>
      </c>
      <c r="T66" s="44">
        <v>34.033000000000001</v>
      </c>
      <c r="U66" s="44">
        <v>31.509</v>
      </c>
      <c r="V66" s="44">
        <v>33.375999999999998</v>
      </c>
      <c r="W66" s="44">
        <v>39.622</v>
      </c>
      <c r="X66" s="44">
        <v>39.622</v>
      </c>
      <c r="Y66" s="47">
        <v>40</v>
      </c>
      <c r="Z66" s="41"/>
      <c r="AA66" s="48"/>
      <c r="AB66" s="49">
        <f t="shared" si="11"/>
        <v>-168.70419855767267</v>
      </c>
      <c r="AC66" s="49" t="str">
        <f t="shared" si="6"/>
        <v xml:space="preserve"> </v>
      </c>
      <c r="AD66" s="50" t="str">
        <f t="shared" si="2"/>
        <v xml:space="preserve"> </v>
      </c>
      <c r="AE66" s="49">
        <f t="shared" si="7"/>
        <v>39.622</v>
      </c>
      <c r="AF66" s="51" t="str">
        <f t="shared" si="3"/>
        <v xml:space="preserve"> </v>
      </c>
      <c r="AG66" s="51" t="str">
        <f t="shared" si="8"/>
        <v xml:space="preserve"> </v>
      </c>
      <c r="AH66" s="51" t="str">
        <f t="shared" si="9"/>
        <v xml:space="preserve"> </v>
      </c>
      <c r="AI66" s="52">
        <f t="shared" si="10"/>
        <v>40</v>
      </c>
      <c r="AJ66" s="48"/>
      <c r="AK66" s="48"/>
      <c r="AL66" s="48"/>
      <c r="AM66" s="48"/>
    </row>
    <row r="67" spans="1:39" x14ac:dyDescent="0.2">
      <c r="A67" s="41" t="s">
        <v>107</v>
      </c>
      <c r="B67" s="41" t="s">
        <v>54</v>
      </c>
      <c r="C67" s="42">
        <v>55463</v>
      </c>
      <c r="D67" s="43" t="s">
        <v>111</v>
      </c>
      <c r="E67" s="42">
        <v>4820</v>
      </c>
      <c r="F67" s="44">
        <v>5029509.8370000003</v>
      </c>
      <c r="G67" s="44">
        <v>4582708.2869999995</v>
      </c>
      <c r="H67" s="44">
        <v>4493607.8609999996</v>
      </c>
      <c r="I67" s="44">
        <v>3991751.8130000001</v>
      </c>
      <c r="J67" s="44">
        <v>6803224.5619999999</v>
      </c>
      <c r="K67" s="44">
        <v>5471814.2286666697</v>
      </c>
      <c r="L67" s="45">
        <f t="shared" si="0"/>
        <v>341045301.95999992</v>
      </c>
      <c r="M67" s="46">
        <f t="shared" si="4"/>
        <v>1.6044244554081089E-2</v>
      </c>
      <c r="N67" s="44">
        <v>11408.18</v>
      </c>
      <c r="O67" s="45">
        <f t="shared" si="5"/>
        <v>183.0356298369768</v>
      </c>
      <c r="P67" s="44">
        <v>22.337</v>
      </c>
      <c r="Q67" s="44">
        <v>26.832999999999998</v>
      </c>
      <c r="R67" s="44">
        <v>29.117999999999999</v>
      </c>
      <c r="S67" s="44">
        <v>32.112000000000002</v>
      </c>
      <c r="T67" s="44">
        <v>26.841999999999999</v>
      </c>
      <c r="U67" s="44">
        <v>30.927</v>
      </c>
      <c r="V67" s="44">
        <v>23.902000000000001</v>
      </c>
      <c r="W67" s="44">
        <v>36.508000000000003</v>
      </c>
      <c r="X67" s="44">
        <v>36.508000000000003</v>
      </c>
      <c r="Y67" s="47">
        <v>37</v>
      </c>
      <c r="Z67" s="41"/>
      <c r="AA67" s="48"/>
      <c r="AB67" s="49">
        <f t="shared" si="11"/>
        <v>-146.52762983697679</v>
      </c>
      <c r="AC67" s="49" t="str">
        <f t="shared" si="6"/>
        <v xml:space="preserve"> </v>
      </c>
      <c r="AD67" s="50" t="str">
        <f t="shared" si="2"/>
        <v xml:space="preserve"> </v>
      </c>
      <c r="AE67" s="49">
        <f t="shared" si="7"/>
        <v>36.508000000000003</v>
      </c>
      <c r="AF67" s="51" t="str">
        <f t="shared" si="3"/>
        <v xml:space="preserve"> </v>
      </c>
      <c r="AG67" s="51" t="str">
        <f t="shared" si="8"/>
        <v xml:space="preserve"> </v>
      </c>
      <c r="AH67" s="51" t="str">
        <f t="shared" si="9"/>
        <v xml:space="preserve"> </v>
      </c>
      <c r="AI67" s="52">
        <f t="shared" si="10"/>
        <v>37</v>
      </c>
      <c r="AJ67" s="48"/>
      <c r="AK67" s="48"/>
      <c r="AL67" s="48"/>
      <c r="AM67" s="48"/>
    </row>
    <row r="68" spans="1:39" x14ac:dyDescent="0.2">
      <c r="A68" s="41" t="s">
        <v>112</v>
      </c>
      <c r="B68" s="41" t="s">
        <v>54</v>
      </c>
      <c r="C68" s="42">
        <v>4940</v>
      </c>
      <c r="D68" s="43" t="s">
        <v>113</v>
      </c>
      <c r="E68" s="42">
        <v>2660</v>
      </c>
      <c r="F68" s="44">
        <v>6222961.909</v>
      </c>
      <c r="G68" s="44">
        <v>3785869.6809999999</v>
      </c>
      <c r="H68" s="44">
        <v>3457341.2</v>
      </c>
      <c r="I68" s="44">
        <v>457245.28399999999</v>
      </c>
      <c r="J68" s="44">
        <v>188598.739</v>
      </c>
      <c r="K68" s="44">
        <v>4488724.2633333299</v>
      </c>
      <c r="L68" s="45">
        <f t="shared" ref="L68:L96" si="12">$K$97</f>
        <v>341045301.95999992</v>
      </c>
      <c r="M68" s="46">
        <f t="shared" si="4"/>
        <v>1.3161665730436591E-2</v>
      </c>
      <c r="N68" s="44">
        <v>11408.18</v>
      </c>
      <c r="O68" s="45">
        <f t="shared" si="5"/>
        <v>150.15065175265212</v>
      </c>
      <c r="P68" s="44">
        <v>597.26499999999999</v>
      </c>
      <c r="Q68" s="44">
        <v>772.06100000000004</v>
      </c>
      <c r="R68" s="44">
        <v>492.69499999999999</v>
      </c>
      <c r="S68" s="44">
        <v>782.38599999999997</v>
      </c>
      <c r="T68" s="44">
        <v>437.447</v>
      </c>
      <c r="U68" s="44">
        <v>424.24799999999999</v>
      </c>
      <c r="V68" s="44">
        <v>56.228999999999999</v>
      </c>
      <c r="W68" s="44">
        <v>18.923999999999999</v>
      </c>
      <c r="X68" s="44">
        <v>782.38599999999997</v>
      </c>
      <c r="Y68" s="47">
        <v>188</v>
      </c>
      <c r="Z68" s="41"/>
      <c r="AA68" s="48"/>
      <c r="AB68" s="49">
        <f t="shared" si="11"/>
        <v>632.23534824734782</v>
      </c>
      <c r="AC68" s="49">
        <f t="shared" si="6"/>
        <v>4488724.2633333299</v>
      </c>
      <c r="AD68" s="50">
        <f t="shared" ref="AD68:AD96" si="13">IF(AB68&gt;0,AC68/$AC$97," ")</f>
        <v>1.8831052659186578E-2</v>
      </c>
      <c r="AE68" s="49">
        <f t="shared" si="7"/>
        <v>150.15065175265212</v>
      </c>
      <c r="AF68" s="51">
        <f t="shared" ref="AF68:AF96" si="14">IF(AB68&gt;0,AD68*$AE$98," ")</f>
        <v>36.710599364457302</v>
      </c>
      <c r="AG68" s="51">
        <f t="shared" si="8"/>
        <v>186.86125111710942</v>
      </c>
      <c r="AH68" s="51">
        <f t="shared" si="9"/>
        <v>0.60571749089924554</v>
      </c>
      <c r="AI68" s="52">
        <f t="shared" si="10"/>
        <v>187</v>
      </c>
      <c r="AJ68" s="48"/>
      <c r="AK68" s="48"/>
      <c r="AL68" s="48"/>
      <c r="AM68" s="48"/>
    </row>
    <row r="69" spans="1:39" x14ac:dyDescent="0.2">
      <c r="A69" s="41" t="s">
        <v>112</v>
      </c>
      <c r="B69" s="41" t="s">
        <v>54</v>
      </c>
      <c r="C69" s="42">
        <v>4940</v>
      </c>
      <c r="D69" s="43" t="s">
        <v>114</v>
      </c>
      <c r="E69" s="42">
        <v>2661</v>
      </c>
      <c r="F69" s="44">
        <v>6307009.6359999999</v>
      </c>
      <c r="G69" s="44">
        <v>6684520.1260000002</v>
      </c>
      <c r="H69" s="44">
        <v>4904690.4989999998</v>
      </c>
      <c r="I69" s="44">
        <v>264625.50699999998</v>
      </c>
      <c r="J69" s="44">
        <v>313353.09999999998</v>
      </c>
      <c r="K69" s="44">
        <v>5965406.7536666701</v>
      </c>
      <c r="L69" s="45">
        <f t="shared" si="12"/>
        <v>341045301.95999992</v>
      </c>
      <c r="M69" s="46">
        <f t="shared" ref="M69:M96" si="15">K69/L69</f>
        <v>1.749153769127813E-2</v>
      </c>
      <c r="N69" s="44">
        <v>11408.18</v>
      </c>
      <c r="O69" s="45">
        <f t="shared" ref="O69:O96" si="16">M69*N69</f>
        <v>199.54661045888534</v>
      </c>
      <c r="P69" s="44">
        <v>705.10900000000004</v>
      </c>
      <c r="Q69" s="44">
        <v>593.70500000000004</v>
      </c>
      <c r="R69" s="44">
        <v>775.27599999999995</v>
      </c>
      <c r="S69" s="44">
        <v>960.43399999999997</v>
      </c>
      <c r="T69" s="44">
        <v>907.20600000000002</v>
      </c>
      <c r="U69" s="44">
        <v>573.76700000000005</v>
      </c>
      <c r="V69" s="44">
        <v>31.048999999999999</v>
      </c>
      <c r="W69" s="44">
        <v>33.982999999999997</v>
      </c>
      <c r="X69" s="44">
        <v>960.43399999999997</v>
      </c>
      <c r="Y69" s="47">
        <v>250</v>
      </c>
      <c r="Z69" s="41"/>
      <c r="AA69" s="48"/>
      <c r="AB69" s="49">
        <f t="shared" si="11"/>
        <v>760.88738954111466</v>
      </c>
      <c r="AC69" s="49">
        <f t="shared" ref="AC69:AC96" si="17">IF(AB69&gt;0,K69," ")</f>
        <v>5965406.7536666701</v>
      </c>
      <c r="AD69" s="50">
        <f t="shared" si="13"/>
        <v>2.5026016774829546E-2</v>
      </c>
      <c r="AE69" s="49">
        <f t="shared" ref="AE69:AE96" si="18">MIN(X69,O69)</f>
        <v>199.54661045888534</v>
      </c>
      <c r="AF69" s="51">
        <f t="shared" si="14"/>
        <v>48.78750498638562</v>
      </c>
      <c r="AG69" s="51">
        <f t="shared" ref="AG69:AG95" si="19">IF(AB69&gt;0,AE69+AF69," ")</f>
        <v>248.33411544527095</v>
      </c>
      <c r="AH69" s="51">
        <f t="shared" ref="AH69:AH98" si="20">IF(AB69&gt;0,(Y69-AG69)/Y69*100," ")</f>
        <v>0.66635382189161874</v>
      </c>
      <c r="AI69" s="52">
        <f t="shared" ref="AI69:AI96" si="21">IF(AB69&gt;0,ROUND(AG69,0),Y69)</f>
        <v>248</v>
      </c>
      <c r="AJ69" s="48"/>
      <c r="AK69" s="48"/>
      <c r="AL69" s="48"/>
      <c r="AM69" s="48"/>
    </row>
    <row r="70" spans="1:39" x14ac:dyDescent="0.2">
      <c r="A70" s="41" t="s">
        <v>112</v>
      </c>
      <c r="B70" s="41" t="s">
        <v>54</v>
      </c>
      <c r="C70" s="42">
        <v>4940</v>
      </c>
      <c r="D70" s="43" t="s">
        <v>115</v>
      </c>
      <c r="E70" s="42">
        <v>1871</v>
      </c>
      <c r="F70" s="44">
        <v>321618.8</v>
      </c>
      <c r="G70" s="44">
        <v>256339.9</v>
      </c>
      <c r="H70" s="44">
        <v>50102.400000000001</v>
      </c>
      <c r="I70" s="44">
        <v>50949.2</v>
      </c>
      <c r="J70" s="44">
        <v>111470.9</v>
      </c>
      <c r="K70" s="44">
        <v>229809.86666666699</v>
      </c>
      <c r="L70" s="45">
        <f t="shared" si="12"/>
        <v>341045301.95999992</v>
      </c>
      <c r="M70" s="46">
        <f t="shared" si="15"/>
        <v>6.7383970793891959E-4</v>
      </c>
      <c r="N70" s="44">
        <v>11408.18</v>
      </c>
      <c r="O70" s="45">
        <f t="shared" si="16"/>
        <v>7.6872846793146241</v>
      </c>
      <c r="P70" s="44">
        <v>38.451999999999998</v>
      </c>
      <c r="Q70" s="44">
        <v>1.0449999999999999</v>
      </c>
      <c r="R70" s="44">
        <v>3.5739999999999998</v>
      </c>
      <c r="S70" s="44">
        <v>21.850999999999999</v>
      </c>
      <c r="T70" s="44">
        <v>20.106999999999999</v>
      </c>
      <c r="U70" s="44">
        <v>9.4130000000000003</v>
      </c>
      <c r="V70" s="44">
        <v>2.52</v>
      </c>
      <c r="W70" s="44">
        <v>7.3719999999999999</v>
      </c>
      <c r="X70" s="44">
        <v>38.451999999999998</v>
      </c>
      <c r="Y70" s="47">
        <v>10</v>
      </c>
      <c r="Z70" s="41"/>
      <c r="AA70" s="48"/>
      <c r="AB70" s="49">
        <f t="shared" si="11"/>
        <v>30.764715320685376</v>
      </c>
      <c r="AC70" s="49">
        <f t="shared" si="17"/>
        <v>229809.86666666699</v>
      </c>
      <c r="AD70" s="50">
        <f t="shared" si="13"/>
        <v>9.6409613220193701E-4</v>
      </c>
      <c r="AE70" s="49">
        <f t="shared" si="18"/>
        <v>7.6872846793146241</v>
      </c>
      <c r="AF70" s="51">
        <f t="shared" si="14"/>
        <v>1.8794778761782178</v>
      </c>
      <c r="AG70" s="51">
        <f t="shared" si="19"/>
        <v>9.5667625554928417</v>
      </c>
      <c r="AH70" s="51">
        <f t="shared" si="20"/>
        <v>4.3323744450715829</v>
      </c>
      <c r="AI70" s="52">
        <f t="shared" si="21"/>
        <v>10</v>
      </c>
      <c r="AJ70" s="48"/>
      <c r="AK70" s="48"/>
      <c r="AL70" s="48"/>
      <c r="AM70" s="48"/>
    </row>
    <row r="71" spans="1:39" x14ac:dyDescent="0.2">
      <c r="A71" s="41" t="s">
        <v>112</v>
      </c>
      <c r="B71" s="41" t="s">
        <v>54</v>
      </c>
      <c r="C71" s="42">
        <v>4940</v>
      </c>
      <c r="D71" s="43" t="s">
        <v>116</v>
      </c>
      <c r="E71" s="42">
        <v>1872</v>
      </c>
      <c r="F71" s="44">
        <v>308812.2</v>
      </c>
      <c r="G71" s="44">
        <v>232830.2</v>
      </c>
      <c r="H71" s="44">
        <v>42736.7</v>
      </c>
      <c r="I71" s="44">
        <v>27572.5</v>
      </c>
      <c r="J71" s="44">
        <v>120583.5</v>
      </c>
      <c r="K71" s="44">
        <v>220741.96666666699</v>
      </c>
      <c r="L71" s="45">
        <f t="shared" si="12"/>
        <v>341045301.95999992</v>
      </c>
      <c r="M71" s="46">
        <f t="shared" si="15"/>
        <v>6.4725115812490244E-4</v>
      </c>
      <c r="N71" s="44">
        <v>11408.18</v>
      </c>
      <c r="O71" s="45">
        <f t="shared" si="16"/>
        <v>7.38395771709735</v>
      </c>
      <c r="P71" s="44">
        <v>17.228999999999999</v>
      </c>
      <c r="Q71" s="44">
        <v>0.66100000000000003</v>
      </c>
      <c r="R71" s="44">
        <v>2.5489999999999999</v>
      </c>
      <c r="S71" s="44">
        <v>86.832999999999998</v>
      </c>
      <c r="T71" s="44">
        <v>11.24</v>
      </c>
      <c r="U71" s="44">
        <v>8.6029999999999998</v>
      </c>
      <c r="V71" s="44">
        <v>2.1520000000000001</v>
      </c>
      <c r="W71" s="44">
        <v>8.1039999999999992</v>
      </c>
      <c r="X71" s="44">
        <v>86.832999999999998</v>
      </c>
      <c r="Y71" s="47">
        <v>9</v>
      </c>
      <c r="Z71" s="41"/>
      <c r="AA71" s="48"/>
      <c r="AB71" s="49">
        <f t="shared" si="11"/>
        <v>79.449042282902653</v>
      </c>
      <c r="AC71" s="49">
        <f t="shared" si="17"/>
        <v>220741.96666666699</v>
      </c>
      <c r="AD71" s="50">
        <f t="shared" si="13"/>
        <v>9.2605456573658393E-4</v>
      </c>
      <c r="AE71" s="49">
        <f t="shared" si="18"/>
        <v>7.38395771709735</v>
      </c>
      <c r="AF71" s="51">
        <f t="shared" si="14"/>
        <v>1.8053169287802686</v>
      </c>
      <c r="AG71" s="51">
        <f t="shared" si="19"/>
        <v>9.1892746458776191</v>
      </c>
      <c r="AH71" s="51">
        <f t="shared" si="20"/>
        <v>-2.1030516208624346</v>
      </c>
      <c r="AI71" s="52">
        <f t="shared" si="21"/>
        <v>9</v>
      </c>
      <c r="AJ71" s="48"/>
      <c r="AK71" s="48"/>
      <c r="AL71" s="48"/>
      <c r="AM71" s="48"/>
    </row>
    <row r="72" spans="1:39" x14ac:dyDescent="0.2">
      <c r="A72" s="41" t="s">
        <v>117</v>
      </c>
      <c r="B72" s="41" t="s">
        <v>54</v>
      </c>
      <c r="C72" s="42">
        <v>2956</v>
      </c>
      <c r="D72" s="43" t="s">
        <v>71</v>
      </c>
      <c r="E72" s="42">
        <v>2012</v>
      </c>
      <c r="F72" s="44">
        <v>7276466.4730000002</v>
      </c>
      <c r="G72" s="44">
        <v>7231097.801</v>
      </c>
      <c r="H72" s="44">
        <v>5441625.767</v>
      </c>
      <c r="I72" s="44">
        <v>581067.14899999998</v>
      </c>
      <c r="J72" s="44">
        <v>1965854.6040000001</v>
      </c>
      <c r="K72" s="44">
        <v>6649730.0136666698</v>
      </c>
      <c r="L72" s="45">
        <f t="shared" si="12"/>
        <v>341045301.95999992</v>
      </c>
      <c r="M72" s="46">
        <f t="shared" si="15"/>
        <v>1.9498084200106045E-2</v>
      </c>
      <c r="N72" s="44">
        <v>11408.18</v>
      </c>
      <c r="O72" s="45">
        <f t="shared" si="16"/>
        <v>222.43765420996579</v>
      </c>
      <c r="P72" s="44">
        <v>532.803</v>
      </c>
      <c r="Q72" s="44">
        <v>660.03499999999997</v>
      </c>
      <c r="R72" s="44">
        <v>511.77499999999998</v>
      </c>
      <c r="S72" s="44">
        <v>765.74800000000005</v>
      </c>
      <c r="T72" s="44">
        <v>755.38400000000001</v>
      </c>
      <c r="U72" s="44">
        <v>444.54599999999999</v>
      </c>
      <c r="V72" s="44">
        <v>61.152999999999999</v>
      </c>
      <c r="W72" s="44">
        <v>186.78800000000001</v>
      </c>
      <c r="X72" s="44">
        <v>765.74800000000005</v>
      </c>
      <c r="Y72" s="47">
        <v>278</v>
      </c>
      <c r="Z72" s="41"/>
      <c r="AA72" s="48"/>
      <c r="AB72" s="49">
        <f t="shared" si="11"/>
        <v>543.31034579003426</v>
      </c>
      <c r="AC72" s="49">
        <f t="shared" si="17"/>
        <v>6649730.0136666698</v>
      </c>
      <c r="AD72" s="50">
        <f t="shared" si="13"/>
        <v>2.7896883103205147E-2</v>
      </c>
      <c r="AE72" s="49">
        <f t="shared" si="18"/>
        <v>222.43765420996579</v>
      </c>
      <c r="AF72" s="51">
        <f t="shared" si="14"/>
        <v>54.384176904696723</v>
      </c>
      <c r="AG72" s="51">
        <f t="shared" si="19"/>
        <v>276.82183111466253</v>
      </c>
      <c r="AH72" s="51">
        <f t="shared" si="20"/>
        <v>0.4238017573156368</v>
      </c>
      <c r="AI72" s="52">
        <f t="shared" si="21"/>
        <v>277</v>
      </c>
      <c r="AJ72" s="48"/>
      <c r="AK72" s="48"/>
      <c r="AL72" s="48"/>
      <c r="AM72" s="48"/>
    </row>
    <row r="73" spans="1:39" x14ac:dyDescent="0.2">
      <c r="A73" s="41" t="s">
        <v>117</v>
      </c>
      <c r="B73" s="41" t="s">
        <v>54</v>
      </c>
      <c r="C73" s="42">
        <v>2956</v>
      </c>
      <c r="D73" s="43" t="s">
        <v>72</v>
      </c>
      <c r="E73" s="42">
        <v>2013</v>
      </c>
      <c r="F73" s="44">
        <v>7914160.4699999997</v>
      </c>
      <c r="G73" s="44">
        <v>6688176.6780000003</v>
      </c>
      <c r="H73" s="44">
        <v>5785874.9970000004</v>
      </c>
      <c r="I73" s="44">
        <v>501298.92</v>
      </c>
      <c r="J73" s="44">
        <v>2815665.2489999998</v>
      </c>
      <c r="K73" s="44">
        <v>6796070.7149999999</v>
      </c>
      <c r="L73" s="45">
        <f t="shared" si="12"/>
        <v>341045301.95999992</v>
      </c>
      <c r="M73" s="46">
        <f t="shared" si="15"/>
        <v>1.992717881156178E-2</v>
      </c>
      <c r="N73" s="44">
        <v>11408.18</v>
      </c>
      <c r="O73" s="45">
        <f t="shared" si="16"/>
        <v>227.33284277448288</v>
      </c>
      <c r="P73" s="44">
        <v>689.29499999999996</v>
      </c>
      <c r="Q73" s="44">
        <v>909.04300000000001</v>
      </c>
      <c r="R73" s="44">
        <v>507.28100000000001</v>
      </c>
      <c r="S73" s="44">
        <v>945.19799999999998</v>
      </c>
      <c r="T73" s="44">
        <v>723.73099999999999</v>
      </c>
      <c r="U73" s="44">
        <v>477.02199999999999</v>
      </c>
      <c r="V73" s="44">
        <v>54.475999999999999</v>
      </c>
      <c r="W73" s="44">
        <v>325.428</v>
      </c>
      <c r="X73" s="44">
        <v>945.19799999999998</v>
      </c>
      <c r="Y73" s="47">
        <v>284</v>
      </c>
      <c r="Z73" s="41"/>
      <c r="AA73" s="48"/>
      <c r="AB73" s="49">
        <f t="shared" si="11"/>
        <v>717.86515722551712</v>
      </c>
      <c r="AC73" s="49">
        <f t="shared" si="17"/>
        <v>6796070.7149999999</v>
      </c>
      <c r="AD73" s="50">
        <f t="shared" si="13"/>
        <v>2.8510810199485238E-2</v>
      </c>
      <c r="AE73" s="49">
        <f t="shared" si="18"/>
        <v>227.33284277448288</v>
      </c>
      <c r="AF73" s="51">
        <f t="shared" si="14"/>
        <v>55.581010245796655</v>
      </c>
      <c r="AG73" s="51">
        <f t="shared" si="19"/>
        <v>282.91385302027953</v>
      </c>
      <c r="AH73" s="51">
        <f t="shared" si="20"/>
        <v>0.38244611961988301</v>
      </c>
      <c r="AI73" s="52">
        <f t="shared" si="21"/>
        <v>283</v>
      </c>
      <c r="AJ73" s="48"/>
      <c r="AK73" s="48"/>
      <c r="AL73" s="48"/>
      <c r="AM73" s="48"/>
    </row>
    <row r="74" spans="1:39" x14ac:dyDescent="0.2">
      <c r="A74" s="41" t="s">
        <v>117</v>
      </c>
      <c r="B74" s="41" t="s">
        <v>54</v>
      </c>
      <c r="C74" s="42">
        <v>2956</v>
      </c>
      <c r="D74" s="43" t="s">
        <v>60</v>
      </c>
      <c r="E74" s="42">
        <v>2014</v>
      </c>
      <c r="F74" s="44">
        <v>7877916.9979999997</v>
      </c>
      <c r="G74" s="44">
        <v>7889246.9730000002</v>
      </c>
      <c r="H74" s="44">
        <v>5828963.1169999996</v>
      </c>
      <c r="I74" s="44">
        <v>2068522.56</v>
      </c>
      <c r="J74" s="44">
        <v>4443604.7350000003</v>
      </c>
      <c r="K74" s="44">
        <v>7198709.0293333298</v>
      </c>
      <c r="L74" s="45">
        <f t="shared" si="12"/>
        <v>341045301.95999992</v>
      </c>
      <c r="M74" s="46">
        <f t="shared" si="15"/>
        <v>2.1107779488420114E-2</v>
      </c>
      <c r="N74" s="44">
        <v>11408.18</v>
      </c>
      <c r="O74" s="45">
        <f t="shared" si="16"/>
        <v>240.80134780420457</v>
      </c>
      <c r="P74" s="44">
        <v>658.85500000000002</v>
      </c>
      <c r="Q74" s="44">
        <v>338.87900000000002</v>
      </c>
      <c r="R74" s="44">
        <v>517.577</v>
      </c>
      <c r="S74" s="44">
        <v>605.71799999999996</v>
      </c>
      <c r="T74" s="44">
        <v>641.22199999999998</v>
      </c>
      <c r="U74" s="44">
        <v>615.59900000000005</v>
      </c>
      <c r="V74" s="44">
        <v>165.53299999999999</v>
      </c>
      <c r="W74" s="44">
        <v>361.15300000000002</v>
      </c>
      <c r="X74" s="44">
        <v>658.85500000000002</v>
      </c>
      <c r="Y74" s="47">
        <v>301</v>
      </c>
      <c r="Z74" s="41"/>
      <c r="AA74" s="48"/>
      <c r="AB74" s="49">
        <f t="shared" si="11"/>
        <v>418.05365219579545</v>
      </c>
      <c r="AC74" s="49">
        <f t="shared" si="17"/>
        <v>7198709.0293333298</v>
      </c>
      <c r="AD74" s="50">
        <f t="shared" si="13"/>
        <v>3.0199954565458518E-2</v>
      </c>
      <c r="AE74" s="49">
        <f t="shared" si="18"/>
        <v>240.80134780420457</v>
      </c>
      <c r="AF74" s="51">
        <f t="shared" si="14"/>
        <v>58.873948947113732</v>
      </c>
      <c r="AG74" s="51">
        <f t="shared" si="19"/>
        <v>299.67529675131829</v>
      </c>
      <c r="AH74" s="51">
        <f t="shared" si="20"/>
        <v>0.44010074707033714</v>
      </c>
      <c r="AI74" s="52">
        <f t="shared" si="21"/>
        <v>300</v>
      </c>
      <c r="AJ74" s="48"/>
      <c r="AK74" s="48"/>
      <c r="AL74" s="48"/>
      <c r="AM74" s="48"/>
    </row>
    <row r="75" spans="1:39" x14ac:dyDescent="0.2">
      <c r="A75" s="41" t="s">
        <v>118</v>
      </c>
      <c r="B75" s="41" t="s">
        <v>54</v>
      </c>
      <c r="C75" s="42">
        <v>6095</v>
      </c>
      <c r="D75" s="43" t="s">
        <v>71</v>
      </c>
      <c r="E75" s="42">
        <v>2773</v>
      </c>
      <c r="F75" s="44">
        <v>14492320.179</v>
      </c>
      <c r="G75" s="44">
        <v>12970206.827</v>
      </c>
      <c r="H75" s="44">
        <v>12982242.540999999</v>
      </c>
      <c r="I75" s="44">
        <v>16295046.465</v>
      </c>
      <c r="J75" s="44">
        <v>14203708.717</v>
      </c>
      <c r="K75" s="44">
        <v>14997025.120333301</v>
      </c>
      <c r="L75" s="45">
        <f t="shared" si="12"/>
        <v>341045301.95999992</v>
      </c>
      <c r="M75" s="46">
        <f t="shared" si="15"/>
        <v>4.3973703886682633E-2</v>
      </c>
      <c r="N75" s="44">
        <v>11408.18</v>
      </c>
      <c r="O75" s="45">
        <f t="shared" si="16"/>
        <v>501.65992920597512</v>
      </c>
      <c r="P75" s="44">
        <v>2611.8710000000001</v>
      </c>
      <c r="Q75" s="44">
        <v>2225.5569999999998</v>
      </c>
      <c r="R75" s="44">
        <v>2407.0120000000002</v>
      </c>
      <c r="S75" s="44">
        <v>2159.9859999999999</v>
      </c>
      <c r="T75" s="44">
        <v>2195.951</v>
      </c>
      <c r="U75" s="44">
        <v>2139.8890000000001</v>
      </c>
      <c r="V75" s="44">
        <v>1209.2159999999999</v>
      </c>
      <c r="W75" s="44">
        <v>959.68399999999997</v>
      </c>
      <c r="X75" s="44">
        <v>2611.8710000000001</v>
      </c>
      <c r="Y75" s="47">
        <v>627</v>
      </c>
      <c r="Z75" s="41"/>
      <c r="AA75" s="48"/>
      <c r="AB75" s="49">
        <f t="shared" si="11"/>
        <v>2110.2110707940251</v>
      </c>
      <c r="AC75" s="49">
        <f t="shared" si="17"/>
        <v>14997025.120333301</v>
      </c>
      <c r="AD75" s="50">
        <f>IF(AB75&gt;0,AC75/$AC$97," ")</f>
        <v>6.2915374882578021E-2</v>
      </c>
      <c r="AE75" s="49">
        <f t="shared" si="18"/>
        <v>501.65992920597512</v>
      </c>
      <c r="AF75" s="51">
        <f t="shared" si="14"/>
        <v>122.65172653809196</v>
      </c>
      <c r="AG75" s="51">
        <f t="shared" si="19"/>
        <v>624.31165574406714</v>
      </c>
      <c r="AH75" s="51">
        <f t="shared" si="20"/>
        <v>0.42876303922374187</v>
      </c>
      <c r="AI75" s="52">
        <f t="shared" si="21"/>
        <v>624</v>
      </c>
      <c r="AJ75" s="48"/>
      <c r="AK75" s="48"/>
      <c r="AL75" s="48"/>
      <c r="AM75" s="48"/>
    </row>
    <row r="76" spans="1:39" x14ac:dyDescent="0.2">
      <c r="A76" s="41" t="s">
        <v>118</v>
      </c>
      <c r="B76" s="41" t="s">
        <v>54</v>
      </c>
      <c r="C76" s="42">
        <v>6095</v>
      </c>
      <c r="D76" s="43" t="s">
        <v>72</v>
      </c>
      <c r="E76" s="42">
        <v>2774</v>
      </c>
      <c r="F76" s="44">
        <v>16114964.195</v>
      </c>
      <c r="G76" s="44">
        <v>13070591.289000001</v>
      </c>
      <c r="H76" s="44">
        <v>14196638.694</v>
      </c>
      <c r="I76" s="44">
        <v>12684629.426999999</v>
      </c>
      <c r="J76" s="44">
        <v>14480180.638</v>
      </c>
      <c r="K76" s="44">
        <v>14930594.509</v>
      </c>
      <c r="L76" s="45">
        <f t="shared" si="12"/>
        <v>341045301.95999992</v>
      </c>
      <c r="M76" s="46">
        <f t="shared" si="15"/>
        <v>4.3778918587042026E-2</v>
      </c>
      <c r="N76" s="44">
        <v>11408.18</v>
      </c>
      <c r="O76" s="45">
        <f t="shared" si="16"/>
        <v>499.43778344632113</v>
      </c>
      <c r="P76" s="44">
        <v>2868.7820000000002</v>
      </c>
      <c r="Q76" s="44">
        <v>2120.2530000000002</v>
      </c>
      <c r="R76" s="44">
        <v>2190.444</v>
      </c>
      <c r="S76" s="44">
        <v>2580.09</v>
      </c>
      <c r="T76" s="44">
        <v>1922.037</v>
      </c>
      <c r="U76" s="44">
        <v>1107.741</v>
      </c>
      <c r="V76" s="44">
        <v>881.22</v>
      </c>
      <c r="W76" s="44">
        <v>1009.064</v>
      </c>
      <c r="X76" s="44">
        <v>2868.7820000000002</v>
      </c>
      <c r="Y76" s="47">
        <v>625</v>
      </c>
      <c r="Z76" s="41"/>
      <c r="AA76" s="48"/>
      <c r="AB76" s="49">
        <f t="shared" si="11"/>
        <v>2369.344216553679</v>
      </c>
      <c r="AC76" s="49">
        <f t="shared" si="17"/>
        <v>14930594.509</v>
      </c>
      <c r="AD76" s="50">
        <f t="shared" si="13"/>
        <v>6.2636685823769495E-2</v>
      </c>
      <c r="AE76" s="49">
        <f t="shared" si="18"/>
        <v>499.43778344632113</v>
      </c>
      <c r="AF76" s="51">
        <f t="shared" si="14"/>
        <v>122.10843017700476</v>
      </c>
      <c r="AG76" s="51">
        <f t="shared" si="19"/>
        <v>621.54621362332591</v>
      </c>
      <c r="AH76" s="51">
        <f t="shared" si="20"/>
        <v>0.55260582026785421</v>
      </c>
      <c r="AI76" s="52">
        <f t="shared" si="21"/>
        <v>622</v>
      </c>
      <c r="AJ76" s="48"/>
      <c r="AK76" s="48"/>
      <c r="AL76" s="48"/>
      <c r="AM76" s="48"/>
    </row>
    <row r="77" spans="1:39" x14ac:dyDescent="0.2">
      <c r="A77" s="41" t="s">
        <v>119</v>
      </c>
      <c r="B77" s="41" t="s">
        <v>54</v>
      </c>
      <c r="C77" s="42">
        <v>2964</v>
      </c>
      <c r="D77" s="43" t="s">
        <v>120</v>
      </c>
      <c r="E77" s="42">
        <v>2021</v>
      </c>
      <c r="F77" s="44">
        <v>683953.65599999996</v>
      </c>
      <c r="G77" s="44">
        <v>56826.436999999998</v>
      </c>
      <c r="H77" s="44">
        <v>192920.72899999999</v>
      </c>
      <c r="I77" s="44">
        <v>117045.36199999999</v>
      </c>
      <c r="J77" s="44">
        <v>352238.24599999998</v>
      </c>
      <c r="K77" s="44">
        <v>409704.210333333</v>
      </c>
      <c r="L77" s="45">
        <f t="shared" si="12"/>
        <v>341045301.95999992</v>
      </c>
      <c r="M77" s="46">
        <f t="shared" si="15"/>
        <v>1.2013190270581293E-3</v>
      </c>
      <c r="N77" s="44">
        <v>11408.18</v>
      </c>
      <c r="O77" s="45">
        <f t="shared" si="16"/>
        <v>13.70486369810401</v>
      </c>
      <c r="P77" s="44">
        <v>7.242</v>
      </c>
      <c r="Q77" s="44">
        <v>26.766999999999999</v>
      </c>
      <c r="R77" s="44">
        <v>62.031999999999996</v>
      </c>
      <c r="S77" s="44">
        <v>115.51300000000001</v>
      </c>
      <c r="T77" s="44">
        <v>7.6680000000000001</v>
      </c>
      <c r="U77" s="44">
        <v>26.638999999999999</v>
      </c>
      <c r="V77" s="44">
        <v>15.92</v>
      </c>
      <c r="W77" s="44">
        <v>48.966000000000001</v>
      </c>
      <c r="X77" s="44">
        <v>115.51300000000001</v>
      </c>
      <c r="Y77" s="47">
        <v>17</v>
      </c>
      <c r="Z77" s="41"/>
      <c r="AA77" s="48"/>
      <c r="AB77" s="49">
        <f t="shared" si="11"/>
        <v>101.808136301896</v>
      </c>
      <c r="AC77" s="49">
        <f t="shared" si="17"/>
        <v>409704.210333333</v>
      </c>
      <c r="AD77" s="50">
        <f t="shared" si="13"/>
        <v>1.7187871446013398E-3</v>
      </c>
      <c r="AE77" s="49">
        <f t="shared" si="18"/>
        <v>13.70486369810401</v>
      </c>
      <c r="AF77" s="51">
        <f t="shared" si="14"/>
        <v>3.3507264516865773</v>
      </c>
      <c r="AG77" s="51">
        <f t="shared" si="19"/>
        <v>17.055590149790586</v>
      </c>
      <c r="AH77" s="51">
        <f t="shared" si="20"/>
        <v>-0.3270008811210926</v>
      </c>
      <c r="AI77" s="52">
        <f t="shared" si="21"/>
        <v>17</v>
      </c>
      <c r="AJ77" s="48"/>
      <c r="AK77" s="48"/>
      <c r="AL77" s="48"/>
      <c r="AM77" s="48"/>
    </row>
    <row r="78" spans="1:39" x14ac:dyDescent="0.2">
      <c r="A78" s="41" t="s">
        <v>119</v>
      </c>
      <c r="B78" s="41" t="s">
        <v>54</v>
      </c>
      <c r="C78" s="42">
        <v>2964</v>
      </c>
      <c r="D78" s="43" t="s">
        <v>121</v>
      </c>
      <c r="E78" s="42">
        <v>2022</v>
      </c>
      <c r="F78" s="44">
        <v>4104929.0639999998</v>
      </c>
      <c r="G78" s="44">
        <v>3851790.7230000002</v>
      </c>
      <c r="H78" s="44">
        <v>2873574.159</v>
      </c>
      <c r="I78" s="44">
        <v>1945321.024</v>
      </c>
      <c r="J78" s="44">
        <v>2322871.4070000001</v>
      </c>
      <c r="K78" s="44">
        <v>3610097.9819999998</v>
      </c>
      <c r="L78" s="45">
        <f t="shared" si="12"/>
        <v>341045301.95999992</v>
      </c>
      <c r="M78" s="46">
        <f t="shared" si="15"/>
        <v>1.0585391328520386E-2</v>
      </c>
      <c r="N78" s="44">
        <v>11408.18</v>
      </c>
      <c r="O78" s="45">
        <f t="shared" si="16"/>
        <v>120.7600496461997</v>
      </c>
      <c r="P78" s="44">
        <v>1318.4690000000001</v>
      </c>
      <c r="Q78" s="44">
        <v>1000.107</v>
      </c>
      <c r="R78" s="44">
        <v>1153.866</v>
      </c>
      <c r="S78" s="44">
        <v>1176.2940000000001</v>
      </c>
      <c r="T78" s="44">
        <v>1185.0309999999999</v>
      </c>
      <c r="U78" s="44">
        <v>356.02</v>
      </c>
      <c r="V78" s="44">
        <v>224.959</v>
      </c>
      <c r="W78" s="44">
        <v>296.35199999999998</v>
      </c>
      <c r="X78" s="44">
        <v>1318.4690000000001</v>
      </c>
      <c r="Y78" s="47">
        <v>151</v>
      </c>
      <c r="Z78" s="41"/>
      <c r="AA78" s="48"/>
      <c r="AB78" s="49">
        <f t="shared" si="11"/>
        <v>1197.7089503538004</v>
      </c>
      <c r="AC78" s="49">
        <f t="shared" si="17"/>
        <v>3610097.9819999998</v>
      </c>
      <c r="AD78" s="50">
        <f t="shared" si="13"/>
        <v>1.5145048173081977E-2</v>
      </c>
      <c r="AE78" s="49">
        <f t="shared" si="18"/>
        <v>120.7600496461997</v>
      </c>
      <c r="AF78" s="51">
        <f t="shared" si="14"/>
        <v>29.524838887123298</v>
      </c>
      <c r="AG78" s="51">
        <f t="shared" si="19"/>
        <v>150.284888533323</v>
      </c>
      <c r="AH78" s="51">
        <f t="shared" si="20"/>
        <v>0.47358375276622611</v>
      </c>
      <c r="AI78" s="52">
        <f t="shared" si="21"/>
        <v>150</v>
      </c>
      <c r="AJ78" s="48"/>
      <c r="AK78" s="48"/>
      <c r="AL78" s="48"/>
      <c r="AM78" s="48"/>
    </row>
    <row r="79" spans="1:39" x14ac:dyDescent="0.2">
      <c r="A79" s="41" t="s">
        <v>119</v>
      </c>
      <c r="B79" s="41" t="s">
        <v>54</v>
      </c>
      <c r="C79" s="42">
        <v>2964</v>
      </c>
      <c r="D79" s="43" t="s">
        <v>122</v>
      </c>
      <c r="E79" s="42">
        <v>1873</v>
      </c>
      <c r="F79" s="44">
        <v>375991.1</v>
      </c>
      <c r="G79" s="44">
        <v>351912.6</v>
      </c>
      <c r="H79" s="44">
        <v>89721.2</v>
      </c>
      <c r="I79" s="44">
        <v>71823.600000000006</v>
      </c>
      <c r="J79" s="44">
        <v>93536.6</v>
      </c>
      <c r="K79" s="44">
        <v>273813.433333333</v>
      </c>
      <c r="L79" s="45">
        <f t="shared" si="12"/>
        <v>341045301.95999992</v>
      </c>
      <c r="M79" s="46">
        <f t="shared" si="15"/>
        <v>8.0286528434702698E-4</v>
      </c>
      <c r="N79" s="44">
        <v>11408.18</v>
      </c>
      <c r="O79" s="45">
        <f t="shared" si="16"/>
        <v>9.1592316795820672</v>
      </c>
      <c r="P79" s="44">
        <v>4.4249999999999998</v>
      </c>
      <c r="Q79" s="44">
        <v>2.11</v>
      </c>
      <c r="R79" s="44">
        <v>3.6859999999999999</v>
      </c>
      <c r="S79" s="44">
        <v>22.902000000000001</v>
      </c>
      <c r="T79" s="44">
        <v>18.747</v>
      </c>
      <c r="U79" s="44">
        <v>5.1109999999999998</v>
      </c>
      <c r="V79" s="44">
        <v>3.355</v>
      </c>
      <c r="W79" s="44">
        <v>7.5890000000000004</v>
      </c>
      <c r="X79" s="44">
        <v>22.902000000000001</v>
      </c>
      <c r="Y79" s="47">
        <v>11</v>
      </c>
      <c r="Z79" s="41"/>
      <c r="AA79" s="48"/>
      <c r="AB79" s="49">
        <f t="shared" si="11"/>
        <v>13.742768320417934</v>
      </c>
      <c r="AC79" s="49">
        <f t="shared" si="17"/>
        <v>273813.433333333</v>
      </c>
      <c r="AD79" s="50">
        <f t="shared" si="13"/>
        <v>1.1486994699165755E-3</v>
      </c>
      <c r="AE79" s="49">
        <f t="shared" si="18"/>
        <v>9.1592316795820672</v>
      </c>
      <c r="AF79" s="51">
        <f t="shared" si="14"/>
        <v>2.2393568109799666</v>
      </c>
      <c r="AG79" s="51">
        <f t="shared" si="19"/>
        <v>11.398588490562034</v>
      </c>
      <c r="AH79" s="51">
        <f t="shared" si="20"/>
        <v>-3.6235317323821259</v>
      </c>
      <c r="AI79" s="52">
        <f t="shared" si="21"/>
        <v>11</v>
      </c>
      <c r="AJ79" s="48"/>
      <c r="AK79" s="48"/>
      <c r="AL79" s="48"/>
      <c r="AM79" s="48"/>
    </row>
    <row r="80" spans="1:39" x14ac:dyDescent="0.2">
      <c r="A80" s="41" t="s">
        <v>119</v>
      </c>
      <c r="B80" s="41" t="s">
        <v>54</v>
      </c>
      <c r="C80" s="42">
        <v>2964</v>
      </c>
      <c r="D80" s="43" t="s">
        <v>123</v>
      </c>
      <c r="E80" s="42">
        <v>1874</v>
      </c>
      <c r="F80" s="44">
        <v>376330.9</v>
      </c>
      <c r="G80" s="44">
        <v>309336.40000000002</v>
      </c>
      <c r="H80" s="44">
        <v>72399.899999999994</v>
      </c>
      <c r="I80" s="44">
        <v>82263.8</v>
      </c>
      <c r="J80" s="44">
        <v>95746.1</v>
      </c>
      <c r="K80" s="44">
        <v>260471.13333333301</v>
      </c>
      <c r="L80" s="45">
        <f t="shared" si="12"/>
        <v>341045301.95999992</v>
      </c>
      <c r="M80" s="46">
        <f t="shared" si="15"/>
        <v>7.6374350221626217E-4</v>
      </c>
      <c r="N80" s="44">
        <v>11408.18</v>
      </c>
      <c r="O80" s="45">
        <f t="shared" si="16"/>
        <v>8.7129233471135183</v>
      </c>
      <c r="P80" s="44">
        <v>4.226</v>
      </c>
      <c r="Q80" s="44">
        <v>1.847</v>
      </c>
      <c r="R80" s="44">
        <v>3.0960000000000001</v>
      </c>
      <c r="S80" s="44">
        <v>20.977</v>
      </c>
      <c r="T80" s="44">
        <v>16.486000000000001</v>
      </c>
      <c r="U80" s="44">
        <v>3.6349999999999998</v>
      </c>
      <c r="V80" s="44">
        <v>3.9769999999999999</v>
      </c>
      <c r="W80" s="44">
        <v>7.4660000000000002</v>
      </c>
      <c r="X80" s="44">
        <v>20.977</v>
      </c>
      <c r="Y80" s="47">
        <v>11</v>
      </c>
      <c r="Z80" s="41"/>
      <c r="AA80" s="48"/>
      <c r="AB80" s="49">
        <f t="shared" si="11"/>
        <v>12.264076652886482</v>
      </c>
      <c r="AC80" s="49">
        <f t="shared" si="17"/>
        <v>260471.13333333301</v>
      </c>
      <c r="AD80" s="50">
        <f t="shared" si="13"/>
        <v>1.0927259818707567E-3</v>
      </c>
      <c r="AE80" s="49">
        <f t="shared" si="18"/>
        <v>8.7129233471135183</v>
      </c>
      <c r="AF80" s="51">
        <f t="shared" si="14"/>
        <v>2.1302380945773089</v>
      </c>
      <c r="AG80" s="51">
        <f t="shared" si="19"/>
        <v>10.843161441690828</v>
      </c>
      <c r="AH80" s="51">
        <f t="shared" si="20"/>
        <v>1.4258050755379255</v>
      </c>
      <c r="AI80" s="52">
        <f t="shared" si="21"/>
        <v>11</v>
      </c>
      <c r="AJ80" s="48"/>
      <c r="AK80" s="48"/>
      <c r="AL80" s="48"/>
      <c r="AM80" s="48"/>
    </row>
    <row r="81" spans="1:39" x14ac:dyDescent="0.2">
      <c r="A81" s="41" t="s">
        <v>119</v>
      </c>
      <c r="B81" s="41" t="s">
        <v>54</v>
      </c>
      <c r="C81" s="42">
        <v>2964</v>
      </c>
      <c r="D81" s="43" t="s">
        <v>124</v>
      </c>
      <c r="E81" s="42">
        <v>2023</v>
      </c>
      <c r="F81" s="44">
        <v>353019.58299999998</v>
      </c>
      <c r="G81" s="44">
        <v>367255.60100000002</v>
      </c>
      <c r="H81" s="44">
        <v>93574.244999999995</v>
      </c>
      <c r="I81" s="44">
        <v>13786.334999999999</v>
      </c>
      <c r="J81" s="44">
        <v>50631.063999999998</v>
      </c>
      <c r="K81" s="44">
        <v>271283.14299999998</v>
      </c>
      <c r="L81" s="45">
        <f t="shared" si="12"/>
        <v>341045301.95999992</v>
      </c>
      <c r="M81" s="46">
        <f t="shared" si="15"/>
        <v>7.9544606373676977E-4</v>
      </c>
      <c r="N81" s="44">
        <v>11408.18</v>
      </c>
      <c r="O81" s="45">
        <f t="shared" si="16"/>
        <v>9.074591875400543</v>
      </c>
      <c r="P81" s="44">
        <v>4.3479999999999999</v>
      </c>
      <c r="Q81" s="44">
        <v>12.802</v>
      </c>
      <c r="R81" s="44">
        <v>29.094000000000001</v>
      </c>
      <c r="S81" s="44">
        <v>47.436</v>
      </c>
      <c r="T81" s="44">
        <v>45.921999999999997</v>
      </c>
      <c r="U81" s="44">
        <v>12.38</v>
      </c>
      <c r="V81" s="44">
        <v>1.54</v>
      </c>
      <c r="W81" s="44">
        <v>6.1719999999999997</v>
      </c>
      <c r="X81" s="44">
        <v>47.436</v>
      </c>
      <c r="Y81" s="47">
        <v>11</v>
      </c>
      <c r="Z81" s="41"/>
      <c r="AA81" s="48"/>
      <c r="AB81" s="49">
        <f t="shared" si="11"/>
        <v>38.361408124599457</v>
      </c>
      <c r="AC81" s="49">
        <f t="shared" si="17"/>
        <v>271283.14299999998</v>
      </c>
      <c r="AD81" s="50">
        <f t="shared" si="13"/>
        <v>1.1380844203580087E-3</v>
      </c>
      <c r="AE81" s="49">
        <f t="shared" si="18"/>
        <v>9.074591875400543</v>
      </c>
      <c r="AF81" s="51">
        <f t="shared" si="14"/>
        <v>2.2186630750199487</v>
      </c>
      <c r="AG81" s="51">
        <f t="shared" si="19"/>
        <v>11.293254950420492</v>
      </c>
      <c r="AH81" s="51">
        <f t="shared" si="20"/>
        <v>-2.6659540947317431</v>
      </c>
      <c r="AI81" s="52">
        <f t="shared" si="21"/>
        <v>11</v>
      </c>
      <c r="AJ81" s="48"/>
      <c r="AK81" s="48"/>
      <c r="AL81" s="48"/>
      <c r="AM81" s="48"/>
    </row>
    <row r="82" spans="1:39" x14ac:dyDescent="0.2">
      <c r="A82" s="41" t="s">
        <v>119</v>
      </c>
      <c r="B82" s="41" t="s">
        <v>54</v>
      </c>
      <c r="C82" s="42">
        <v>2964</v>
      </c>
      <c r="D82" s="43" t="s">
        <v>125</v>
      </c>
      <c r="E82" s="42">
        <v>2024</v>
      </c>
      <c r="F82" s="44">
        <v>352920.41200000001</v>
      </c>
      <c r="G82" s="44">
        <v>426814.283</v>
      </c>
      <c r="H82" s="44">
        <v>93552.933999999994</v>
      </c>
      <c r="I82" s="44">
        <v>13959.287</v>
      </c>
      <c r="J82" s="44">
        <v>43929.135000000002</v>
      </c>
      <c r="K82" s="44">
        <v>291095.87633333303</v>
      </c>
      <c r="L82" s="45">
        <f t="shared" si="12"/>
        <v>341045301.95999992</v>
      </c>
      <c r="M82" s="46">
        <f t="shared" si="15"/>
        <v>8.5354020319410441E-4</v>
      </c>
      <c r="N82" s="44">
        <v>11408.18</v>
      </c>
      <c r="O82" s="45">
        <f t="shared" si="16"/>
        <v>9.737340275274919</v>
      </c>
      <c r="P82" s="44">
        <v>4.0019999999999998</v>
      </c>
      <c r="Q82" s="44">
        <v>9.86</v>
      </c>
      <c r="R82" s="44">
        <v>23.202000000000002</v>
      </c>
      <c r="S82" s="44">
        <v>41.981999999999999</v>
      </c>
      <c r="T82" s="44">
        <v>53.125999999999998</v>
      </c>
      <c r="U82" s="44">
        <v>10.789</v>
      </c>
      <c r="V82" s="44">
        <v>1.593</v>
      </c>
      <c r="W82" s="44">
        <v>4.8529999999999998</v>
      </c>
      <c r="X82" s="44">
        <v>53.125999999999998</v>
      </c>
      <c r="Y82" s="47">
        <v>12</v>
      </c>
      <c r="Z82" s="41"/>
      <c r="AA82" s="48"/>
      <c r="AB82" s="49">
        <f t="shared" si="11"/>
        <v>43.38865972472508</v>
      </c>
      <c r="AC82" s="49">
        <f t="shared" si="17"/>
        <v>291095.87633333303</v>
      </c>
      <c r="AD82" s="50">
        <f t="shared" si="13"/>
        <v>1.2212026078060733E-3</v>
      </c>
      <c r="AE82" s="49">
        <f t="shared" si="18"/>
        <v>9.737340275274919</v>
      </c>
      <c r="AF82" s="51">
        <f t="shared" si="14"/>
        <v>2.3806996076838409</v>
      </c>
      <c r="AG82" s="51">
        <f t="shared" si="19"/>
        <v>12.11803988295876</v>
      </c>
      <c r="AH82" s="51">
        <f t="shared" si="20"/>
        <v>-0.98366569132299908</v>
      </c>
      <c r="AI82" s="52">
        <f t="shared" si="21"/>
        <v>12</v>
      </c>
      <c r="AJ82" s="48"/>
      <c r="AK82" s="48"/>
      <c r="AL82" s="48"/>
      <c r="AM82" s="48"/>
    </row>
    <row r="83" spans="1:39" x14ac:dyDescent="0.2">
      <c r="A83" s="41" t="s">
        <v>126</v>
      </c>
      <c r="B83" s="41" t="s">
        <v>54</v>
      </c>
      <c r="C83" s="42">
        <v>55651</v>
      </c>
      <c r="D83" s="43" t="s">
        <v>108</v>
      </c>
      <c r="E83" s="42">
        <v>5035</v>
      </c>
      <c r="F83" s="44">
        <v>353531.908</v>
      </c>
      <c r="G83" s="44">
        <v>409355.10700000002</v>
      </c>
      <c r="H83" s="44">
        <v>27742.739000000001</v>
      </c>
      <c r="I83" s="44">
        <v>11451.991</v>
      </c>
      <c r="J83" s="44">
        <v>44310.748</v>
      </c>
      <c r="K83" s="44">
        <v>269065.92099999997</v>
      </c>
      <c r="L83" s="45">
        <f t="shared" si="12"/>
        <v>341045301.95999992</v>
      </c>
      <c r="M83" s="46">
        <f t="shared" si="15"/>
        <v>7.8894481012835597E-4</v>
      </c>
      <c r="N83" s="44">
        <v>11408.18</v>
      </c>
      <c r="O83" s="45">
        <f t="shared" si="16"/>
        <v>9.0004244040101078</v>
      </c>
      <c r="P83" s="44">
        <v>1.6679999999999999</v>
      </c>
      <c r="Q83" s="44">
        <v>3.2639999999999998</v>
      </c>
      <c r="R83" s="44">
        <v>3.36</v>
      </c>
      <c r="S83" s="44">
        <v>3.9079999999999999</v>
      </c>
      <c r="T83" s="44">
        <v>4.7480000000000002</v>
      </c>
      <c r="U83" s="44">
        <v>0.314</v>
      </c>
      <c r="V83" s="44">
        <v>0.121</v>
      </c>
      <c r="W83" s="44">
        <v>0.51900000000000002</v>
      </c>
      <c r="X83" s="44">
        <v>4.7480000000000002</v>
      </c>
      <c r="Y83" s="47">
        <v>5</v>
      </c>
      <c r="Z83" s="41"/>
      <c r="AA83" s="48"/>
      <c r="AB83" s="49">
        <f t="shared" si="11"/>
        <v>-4.2524244040101076</v>
      </c>
      <c r="AC83" s="49" t="str">
        <f t="shared" si="17"/>
        <v xml:space="preserve"> </v>
      </c>
      <c r="AD83" s="50" t="str">
        <f t="shared" si="13"/>
        <v xml:space="preserve"> </v>
      </c>
      <c r="AE83" s="49">
        <f t="shared" si="18"/>
        <v>4.7480000000000002</v>
      </c>
      <c r="AF83" s="51" t="str">
        <f t="shared" si="14"/>
        <v xml:space="preserve"> </v>
      </c>
      <c r="AG83" s="51" t="str">
        <f t="shared" si="19"/>
        <v xml:space="preserve"> </v>
      </c>
      <c r="AH83" s="51" t="str">
        <f t="shared" si="20"/>
        <v xml:space="preserve"> </v>
      </c>
      <c r="AI83" s="52">
        <f t="shared" si="21"/>
        <v>5</v>
      </c>
      <c r="AJ83" s="48"/>
      <c r="AK83" s="48"/>
      <c r="AL83" s="48"/>
      <c r="AM83" s="48"/>
    </row>
    <row r="84" spans="1:39" x14ac:dyDescent="0.2">
      <c r="A84" s="41" t="s">
        <v>126</v>
      </c>
      <c r="B84" s="41" t="s">
        <v>54</v>
      </c>
      <c r="C84" s="42">
        <v>55651</v>
      </c>
      <c r="D84" s="43" t="s">
        <v>109</v>
      </c>
      <c r="E84" s="42">
        <v>5036</v>
      </c>
      <c r="F84" s="44">
        <v>358197.66200000001</v>
      </c>
      <c r="G84" s="44">
        <v>360107.76299999998</v>
      </c>
      <c r="H84" s="44">
        <v>37536.925000000003</v>
      </c>
      <c r="I84" s="44">
        <v>9957.0779999999995</v>
      </c>
      <c r="J84" s="44">
        <v>43953.906999999999</v>
      </c>
      <c r="K84" s="44">
        <v>254086.44399999999</v>
      </c>
      <c r="L84" s="45">
        <f t="shared" si="12"/>
        <v>341045301.95999992</v>
      </c>
      <c r="M84" s="46">
        <f t="shared" si="15"/>
        <v>7.450225601694433E-4</v>
      </c>
      <c r="N84" s="44">
        <v>11408.18</v>
      </c>
      <c r="O84" s="45">
        <f t="shared" si="16"/>
        <v>8.4993514704738402</v>
      </c>
      <c r="P84" s="44">
        <v>2.5289999999999999</v>
      </c>
      <c r="Q84" s="44">
        <v>14.054</v>
      </c>
      <c r="R84" s="44">
        <v>2.9409999999999998</v>
      </c>
      <c r="S84" s="44">
        <v>3.7090000000000001</v>
      </c>
      <c r="T84" s="44">
        <v>3.8279999999999998</v>
      </c>
      <c r="U84" s="44">
        <v>0.38700000000000001</v>
      </c>
      <c r="V84" s="44">
        <v>9.7000000000000003E-2</v>
      </c>
      <c r="W84" s="44">
        <v>0.41099999999999998</v>
      </c>
      <c r="X84" s="44">
        <v>14.054</v>
      </c>
      <c r="Y84" s="47">
        <v>11</v>
      </c>
      <c r="Z84" s="41"/>
      <c r="AA84" s="48"/>
      <c r="AB84" s="49">
        <f t="shared" si="11"/>
        <v>5.5546485295261601</v>
      </c>
      <c r="AC84" s="49">
        <f t="shared" si="17"/>
        <v>254086.44399999999</v>
      </c>
      <c r="AD84" s="50">
        <f t="shared" si="13"/>
        <v>1.0659409948688468E-3</v>
      </c>
      <c r="AE84" s="49">
        <f t="shared" si="18"/>
        <v>8.4993514704738402</v>
      </c>
      <c r="AF84" s="51">
        <f t="shared" si="14"/>
        <v>2.0780215273675298</v>
      </c>
      <c r="AG84" s="51">
        <f t="shared" si="19"/>
        <v>10.577372997841369</v>
      </c>
      <c r="AH84" s="51">
        <f t="shared" si="20"/>
        <v>3.8420636559875536</v>
      </c>
      <c r="AI84" s="52">
        <f t="shared" si="21"/>
        <v>11</v>
      </c>
      <c r="AJ84" s="48"/>
      <c r="AK84" s="48"/>
      <c r="AL84" s="48"/>
      <c r="AM84" s="48"/>
    </row>
    <row r="85" spans="1:39" x14ac:dyDescent="0.2">
      <c r="A85" s="41" t="s">
        <v>126</v>
      </c>
      <c r="B85" s="41" t="s">
        <v>54</v>
      </c>
      <c r="C85" s="42">
        <v>55651</v>
      </c>
      <c r="D85" s="43" t="s">
        <v>110</v>
      </c>
      <c r="E85" s="42">
        <v>5037</v>
      </c>
      <c r="F85" s="44">
        <v>363243.098</v>
      </c>
      <c r="G85" s="44">
        <v>285385.158</v>
      </c>
      <c r="H85" s="44">
        <v>30473.472000000002</v>
      </c>
      <c r="I85" s="44"/>
      <c r="J85" s="44">
        <v>23734.080000000002</v>
      </c>
      <c r="K85" s="44">
        <v>226367.24266666701</v>
      </c>
      <c r="L85" s="45">
        <f t="shared" si="12"/>
        <v>341045301.95999992</v>
      </c>
      <c r="M85" s="46">
        <f t="shared" si="15"/>
        <v>6.6374537741973314E-4</v>
      </c>
      <c r="N85" s="44">
        <v>11408.18</v>
      </c>
      <c r="O85" s="45">
        <f t="shared" si="16"/>
        <v>7.5721267397722514</v>
      </c>
      <c r="P85" s="44">
        <v>1.855</v>
      </c>
      <c r="Q85" s="44">
        <v>13.327</v>
      </c>
      <c r="R85" s="44">
        <v>2.9279999999999999</v>
      </c>
      <c r="S85" s="44">
        <v>4.0010000000000003</v>
      </c>
      <c r="T85" s="44">
        <v>3.2010000000000001</v>
      </c>
      <c r="U85" s="44">
        <v>0.33500000000000002</v>
      </c>
      <c r="V85" s="44"/>
      <c r="W85" s="44">
        <v>2.806</v>
      </c>
      <c r="X85" s="44">
        <v>13.327</v>
      </c>
      <c r="Y85" s="47">
        <v>9</v>
      </c>
      <c r="Z85" s="41"/>
      <c r="AA85" s="48"/>
      <c r="AB85" s="49">
        <f t="shared" si="11"/>
        <v>5.7548732602277486</v>
      </c>
      <c r="AC85" s="49">
        <f t="shared" si="17"/>
        <v>226367.24266666701</v>
      </c>
      <c r="AD85" s="50">
        <f t="shared" si="13"/>
        <v>9.4965366925999677E-4</v>
      </c>
      <c r="AE85" s="49">
        <f t="shared" si="18"/>
        <v>7.5721267397722514</v>
      </c>
      <c r="AF85" s="51">
        <f t="shared" si="14"/>
        <v>1.8513227071341263</v>
      </c>
      <c r="AG85" s="51">
        <f t="shared" si="19"/>
        <v>9.4234494469063783</v>
      </c>
      <c r="AH85" s="51">
        <f t="shared" si="20"/>
        <v>-4.7049938545153145</v>
      </c>
      <c r="AI85" s="52">
        <f t="shared" si="21"/>
        <v>9</v>
      </c>
      <c r="AJ85" s="48"/>
      <c r="AK85" s="48"/>
      <c r="AL85" s="48"/>
      <c r="AM85" s="48"/>
    </row>
    <row r="86" spans="1:39" x14ac:dyDescent="0.2">
      <c r="A86" s="41" t="s">
        <v>126</v>
      </c>
      <c r="B86" s="41" t="s">
        <v>54</v>
      </c>
      <c r="C86" s="42">
        <v>55651</v>
      </c>
      <c r="D86" s="43" t="s">
        <v>111</v>
      </c>
      <c r="E86" s="42">
        <v>5038</v>
      </c>
      <c r="F86" s="44">
        <v>342944.49900000001</v>
      </c>
      <c r="G86" s="44">
        <v>296233.86</v>
      </c>
      <c r="H86" s="44">
        <v>33308.720999999998</v>
      </c>
      <c r="I86" s="44">
        <v>6033.1180000000004</v>
      </c>
      <c r="J86" s="44">
        <v>30714.21</v>
      </c>
      <c r="K86" s="44">
        <v>224162.36</v>
      </c>
      <c r="L86" s="45">
        <f t="shared" si="12"/>
        <v>341045301.95999992</v>
      </c>
      <c r="M86" s="46">
        <f t="shared" si="15"/>
        <v>6.5728030473292151E-4</v>
      </c>
      <c r="N86" s="44">
        <v>11408.18</v>
      </c>
      <c r="O86" s="45">
        <f t="shared" si="16"/>
        <v>7.4983720268480205</v>
      </c>
      <c r="P86" s="44">
        <v>2.9380000000000002</v>
      </c>
      <c r="Q86" s="44">
        <v>15.955</v>
      </c>
      <c r="R86" s="44">
        <v>2.4129999999999998</v>
      </c>
      <c r="S86" s="44">
        <v>3.254</v>
      </c>
      <c r="T86" s="44">
        <v>2.819</v>
      </c>
      <c r="U86" s="44">
        <v>0.315</v>
      </c>
      <c r="V86" s="44">
        <v>5.3999999999999999E-2</v>
      </c>
      <c r="W86" s="44">
        <v>2.863</v>
      </c>
      <c r="X86" s="44">
        <v>15.955</v>
      </c>
      <c r="Y86" s="47">
        <v>9</v>
      </c>
      <c r="Z86" s="41"/>
      <c r="AA86" s="48"/>
      <c r="AB86" s="49">
        <f t="shared" si="11"/>
        <v>8.4566279731519796</v>
      </c>
      <c r="AC86" s="49">
        <f t="shared" si="17"/>
        <v>224162.36</v>
      </c>
      <c r="AD86" s="50">
        <f t="shared" si="13"/>
        <v>9.4040376680051688E-4</v>
      </c>
      <c r="AE86" s="49">
        <f t="shared" si="18"/>
        <v>7.4983720268480205</v>
      </c>
      <c r="AF86" s="51">
        <f t="shared" si="14"/>
        <v>1.833290286456644</v>
      </c>
      <c r="AG86" s="51">
        <f t="shared" si="19"/>
        <v>9.3316623133046654</v>
      </c>
      <c r="AH86" s="51">
        <f t="shared" si="20"/>
        <v>-3.6851368144962828</v>
      </c>
      <c r="AI86" s="52">
        <f t="shared" si="21"/>
        <v>9</v>
      </c>
      <c r="AJ86" s="48"/>
      <c r="AK86" s="48"/>
      <c r="AL86" s="48"/>
      <c r="AM86" s="48"/>
    </row>
    <row r="87" spans="1:39" x14ac:dyDescent="0.2">
      <c r="A87" s="41" t="s">
        <v>127</v>
      </c>
      <c r="B87" s="41" t="s">
        <v>54</v>
      </c>
      <c r="C87" s="42">
        <v>55501</v>
      </c>
      <c r="D87" s="43" t="s">
        <v>128</v>
      </c>
      <c r="E87" s="42">
        <v>4899</v>
      </c>
      <c r="F87" s="44">
        <v>4106353.855</v>
      </c>
      <c r="G87" s="44">
        <v>5714938.9879999999</v>
      </c>
      <c r="H87" s="44">
        <v>3424275.824</v>
      </c>
      <c r="I87" s="44">
        <v>3900949.17</v>
      </c>
      <c r="J87" s="44">
        <v>3517653.0920000002</v>
      </c>
      <c r="K87" s="44">
        <v>4574080.6710000001</v>
      </c>
      <c r="L87" s="45">
        <f t="shared" si="12"/>
        <v>341045301.95999992</v>
      </c>
      <c r="M87" s="46">
        <f t="shared" si="15"/>
        <v>1.3411944526761078E-2</v>
      </c>
      <c r="N87" s="44">
        <v>11408.18</v>
      </c>
      <c r="O87" s="45">
        <f t="shared" si="16"/>
        <v>153.0058773113052</v>
      </c>
      <c r="P87" s="44">
        <v>82.796999999999997</v>
      </c>
      <c r="Q87" s="44">
        <v>76.665999999999997</v>
      </c>
      <c r="R87" s="44">
        <v>71.596000000000004</v>
      </c>
      <c r="S87" s="44">
        <v>73.658000000000001</v>
      </c>
      <c r="T87" s="44">
        <v>91.992000000000004</v>
      </c>
      <c r="U87" s="44">
        <v>66.197000000000003</v>
      </c>
      <c r="V87" s="44">
        <v>71.290000000000006</v>
      </c>
      <c r="W87" s="44">
        <v>62.372</v>
      </c>
      <c r="X87" s="44">
        <v>91.992000000000004</v>
      </c>
      <c r="Y87" s="47">
        <v>92</v>
      </c>
      <c r="Z87" s="41"/>
      <c r="AA87" s="48"/>
      <c r="AB87" s="49">
        <f t="shared" si="11"/>
        <v>-61.013877311305194</v>
      </c>
      <c r="AC87" s="49" t="str">
        <f t="shared" si="17"/>
        <v xml:space="preserve"> </v>
      </c>
      <c r="AD87" s="50" t="str">
        <f t="shared" si="13"/>
        <v xml:space="preserve"> </v>
      </c>
      <c r="AE87" s="49">
        <f t="shared" si="18"/>
        <v>91.992000000000004</v>
      </c>
      <c r="AF87" s="51" t="str">
        <f t="shared" si="14"/>
        <v xml:space="preserve"> </v>
      </c>
      <c r="AG87" s="51" t="str">
        <f t="shared" si="19"/>
        <v xml:space="preserve"> </v>
      </c>
      <c r="AH87" s="51" t="str">
        <f t="shared" si="20"/>
        <v xml:space="preserve"> </v>
      </c>
      <c r="AI87" s="52">
        <f t="shared" si="21"/>
        <v>92</v>
      </c>
      <c r="AJ87" s="48"/>
      <c r="AK87" s="48"/>
      <c r="AL87" s="48"/>
      <c r="AM87" s="48"/>
    </row>
    <row r="88" spans="1:39" x14ac:dyDescent="0.2">
      <c r="A88" s="41" t="s">
        <v>127</v>
      </c>
      <c r="B88" s="41" t="s">
        <v>54</v>
      </c>
      <c r="C88" s="42">
        <v>55501</v>
      </c>
      <c r="D88" s="43" t="s">
        <v>129</v>
      </c>
      <c r="E88" s="42">
        <v>4900</v>
      </c>
      <c r="F88" s="44">
        <v>4023474.3870000001</v>
      </c>
      <c r="G88" s="44">
        <v>5987471.6689999998</v>
      </c>
      <c r="H88" s="44">
        <v>3503399.2749999999</v>
      </c>
      <c r="I88" s="44">
        <v>3836372.6060000001</v>
      </c>
      <c r="J88" s="44">
        <v>3500287.2940000002</v>
      </c>
      <c r="K88" s="44">
        <v>4615772.8873333298</v>
      </c>
      <c r="L88" s="45">
        <f t="shared" si="12"/>
        <v>341045301.95999992</v>
      </c>
      <c r="M88" s="46">
        <f t="shared" si="15"/>
        <v>1.3534192850059253E-2</v>
      </c>
      <c r="N88" s="44">
        <v>11408.18</v>
      </c>
      <c r="O88" s="45">
        <f t="shared" si="16"/>
        <v>154.40050818818898</v>
      </c>
      <c r="P88" s="44">
        <v>80.992000000000004</v>
      </c>
      <c r="Q88" s="44">
        <v>81.48</v>
      </c>
      <c r="R88" s="44">
        <v>75.572000000000003</v>
      </c>
      <c r="S88" s="44">
        <v>72.168999999999997</v>
      </c>
      <c r="T88" s="44">
        <v>100.089</v>
      </c>
      <c r="U88" s="44">
        <v>59.273000000000003</v>
      </c>
      <c r="V88" s="44">
        <v>66.551000000000002</v>
      </c>
      <c r="W88" s="44">
        <v>62.847000000000001</v>
      </c>
      <c r="X88" s="44">
        <v>100.089</v>
      </c>
      <c r="Y88" s="47">
        <v>100</v>
      </c>
      <c r="Z88" s="41"/>
      <c r="AA88" s="48"/>
      <c r="AB88" s="49">
        <f t="shared" si="11"/>
        <v>-54.311508188188981</v>
      </c>
      <c r="AC88" s="49" t="str">
        <f t="shared" si="17"/>
        <v xml:space="preserve"> </v>
      </c>
      <c r="AD88" s="50" t="str">
        <f t="shared" si="13"/>
        <v xml:space="preserve"> </v>
      </c>
      <c r="AE88" s="49">
        <f t="shared" si="18"/>
        <v>100.089</v>
      </c>
      <c r="AF88" s="51" t="str">
        <f t="shared" si="14"/>
        <v xml:space="preserve"> </v>
      </c>
      <c r="AG88" s="51" t="str">
        <f t="shared" si="19"/>
        <v xml:space="preserve"> </v>
      </c>
      <c r="AH88" s="51" t="str">
        <f t="shared" si="20"/>
        <v xml:space="preserve"> </v>
      </c>
      <c r="AI88" s="52">
        <f t="shared" si="21"/>
        <v>100</v>
      </c>
      <c r="AJ88" s="48"/>
      <c r="AK88" s="48"/>
      <c r="AL88" s="48"/>
      <c r="AM88" s="48"/>
    </row>
    <row r="89" spans="1:39" x14ac:dyDescent="0.2">
      <c r="A89" s="41" t="s">
        <v>127</v>
      </c>
      <c r="B89" s="41" t="s">
        <v>54</v>
      </c>
      <c r="C89" s="42">
        <v>55501</v>
      </c>
      <c r="D89" s="43" t="s">
        <v>130</v>
      </c>
      <c r="E89" s="42">
        <v>4901</v>
      </c>
      <c r="F89" s="44">
        <v>4111000.2689999999</v>
      </c>
      <c r="G89" s="44">
        <v>5782873.4100000001</v>
      </c>
      <c r="H89" s="44">
        <v>3842722.696</v>
      </c>
      <c r="I89" s="44">
        <v>3474059.452</v>
      </c>
      <c r="J89" s="44">
        <v>3370668.84</v>
      </c>
      <c r="K89" s="44">
        <v>4578865.4583333302</v>
      </c>
      <c r="L89" s="45">
        <f t="shared" si="12"/>
        <v>341045301.95999992</v>
      </c>
      <c r="M89" s="46">
        <f t="shared" si="15"/>
        <v>1.3425974297310128E-2</v>
      </c>
      <c r="N89" s="44">
        <v>11408.18</v>
      </c>
      <c r="O89" s="45">
        <f t="shared" si="16"/>
        <v>153.16593145908746</v>
      </c>
      <c r="P89" s="44">
        <v>80.114000000000004</v>
      </c>
      <c r="Q89" s="44">
        <v>80.174999999999997</v>
      </c>
      <c r="R89" s="44">
        <v>74.459999999999994</v>
      </c>
      <c r="S89" s="44">
        <v>75.495000000000005</v>
      </c>
      <c r="T89" s="44">
        <v>84.405000000000001</v>
      </c>
      <c r="U89" s="44">
        <v>70.528000000000006</v>
      </c>
      <c r="V89" s="44">
        <v>62.192999999999998</v>
      </c>
      <c r="W89" s="44">
        <v>62.341000000000001</v>
      </c>
      <c r="X89" s="44">
        <v>84.405000000000001</v>
      </c>
      <c r="Y89" s="47">
        <v>84</v>
      </c>
      <c r="Z89" s="41"/>
      <c r="AA89" s="48"/>
      <c r="AB89" s="49">
        <f t="shared" si="11"/>
        <v>-68.760931459087459</v>
      </c>
      <c r="AC89" s="49" t="str">
        <f t="shared" si="17"/>
        <v xml:space="preserve"> </v>
      </c>
      <c r="AD89" s="50" t="str">
        <f t="shared" si="13"/>
        <v xml:space="preserve"> </v>
      </c>
      <c r="AE89" s="49">
        <f t="shared" si="18"/>
        <v>84.405000000000001</v>
      </c>
      <c r="AF89" s="51" t="str">
        <f t="shared" si="14"/>
        <v xml:space="preserve"> </v>
      </c>
      <c r="AG89" s="51" t="str">
        <f t="shared" si="19"/>
        <v xml:space="preserve"> </v>
      </c>
      <c r="AH89" s="51" t="str">
        <f t="shared" si="20"/>
        <v xml:space="preserve"> </v>
      </c>
      <c r="AI89" s="52">
        <f t="shared" si="21"/>
        <v>84</v>
      </c>
      <c r="AJ89" s="48"/>
      <c r="AK89" s="48"/>
      <c r="AL89" s="48"/>
      <c r="AM89" s="48"/>
    </row>
    <row r="90" spans="1:39" x14ac:dyDescent="0.2">
      <c r="A90" s="41" t="s">
        <v>127</v>
      </c>
      <c r="B90" s="41" t="s">
        <v>54</v>
      </c>
      <c r="C90" s="42">
        <v>55501</v>
      </c>
      <c r="D90" s="43" t="s">
        <v>131</v>
      </c>
      <c r="E90" s="42">
        <v>4902</v>
      </c>
      <c r="F90" s="44">
        <v>4114049.031</v>
      </c>
      <c r="G90" s="44">
        <v>5882597.5719999997</v>
      </c>
      <c r="H90" s="44">
        <v>3809292.6409999998</v>
      </c>
      <c r="I90" s="44">
        <v>3641688.0929999999</v>
      </c>
      <c r="J90" s="44">
        <v>3386384.1850000001</v>
      </c>
      <c r="K90" s="44">
        <v>4601979.7479999997</v>
      </c>
      <c r="L90" s="45">
        <f t="shared" si="12"/>
        <v>341045301.95999992</v>
      </c>
      <c r="M90" s="46">
        <f t="shared" si="15"/>
        <v>1.3493749134065921E-2</v>
      </c>
      <c r="N90" s="44">
        <v>11408.18</v>
      </c>
      <c r="O90" s="45">
        <f t="shared" si="16"/>
        <v>153.93911899626815</v>
      </c>
      <c r="P90" s="44">
        <v>76.465999999999994</v>
      </c>
      <c r="Q90" s="44">
        <v>81.94</v>
      </c>
      <c r="R90" s="44">
        <v>70.230999999999995</v>
      </c>
      <c r="S90" s="44">
        <v>77.622</v>
      </c>
      <c r="T90" s="44">
        <v>87.700999999999993</v>
      </c>
      <c r="U90" s="44">
        <v>65.968999999999994</v>
      </c>
      <c r="V90" s="44">
        <v>66.183000000000007</v>
      </c>
      <c r="W90" s="44">
        <v>64.468000000000004</v>
      </c>
      <c r="X90" s="44">
        <v>87.700999999999993</v>
      </c>
      <c r="Y90" s="47">
        <v>88</v>
      </c>
      <c r="Z90" s="41"/>
      <c r="AA90" s="48"/>
      <c r="AB90" s="49">
        <f t="shared" si="11"/>
        <v>-66.238118996268156</v>
      </c>
      <c r="AC90" s="49" t="str">
        <f t="shared" si="17"/>
        <v xml:space="preserve"> </v>
      </c>
      <c r="AD90" s="50" t="str">
        <f t="shared" si="13"/>
        <v xml:space="preserve"> </v>
      </c>
      <c r="AE90" s="49">
        <f t="shared" si="18"/>
        <v>87.700999999999993</v>
      </c>
      <c r="AF90" s="51" t="str">
        <f t="shared" si="14"/>
        <v xml:space="preserve"> </v>
      </c>
      <c r="AG90" s="51" t="str">
        <f t="shared" si="19"/>
        <v xml:space="preserve"> </v>
      </c>
      <c r="AH90" s="51" t="str">
        <f t="shared" si="20"/>
        <v xml:space="preserve"> </v>
      </c>
      <c r="AI90" s="52">
        <f t="shared" si="21"/>
        <v>88</v>
      </c>
      <c r="AJ90" s="48"/>
      <c r="AK90" s="48"/>
      <c r="AL90" s="48"/>
      <c r="AM90" s="48"/>
    </row>
    <row r="91" spans="1:39" x14ac:dyDescent="0.2">
      <c r="A91" s="41" t="s">
        <v>132</v>
      </c>
      <c r="B91" s="41" t="s">
        <v>54</v>
      </c>
      <c r="C91" s="42">
        <v>2965</v>
      </c>
      <c r="D91" s="43" t="s">
        <v>133</v>
      </c>
      <c r="E91" s="42">
        <v>2025</v>
      </c>
      <c r="F91" s="44">
        <v>1102922.3899999999</v>
      </c>
      <c r="G91" s="44">
        <v>1104548.0619999999</v>
      </c>
      <c r="H91" s="44">
        <v>548895.09900000005</v>
      </c>
      <c r="I91" s="44">
        <v>194221.78599999999</v>
      </c>
      <c r="J91" s="44">
        <v>787108.23300000001</v>
      </c>
      <c r="K91" s="44">
        <v>998192.89500000002</v>
      </c>
      <c r="L91" s="45">
        <f t="shared" si="12"/>
        <v>341045301.95999992</v>
      </c>
      <c r="M91" s="46">
        <f t="shared" si="15"/>
        <v>2.9268630567943574E-3</v>
      </c>
      <c r="N91" s="44">
        <v>11408.18</v>
      </c>
      <c r="O91" s="45">
        <f t="shared" si="16"/>
        <v>33.390180587260254</v>
      </c>
      <c r="P91" s="44">
        <v>134.61699999999999</v>
      </c>
      <c r="Q91" s="44">
        <v>72.125</v>
      </c>
      <c r="R91" s="44">
        <v>97.286000000000001</v>
      </c>
      <c r="S91" s="44">
        <v>111.081</v>
      </c>
      <c r="T91" s="44">
        <v>113.29600000000001</v>
      </c>
      <c r="U91" s="44">
        <v>56.189</v>
      </c>
      <c r="V91" s="44">
        <v>27.565000000000001</v>
      </c>
      <c r="W91" s="44">
        <v>89.781999999999996</v>
      </c>
      <c r="X91" s="44">
        <v>134.61699999999999</v>
      </c>
      <c r="Y91" s="47">
        <v>42</v>
      </c>
      <c r="Z91" s="41"/>
      <c r="AA91" s="48"/>
      <c r="AB91" s="49">
        <f t="shared" si="11"/>
        <v>101.22681941273973</v>
      </c>
      <c r="AC91" s="49">
        <f t="shared" si="17"/>
        <v>998192.89500000002</v>
      </c>
      <c r="AD91" s="50">
        <f t="shared" si="13"/>
        <v>4.187609188498519E-3</v>
      </c>
      <c r="AE91" s="49">
        <f t="shared" si="18"/>
        <v>33.390180587260254</v>
      </c>
      <c r="AF91" s="51">
        <f t="shared" si="14"/>
        <v>8.1636245193597041</v>
      </c>
      <c r="AG91" s="51">
        <f t="shared" si="19"/>
        <v>41.553805106619961</v>
      </c>
      <c r="AH91" s="51">
        <f t="shared" si="20"/>
        <v>1.0623687937619966</v>
      </c>
      <c r="AI91" s="52">
        <f t="shared" si="21"/>
        <v>42</v>
      </c>
      <c r="AJ91" s="48"/>
      <c r="AK91" s="48"/>
      <c r="AL91" s="48"/>
      <c r="AM91" s="48"/>
    </row>
    <row r="92" spans="1:39" x14ac:dyDescent="0.2">
      <c r="A92" s="41" t="s">
        <v>132</v>
      </c>
      <c r="B92" s="41" t="s">
        <v>54</v>
      </c>
      <c r="C92" s="42">
        <v>2965</v>
      </c>
      <c r="D92" s="43" t="s">
        <v>134</v>
      </c>
      <c r="E92" s="42">
        <v>2026</v>
      </c>
      <c r="F92" s="44">
        <v>284314.95500000002</v>
      </c>
      <c r="G92" s="44"/>
      <c r="H92" s="44"/>
      <c r="I92" s="44"/>
      <c r="J92" s="44"/>
      <c r="K92" s="44">
        <v>284314.95500000002</v>
      </c>
      <c r="L92" s="45">
        <f t="shared" si="12"/>
        <v>341045301.95999992</v>
      </c>
      <c r="M92" s="46">
        <f t="shared" si="15"/>
        <v>8.3365744482047247E-4</v>
      </c>
      <c r="N92" s="44">
        <v>11408.18</v>
      </c>
      <c r="O92" s="45">
        <f t="shared" si="16"/>
        <v>9.5105141888520173</v>
      </c>
      <c r="P92" s="44">
        <v>10.941000000000001</v>
      </c>
      <c r="Q92" s="44">
        <v>8.5709999999999997</v>
      </c>
      <c r="R92" s="44">
        <v>19.202999999999999</v>
      </c>
      <c r="S92" s="44">
        <v>34.29</v>
      </c>
      <c r="T92" s="44"/>
      <c r="U92" s="44"/>
      <c r="V92" s="44"/>
      <c r="W92" s="44"/>
      <c r="X92" s="44">
        <v>34.29</v>
      </c>
      <c r="Y92" s="47">
        <v>12</v>
      </c>
      <c r="Z92" s="41"/>
      <c r="AA92" s="48"/>
      <c r="AB92" s="49">
        <f t="shared" si="11"/>
        <v>24.779485811147982</v>
      </c>
      <c r="AC92" s="49">
        <f t="shared" si="17"/>
        <v>284314.95500000002</v>
      </c>
      <c r="AD92" s="50">
        <f t="shared" si="13"/>
        <v>1.1927553521461831E-3</v>
      </c>
      <c r="AE92" s="49">
        <f t="shared" si="18"/>
        <v>9.5105141888520173</v>
      </c>
      <c r="AF92" s="51">
        <f t="shared" si="14"/>
        <v>2.3252424951979354</v>
      </c>
      <c r="AG92" s="51">
        <f t="shared" si="19"/>
        <v>11.835756684049953</v>
      </c>
      <c r="AH92" s="51">
        <f t="shared" si="20"/>
        <v>1.3686942995837281</v>
      </c>
      <c r="AI92" s="52">
        <f t="shared" si="21"/>
        <v>12</v>
      </c>
      <c r="AJ92" s="48"/>
      <c r="AK92" s="48"/>
      <c r="AL92" s="48"/>
      <c r="AM92" s="48"/>
    </row>
    <row r="93" spans="1:39" x14ac:dyDescent="0.2">
      <c r="A93" s="41" t="s">
        <v>132</v>
      </c>
      <c r="B93" s="41" t="s">
        <v>54</v>
      </c>
      <c r="C93" s="42">
        <v>2965</v>
      </c>
      <c r="D93" s="43" t="s">
        <v>135</v>
      </c>
      <c r="E93" s="42">
        <v>2027</v>
      </c>
      <c r="F93" s="44">
        <v>1027755.3639999999</v>
      </c>
      <c r="G93" s="44">
        <v>872103.32799999998</v>
      </c>
      <c r="H93" s="44">
        <v>789281.90300000005</v>
      </c>
      <c r="I93" s="44">
        <v>1064145.693</v>
      </c>
      <c r="J93" s="44">
        <v>856028.72900000005</v>
      </c>
      <c r="K93" s="44">
        <v>988001.46166666702</v>
      </c>
      <c r="L93" s="45">
        <f t="shared" si="12"/>
        <v>341045301.95999992</v>
      </c>
      <c r="M93" s="46">
        <f t="shared" si="15"/>
        <v>2.896980125480651E-3</v>
      </c>
      <c r="N93" s="44">
        <v>11408.18</v>
      </c>
      <c r="O93" s="45">
        <f t="shared" si="16"/>
        <v>33.049270727905856</v>
      </c>
      <c r="P93" s="44">
        <v>96.387</v>
      </c>
      <c r="Q93" s="44">
        <v>51.052</v>
      </c>
      <c r="R93" s="44">
        <v>97.771000000000001</v>
      </c>
      <c r="S93" s="44">
        <v>102.26600000000001</v>
      </c>
      <c r="T93" s="44">
        <v>89.941000000000003</v>
      </c>
      <c r="U93" s="44">
        <v>71.924999999999997</v>
      </c>
      <c r="V93" s="44">
        <v>108.33799999999999</v>
      </c>
      <c r="W93" s="44">
        <v>85.631</v>
      </c>
      <c r="X93" s="44">
        <v>108.33799999999999</v>
      </c>
      <c r="Y93" s="47">
        <v>41</v>
      </c>
      <c r="Z93" s="41"/>
      <c r="AA93" s="48"/>
      <c r="AB93" s="49">
        <f t="shared" si="11"/>
        <v>75.288729272094145</v>
      </c>
      <c r="AC93" s="49">
        <f t="shared" si="17"/>
        <v>988001.46166666702</v>
      </c>
      <c r="AD93" s="50">
        <f t="shared" si="13"/>
        <v>4.1448541858488206E-3</v>
      </c>
      <c r="AE93" s="49">
        <f t="shared" si="18"/>
        <v>33.049270727905856</v>
      </c>
      <c r="AF93" s="51">
        <f t="shared" si="14"/>
        <v>8.080274862731045</v>
      </c>
      <c r="AG93" s="51">
        <f t="shared" si="19"/>
        <v>41.129545590636901</v>
      </c>
      <c r="AH93" s="51">
        <f t="shared" si="20"/>
        <v>-0.31596485521195466</v>
      </c>
      <c r="AI93" s="52">
        <f t="shared" si="21"/>
        <v>41</v>
      </c>
      <c r="AJ93" s="48"/>
      <c r="AK93" s="48"/>
      <c r="AL93" s="48"/>
      <c r="AM93" s="48"/>
    </row>
    <row r="94" spans="1:39" x14ac:dyDescent="0.2">
      <c r="A94" s="41" t="s">
        <v>136</v>
      </c>
      <c r="B94" s="41" t="s">
        <v>54</v>
      </c>
      <c r="C94" s="42">
        <v>2966</v>
      </c>
      <c r="D94" s="43" t="s">
        <v>67</v>
      </c>
      <c r="E94" s="42">
        <v>90969</v>
      </c>
      <c r="F94" s="44"/>
      <c r="G94" s="44"/>
      <c r="H94" s="44"/>
      <c r="I94" s="44"/>
      <c r="J94" s="44">
        <v>58506.400000000001</v>
      </c>
      <c r="K94" s="44">
        <v>58506.400000000001</v>
      </c>
      <c r="L94" s="45">
        <f t="shared" si="12"/>
        <v>341045301.95999992</v>
      </c>
      <c r="M94" s="46">
        <f t="shared" si="15"/>
        <v>1.7155023002446174E-4</v>
      </c>
      <c r="N94" s="44">
        <v>11408.18</v>
      </c>
      <c r="O94" s="45">
        <f t="shared" si="16"/>
        <v>1.9570759031604641</v>
      </c>
      <c r="P94" s="44"/>
      <c r="Q94" s="44"/>
      <c r="R94" s="44"/>
      <c r="S94" s="44"/>
      <c r="T94" s="44"/>
      <c r="U94" s="44"/>
      <c r="V94" s="44"/>
      <c r="W94" s="44">
        <v>20.478000000000002</v>
      </c>
      <c r="X94" s="44">
        <v>20.478000000000002</v>
      </c>
      <c r="Y94" s="47">
        <v>2</v>
      </c>
      <c r="Z94" s="41"/>
      <c r="AA94" s="48"/>
      <c r="AB94" s="49">
        <f t="shared" si="11"/>
        <v>18.520924096839536</v>
      </c>
      <c r="AC94" s="49">
        <f t="shared" si="17"/>
        <v>58506.400000000001</v>
      </c>
      <c r="AD94" s="50">
        <f t="shared" si="13"/>
        <v>2.4544548398731063E-4</v>
      </c>
      <c r="AE94" s="49">
        <f t="shared" si="18"/>
        <v>1.9570759031604641</v>
      </c>
      <c r="AF94" s="51">
        <f t="shared" si="14"/>
        <v>0.47848896137401031</v>
      </c>
      <c r="AG94" s="51">
        <f t="shared" si="19"/>
        <v>2.4355648645344745</v>
      </c>
      <c r="AH94" s="51">
        <f>IF(AB94&gt;0,(Y94-AG94)/Y94*100," ")</f>
        <v>-21.778243226723724</v>
      </c>
      <c r="AI94" s="52">
        <f t="shared" si="21"/>
        <v>2</v>
      </c>
      <c r="AJ94" s="48"/>
      <c r="AK94" s="48"/>
      <c r="AL94" s="48"/>
      <c r="AM94" s="48"/>
    </row>
    <row r="95" spans="1:39" x14ac:dyDescent="0.2">
      <c r="A95" s="41" t="s">
        <v>136</v>
      </c>
      <c r="B95" s="41" t="s">
        <v>54</v>
      </c>
      <c r="C95" s="42">
        <v>2966</v>
      </c>
      <c r="D95" s="43" t="s">
        <v>68</v>
      </c>
      <c r="E95" s="42">
        <v>90970</v>
      </c>
      <c r="F95" s="44"/>
      <c r="G95" s="44"/>
      <c r="H95" s="44"/>
      <c r="I95" s="44"/>
      <c r="J95" s="44"/>
      <c r="K95" s="44"/>
      <c r="L95" s="45">
        <f t="shared" si="12"/>
        <v>341045301.95999992</v>
      </c>
      <c r="M95" s="46">
        <f t="shared" si="15"/>
        <v>0</v>
      </c>
      <c r="N95" s="44">
        <v>11408.18</v>
      </c>
      <c r="O95" s="45">
        <f t="shared" si="16"/>
        <v>0</v>
      </c>
      <c r="P95" s="44"/>
      <c r="Q95" s="44"/>
      <c r="R95" s="44"/>
      <c r="S95" s="44"/>
      <c r="T95" s="44"/>
      <c r="U95" s="44"/>
      <c r="V95" s="44"/>
      <c r="W95" s="44"/>
      <c r="X95" s="44">
        <v>0</v>
      </c>
      <c r="Y95" s="47"/>
      <c r="Z95" s="41"/>
      <c r="AA95" s="48"/>
      <c r="AB95" s="49">
        <f t="shared" si="11"/>
        <v>0</v>
      </c>
      <c r="AC95" s="49" t="str">
        <f t="shared" si="17"/>
        <v xml:space="preserve"> </v>
      </c>
      <c r="AD95" s="50" t="str">
        <f t="shared" si="13"/>
        <v xml:space="preserve"> </v>
      </c>
      <c r="AE95" s="49">
        <f t="shared" si="18"/>
        <v>0</v>
      </c>
      <c r="AF95" s="51" t="str">
        <f t="shared" si="14"/>
        <v xml:space="preserve"> </v>
      </c>
      <c r="AG95" s="51" t="str">
        <f t="shared" si="19"/>
        <v xml:space="preserve"> </v>
      </c>
      <c r="AH95" s="51" t="str">
        <f t="shared" si="20"/>
        <v xml:space="preserve"> </v>
      </c>
      <c r="AI95" s="52">
        <f t="shared" si="21"/>
        <v>0</v>
      </c>
      <c r="AJ95" s="48"/>
      <c r="AK95" s="48"/>
      <c r="AL95" s="48"/>
      <c r="AM95" s="48"/>
    </row>
    <row r="96" spans="1:39" x14ac:dyDescent="0.2">
      <c r="A96" s="41" t="s">
        <v>136</v>
      </c>
      <c r="B96" s="41" t="s">
        <v>54</v>
      </c>
      <c r="C96" s="42">
        <v>2966</v>
      </c>
      <c r="D96" s="43" t="s">
        <v>69</v>
      </c>
      <c r="E96" s="42">
        <v>90971</v>
      </c>
      <c r="F96" s="44"/>
      <c r="G96" s="44"/>
      <c r="H96" s="44"/>
      <c r="I96" s="44"/>
      <c r="J96" s="44">
        <v>3701.6</v>
      </c>
      <c r="K96" s="44">
        <v>3701.6</v>
      </c>
      <c r="L96" s="45">
        <f t="shared" si="12"/>
        <v>341045301.95999992</v>
      </c>
      <c r="M96" s="46">
        <f t="shared" si="15"/>
        <v>1.0853690048585242E-5</v>
      </c>
      <c r="N96" s="44">
        <v>11408.18</v>
      </c>
      <c r="O96" s="45">
        <f t="shared" si="16"/>
        <v>0.1238208497384692</v>
      </c>
      <c r="P96" s="44"/>
      <c r="Q96" s="44"/>
      <c r="R96" s="44"/>
      <c r="S96" s="44"/>
      <c r="T96" s="44"/>
      <c r="U96" s="44"/>
      <c r="V96" s="44"/>
      <c r="W96" s="44">
        <v>1.296</v>
      </c>
      <c r="X96" s="44">
        <v>1.296</v>
      </c>
      <c r="Y96" s="47">
        <v>0</v>
      </c>
      <c r="Z96" s="41"/>
      <c r="AA96" s="48"/>
      <c r="AB96" s="49">
        <f t="shared" si="11"/>
        <v>1.1721791502615309</v>
      </c>
      <c r="AC96" s="49">
        <f t="shared" si="17"/>
        <v>3701.6</v>
      </c>
      <c r="AD96" s="50">
        <f t="shared" si="13"/>
        <v>1.5528916554897054E-5</v>
      </c>
      <c r="AE96" s="49">
        <f t="shared" si="18"/>
        <v>0.1238208497384692</v>
      </c>
      <c r="AF96" s="51">
        <f t="shared" si="14"/>
        <v>3.0273179334603335E-2</v>
      </c>
      <c r="AG96" s="51">
        <f>IF(AB96&gt;0,AE96+AF96," ")</f>
        <v>0.15409402907307254</v>
      </c>
      <c r="AH96" s="51"/>
      <c r="AI96" s="52">
        <f t="shared" si="21"/>
        <v>0</v>
      </c>
      <c r="AJ96" s="48"/>
      <c r="AK96" s="48"/>
      <c r="AL96" s="48"/>
      <c r="AM96" s="48"/>
    </row>
    <row r="97" spans="11:35" x14ac:dyDescent="0.2">
      <c r="K97" s="67">
        <f>SUM(K4:K96)</f>
        <v>341045301.95999992</v>
      </c>
      <c r="M97" s="68">
        <f>SUM(M4:M96)</f>
        <v>0.99999999999999978</v>
      </c>
      <c r="X97" s="69" t="s">
        <v>137</v>
      </c>
      <c r="Y97" s="67">
        <f>SUM(Y4:Y96)</f>
        <v>11408</v>
      </c>
      <c r="AB97" s="52" t="s">
        <v>138</v>
      </c>
      <c r="AC97" s="49">
        <f>SUM(AC4:AC96)</f>
        <v>238368207.26766658</v>
      </c>
      <c r="AD97" s="49">
        <f>SUM(AD4:AD96)</f>
        <v>1</v>
      </c>
      <c r="AE97" s="49">
        <f>SUM(AE4:AE96)</f>
        <v>9458.7085589253384</v>
      </c>
      <c r="AF97" s="49">
        <f>SUM(AF4:AF96)</f>
        <v>1949.4714410746619</v>
      </c>
      <c r="AG97" s="49">
        <f>SUM(AG4:AG96)</f>
        <v>9923.037999999995</v>
      </c>
      <c r="AH97" s="52"/>
      <c r="AI97" s="49">
        <f>SUM(AI4:AI96)</f>
        <v>11411</v>
      </c>
    </row>
    <row r="98" spans="11:35" x14ac:dyDescent="0.2">
      <c r="AB98" s="70"/>
      <c r="AC98" s="71"/>
      <c r="AD98" s="72" t="s">
        <v>139</v>
      </c>
      <c r="AE98" s="71">
        <f>N96-AE97</f>
        <v>1949.4714410746619</v>
      </c>
      <c r="AF98" s="70" t="s">
        <v>140</v>
      </c>
      <c r="AG98" s="70"/>
      <c r="AH98" s="70" t="str">
        <f t="shared" si="20"/>
        <v xml:space="preserve"> </v>
      </c>
    </row>
  </sheetData>
  <mergeCells count="7">
    <mergeCell ref="AI2:AI3"/>
    <mergeCell ref="F1:J1"/>
    <mergeCell ref="N1:O1"/>
    <mergeCell ref="P1:W1"/>
    <mergeCell ref="AD2:AF2"/>
    <mergeCell ref="AG2:AG3"/>
    <mergeCell ref="AH2:AH3"/>
  </mergeCells>
  <pageMargins left="0.7" right="0.7" top="0.75" bottom="0.75" header="0.3" footer="0.3"/>
  <pageSetup paperSize="3" scale="92" fitToHeight="0" orientation="landscape" horizontalDpi="1200" verticalDpi="1200" r:id="rId1"/>
  <headerFooter>
    <oddHeader>&amp;L&amp;"-,Bold"Attachment A-1. Revised 2017 CSAPR Update Allowance Allocation Calculations Using Published EIA Data and ODEQ Accepted Emissions from Attachment A-2 for Oklahoma Cogeneration</oddHeader>
    <oddFooter>&amp;CPage &amp;P of &amp;N
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zoomScaleSheetLayoutView="145" workbookViewId="0">
      <selection activeCell="E10" sqref="E10"/>
    </sheetView>
  </sheetViews>
  <sheetFormatPr defaultColWidth="7.5703125" defaultRowHeight="12.75" x14ac:dyDescent="0.2"/>
  <cols>
    <col min="1" max="1" width="7.140625" style="74" customWidth="1"/>
    <col min="2" max="2" width="9.28515625" style="74" customWidth="1"/>
    <col min="3" max="3" width="12.7109375" style="74" customWidth="1"/>
    <col min="4" max="4" width="9.7109375" style="74" customWidth="1"/>
    <col min="5" max="5" width="12.28515625" style="74" customWidth="1"/>
    <col min="6" max="6" width="14" style="74" bestFit="1" customWidth="1"/>
    <col min="7" max="7" width="14.140625" style="74" customWidth="1"/>
    <col min="8" max="8" width="12.5703125" style="74" customWidth="1"/>
    <col min="9" max="9" width="10.28515625" style="74" bestFit="1" customWidth="1"/>
    <col min="10" max="10" width="11" style="74" bestFit="1" customWidth="1"/>
    <col min="11" max="11" width="10.42578125" style="74" bestFit="1" customWidth="1"/>
    <col min="12" max="12" width="10" style="74" customWidth="1"/>
    <col min="13" max="13" width="9.140625" style="74" customWidth="1"/>
    <col min="14" max="16384" width="7.5703125" style="74"/>
  </cols>
  <sheetData>
    <row r="1" spans="1:13" ht="15" x14ac:dyDescent="0.25">
      <c r="A1" s="124" t="s">
        <v>191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5" x14ac:dyDescent="0.25">
      <c r="A2" s="124" t="s">
        <v>141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15" x14ac:dyDescent="0.25">
      <c r="A3" s="124" t="s">
        <v>142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3" ht="15" customHeight="1" x14ac:dyDescent="0.25">
      <c r="A4" s="125" t="s">
        <v>143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 ht="15" x14ac:dyDescent="0.25">
      <c r="A5" s="120" t="s">
        <v>144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</row>
    <row r="6" spans="1:13" ht="7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x14ac:dyDescent="0.2">
      <c r="A7" s="76" t="s">
        <v>145</v>
      </c>
    </row>
    <row r="8" spans="1:13" s="79" customFormat="1" ht="53.25" x14ac:dyDescent="0.2">
      <c r="A8" s="77" t="s">
        <v>146</v>
      </c>
      <c r="B8" s="78" t="s">
        <v>147</v>
      </c>
      <c r="C8" s="78" t="s">
        <v>148</v>
      </c>
      <c r="D8" s="78" t="s">
        <v>149</v>
      </c>
      <c r="E8" s="78" t="s">
        <v>150</v>
      </c>
      <c r="F8" s="78" t="s">
        <v>151</v>
      </c>
      <c r="G8" s="78" t="s">
        <v>152</v>
      </c>
      <c r="H8" s="78" t="s">
        <v>153</v>
      </c>
      <c r="I8" s="78" t="s">
        <v>154</v>
      </c>
      <c r="J8" s="78" t="s">
        <v>155</v>
      </c>
      <c r="K8" s="78" t="s">
        <v>156</v>
      </c>
      <c r="L8" s="78" t="s">
        <v>157</v>
      </c>
      <c r="M8" s="78" t="s">
        <v>158</v>
      </c>
    </row>
    <row r="9" spans="1:13" s="79" customFormat="1" x14ac:dyDescent="0.2">
      <c r="A9" s="80"/>
      <c r="B9" s="78" t="s">
        <v>159</v>
      </c>
      <c r="C9" s="78" t="s">
        <v>159</v>
      </c>
      <c r="D9" s="78" t="s">
        <v>159</v>
      </c>
      <c r="E9" s="78" t="s">
        <v>160</v>
      </c>
      <c r="F9" s="78" t="s">
        <v>160</v>
      </c>
      <c r="G9" s="78" t="s">
        <v>160</v>
      </c>
      <c r="H9" s="78" t="s">
        <v>160</v>
      </c>
      <c r="I9" s="78" t="s">
        <v>161</v>
      </c>
      <c r="J9" s="78" t="s">
        <v>161</v>
      </c>
      <c r="K9" s="78" t="s">
        <v>161</v>
      </c>
      <c r="L9" s="78" t="s">
        <v>162</v>
      </c>
      <c r="M9" s="81"/>
    </row>
    <row r="10" spans="1:13" ht="15" x14ac:dyDescent="0.2">
      <c r="A10" s="82">
        <v>39448</v>
      </c>
      <c r="B10" s="83">
        <v>1990</v>
      </c>
      <c r="C10" s="83">
        <v>56.216666666666669</v>
      </c>
      <c r="D10" s="83">
        <v>100.55</v>
      </c>
      <c r="E10" s="83">
        <f>1465055</f>
        <v>1465055</v>
      </c>
      <c r="F10" s="83">
        <f>(C10/B10)*E10</f>
        <v>41387.190242881072</v>
      </c>
      <c r="G10" s="83">
        <f>1487010-E10</f>
        <v>21955</v>
      </c>
      <c r="H10" s="84">
        <f>E10+G10</f>
        <v>1487010</v>
      </c>
      <c r="I10" s="85">
        <f>E10*$D$24/2000</f>
        <v>115.00681750000001</v>
      </c>
      <c r="J10" s="85">
        <f>F10*$D$25/2000</f>
        <v>10.346797560720267</v>
      </c>
      <c r="K10" s="85">
        <f>G10*$D$26/2000</f>
        <v>0.58180750000000003</v>
      </c>
      <c r="L10" s="85">
        <f>SUM(I10:K10)</f>
        <v>125.93542256072027</v>
      </c>
      <c r="M10" s="86" t="s">
        <v>163</v>
      </c>
    </row>
    <row r="11" spans="1:13" ht="15" x14ac:dyDescent="0.2">
      <c r="A11" s="82">
        <v>39814</v>
      </c>
      <c r="B11" s="83">
        <v>1389.4</v>
      </c>
      <c r="C11" s="83">
        <v>56.216666666666669</v>
      </c>
      <c r="D11" s="83">
        <v>145.93333333333334</v>
      </c>
      <c r="E11" s="83">
        <f>1185566</f>
        <v>1185566</v>
      </c>
      <c r="F11" s="83">
        <f t="shared" ref="F11:F16" si="0">(C11/B11)*E11</f>
        <v>47969.31670745166</v>
      </c>
      <c r="G11" s="83">
        <f>1201970-E11</f>
        <v>16404</v>
      </c>
      <c r="H11" s="84">
        <f t="shared" ref="H11:H16" si="1">E11+G11</f>
        <v>1201970</v>
      </c>
      <c r="I11" s="85">
        <f t="shared" ref="I11:I16" si="2">E11*$D$24/2000</f>
        <v>93.066930999999997</v>
      </c>
      <c r="J11" s="85">
        <f t="shared" ref="J11:J16" si="3">F11*$D$25/2000</f>
        <v>11.992329176862915</v>
      </c>
      <c r="K11" s="85">
        <f t="shared" ref="K11:K16" si="4">G11*$D$26/2000</f>
        <v>0.43470599999999998</v>
      </c>
      <c r="L11" s="85">
        <f t="shared" ref="L11:L16" si="5">SUM(I11:K11)</f>
        <v>105.49396617686291</v>
      </c>
      <c r="M11" s="86" t="s">
        <v>163</v>
      </c>
    </row>
    <row r="12" spans="1:13" ht="15" x14ac:dyDescent="0.2">
      <c r="A12" s="82">
        <v>40179</v>
      </c>
      <c r="B12" s="83">
        <v>1935.7</v>
      </c>
      <c r="C12" s="83">
        <v>62.295999999999999</v>
      </c>
      <c r="D12" s="83">
        <v>617.16666666666663</v>
      </c>
      <c r="E12" s="83">
        <v>1651538</v>
      </c>
      <c r="F12" s="83">
        <f t="shared" si="0"/>
        <v>53150.907293485558</v>
      </c>
      <c r="G12" s="83">
        <f>1735209-E12</f>
        <v>83671</v>
      </c>
      <c r="H12" s="84">
        <f t="shared" si="1"/>
        <v>1735209</v>
      </c>
      <c r="I12" s="85">
        <f t="shared" si="2"/>
        <v>129.64573300000001</v>
      </c>
      <c r="J12" s="85">
        <f t="shared" si="3"/>
        <v>13.28772682337139</v>
      </c>
      <c r="K12" s="85">
        <f t="shared" si="4"/>
        <v>2.2172814999999999</v>
      </c>
      <c r="L12" s="85">
        <f t="shared" si="5"/>
        <v>145.15074132337142</v>
      </c>
      <c r="M12" s="86" t="s">
        <v>163</v>
      </c>
    </row>
    <row r="13" spans="1:13" ht="15" x14ac:dyDescent="0.2">
      <c r="A13" s="82">
        <v>40544</v>
      </c>
      <c r="B13" s="83">
        <v>2060.3999999999942</v>
      </c>
      <c r="C13" s="83">
        <v>57.083333333333329</v>
      </c>
      <c r="D13" s="83">
        <v>560.31666666666672</v>
      </c>
      <c r="E13" s="83">
        <f>1884478</f>
        <v>1884478</v>
      </c>
      <c r="F13" s="83">
        <f t="shared" si="0"/>
        <v>52209.418478612715</v>
      </c>
      <c r="G13" s="83">
        <f>1959370-E13</f>
        <v>74892</v>
      </c>
      <c r="H13" s="84">
        <f t="shared" si="1"/>
        <v>1959370</v>
      </c>
      <c r="I13" s="85">
        <f t="shared" si="2"/>
        <v>147.931523</v>
      </c>
      <c r="J13" s="85">
        <f t="shared" si="3"/>
        <v>13.05235461965318</v>
      </c>
      <c r="K13" s="85">
        <f t="shared" si="4"/>
        <v>1.9846379999999999</v>
      </c>
      <c r="L13" s="85">
        <f t="shared" si="5"/>
        <v>162.96851561965318</v>
      </c>
      <c r="M13" s="86" t="s">
        <v>163</v>
      </c>
    </row>
    <row r="14" spans="1:13" ht="15" x14ac:dyDescent="0.2">
      <c r="A14" s="82">
        <v>40909</v>
      </c>
      <c r="B14" s="83">
        <v>1668.9</v>
      </c>
      <c r="C14" s="83">
        <v>80.559999999999974</v>
      </c>
      <c r="D14" s="83">
        <v>257</v>
      </c>
      <c r="E14" s="83">
        <f>1420029</f>
        <v>1420029</v>
      </c>
      <c r="F14" s="83">
        <f t="shared" si="0"/>
        <v>68546.669207262239</v>
      </c>
      <c r="G14" s="83">
        <f>1456596-E14</f>
        <v>36567</v>
      </c>
      <c r="H14" s="84">
        <f t="shared" si="1"/>
        <v>1456596</v>
      </c>
      <c r="I14" s="85">
        <f t="shared" si="2"/>
        <v>111.47227650000001</v>
      </c>
      <c r="J14" s="85">
        <f t="shared" si="3"/>
        <v>17.13666730181556</v>
      </c>
      <c r="K14" s="85">
        <f t="shared" si="4"/>
        <v>0.96902549999999998</v>
      </c>
      <c r="L14" s="85">
        <f t="shared" si="5"/>
        <v>129.57796930181556</v>
      </c>
      <c r="M14" s="86" t="s">
        <v>163</v>
      </c>
    </row>
    <row r="15" spans="1:13" ht="15" x14ac:dyDescent="0.2">
      <c r="A15" s="82">
        <v>41275</v>
      </c>
      <c r="B15" s="83">
        <v>1194</v>
      </c>
      <c r="C15" s="83">
        <v>77.183333333333323</v>
      </c>
      <c r="D15" s="83">
        <v>103</v>
      </c>
      <c r="E15" s="83">
        <f>1006842</f>
        <v>1006842</v>
      </c>
      <c r="F15" s="83">
        <f t="shared" si="0"/>
        <v>65084.94279731992</v>
      </c>
      <c r="G15" s="83">
        <f>1018766-E15</f>
        <v>11924</v>
      </c>
      <c r="H15" s="84">
        <f t="shared" si="1"/>
        <v>1018766</v>
      </c>
      <c r="I15" s="85">
        <f t="shared" si="2"/>
        <v>79.037096999999989</v>
      </c>
      <c r="J15" s="85">
        <f t="shared" si="3"/>
        <v>16.271235699329981</v>
      </c>
      <c r="K15" s="85">
        <f t="shared" si="4"/>
        <v>0.31598599999999999</v>
      </c>
      <c r="L15" s="85">
        <f t="shared" si="5"/>
        <v>95.624318699329962</v>
      </c>
      <c r="M15" s="86" t="s">
        <v>163</v>
      </c>
    </row>
    <row r="16" spans="1:13" ht="15" x14ac:dyDescent="0.2">
      <c r="A16" s="82">
        <v>41640</v>
      </c>
      <c r="B16" s="83">
        <v>373.4</v>
      </c>
      <c r="C16" s="83">
        <v>19.899999999999999</v>
      </c>
      <c r="D16" s="83">
        <v>10.266666666666666</v>
      </c>
      <c r="E16" s="83">
        <f>315280</f>
        <v>315280</v>
      </c>
      <c r="F16" s="83">
        <f t="shared" si="0"/>
        <v>16802.549544724156</v>
      </c>
      <c r="G16" s="83">
        <f>316237-E16</f>
        <v>957</v>
      </c>
      <c r="H16" s="84">
        <f t="shared" si="1"/>
        <v>316237</v>
      </c>
      <c r="I16" s="85">
        <f t="shared" si="2"/>
        <v>24.749479999999998</v>
      </c>
      <c r="J16" s="85">
        <f t="shared" si="3"/>
        <v>4.2006373861810387</v>
      </c>
      <c r="K16" s="85">
        <f t="shared" si="4"/>
        <v>2.5360499999999998E-2</v>
      </c>
      <c r="L16" s="85">
        <f t="shared" si="5"/>
        <v>28.975477886181039</v>
      </c>
      <c r="M16" s="86" t="s">
        <v>163</v>
      </c>
    </row>
    <row r="17" spans="1:13" ht="15" x14ac:dyDescent="0.2">
      <c r="A17" s="82">
        <v>42005</v>
      </c>
      <c r="B17" s="83">
        <v>359.70000000000005</v>
      </c>
      <c r="C17" s="86" t="s">
        <v>164</v>
      </c>
      <c r="D17" s="86" t="s">
        <v>164</v>
      </c>
      <c r="E17" s="86" t="s">
        <v>164</v>
      </c>
      <c r="F17" s="86" t="s">
        <v>164</v>
      </c>
      <c r="G17" s="86" t="s">
        <v>164</v>
      </c>
      <c r="H17" s="84">
        <f>'[1]2015'!G45</f>
        <v>284731.40000000002</v>
      </c>
      <c r="I17" s="86" t="s">
        <v>164</v>
      </c>
      <c r="J17" s="86" t="s">
        <v>164</v>
      </c>
      <c r="K17" s="86" t="s">
        <v>164</v>
      </c>
      <c r="L17" s="85">
        <f>'[1]2015'!H44</f>
        <v>43.099999999999994</v>
      </c>
      <c r="M17" s="86" t="s">
        <v>164</v>
      </c>
    </row>
    <row r="18" spans="1:13" ht="15" x14ac:dyDescent="0.2">
      <c r="A18" s="82">
        <v>42370</v>
      </c>
      <c r="B18" s="83">
        <v>971</v>
      </c>
      <c r="C18" s="86" t="s">
        <v>165</v>
      </c>
      <c r="D18" s="86" t="s">
        <v>165</v>
      </c>
      <c r="E18" s="86" t="s">
        <v>165</v>
      </c>
      <c r="F18" s="86" t="s">
        <v>165</v>
      </c>
      <c r="G18" s="86" t="s">
        <v>165</v>
      </c>
      <c r="H18" s="87">
        <f>'[1]2016'!G45</f>
        <v>732462</v>
      </c>
      <c r="I18" s="86" t="s">
        <v>165</v>
      </c>
      <c r="J18" s="86" t="s">
        <v>165</v>
      </c>
      <c r="K18" s="86" t="s">
        <v>165</v>
      </c>
      <c r="L18" s="85">
        <f>'[1]2016'!H44</f>
        <v>44.8</v>
      </c>
      <c r="M18" s="86" t="s">
        <v>165</v>
      </c>
    </row>
    <row r="19" spans="1:13" ht="15" x14ac:dyDescent="0.2">
      <c r="A19" s="88"/>
      <c r="B19" s="89"/>
      <c r="C19" s="90"/>
      <c r="D19" s="90"/>
      <c r="E19" s="90"/>
      <c r="F19" s="90"/>
      <c r="G19" s="90"/>
      <c r="H19" s="91"/>
      <c r="I19" s="90"/>
      <c r="J19" s="90"/>
      <c r="K19" s="90"/>
      <c r="L19" s="92"/>
      <c r="M19" s="90"/>
    </row>
    <row r="20" spans="1:13" ht="15" x14ac:dyDescent="0.25">
      <c r="A20" s="125" t="s">
        <v>166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</row>
    <row r="21" spans="1:13" ht="15" x14ac:dyDescent="0.25">
      <c r="A21" s="120" t="s">
        <v>167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</row>
    <row r="22" spans="1:13" ht="7.5" customHeight="1" thickBot="1" x14ac:dyDescent="0.25"/>
    <row r="23" spans="1:13" ht="40.5" x14ac:dyDescent="0.2">
      <c r="A23" s="121" t="s">
        <v>168</v>
      </c>
      <c r="B23" s="122"/>
      <c r="C23" s="123"/>
      <c r="D23" s="93" t="s">
        <v>169</v>
      </c>
      <c r="E23" s="94" t="s">
        <v>170</v>
      </c>
      <c r="F23" s="95" t="s">
        <v>171</v>
      </c>
    </row>
    <row r="24" spans="1:13" ht="15" x14ac:dyDescent="0.2">
      <c r="A24" s="96" t="s">
        <v>172</v>
      </c>
      <c r="B24" s="97"/>
      <c r="C24" s="98"/>
      <c r="D24" s="99">
        <v>0.157</v>
      </c>
      <c r="E24" s="99" t="s">
        <v>173</v>
      </c>
      <c r="F24" s="100" t="s">
        <v>174</v>
      </c>
    </row>
    <row r="25" spans="1:13" ht="15" x14ac:dyDescent="0.2">
      <c r="A25" s="96" t="s">
        <v>175</v>
      </c>
      <c r="B25" s="97"/>
      <c r="C25" s="98"/>
      <c r="D25" s="99">
        <v>0.5</v>
      </c>
      <c r="E25" s="99" t="s">
        <v>173</v>
      </c>
      <c r="F25" s="100" t="s">
        <v>176</v>
      </c>
    </row>
    <row r="26" spans="1:13" ht="15.75" thickBot="1" x14ac:dyDescent="0.25">
      <c r="A26" s="101" t="s">
        <v>177</v>
      </c>
      <c r="B26" s="102"/>
      <c r="C26" s="103"/>
      <c r="D26" s="104">
        <v>5.2999999999999999E-2</v>
      </c>
      <c r="E26" s="104" t="s">
        <v>173</v>
      </c>
      <c r="F26" s="105" t="s">
        <v>178</v>
      </c>
    </row>
    <row r="27" spans="1:13" ht="9.75" customHeight="1" x14ac:dyDescent="0.2">
      <c r="A27" s="106"/>
      <c r="B27" s="106"/>
      <c r="C27" s="106"/>
      <c r="D27" s="106"/>
      <c r="E27" s="106"/>
      <c r="F27" s="106"/>
    </row>
    <row r="28" spans="1:13" ht="15" x14ac:dyDescent="0.2">
      <c r="A28" s="107" t="s">
        <v>164</v>
      </c>
      <c r="B28" s="74" t="s">
        <v>179</v>
      </c>
    </row>
    <row r="29" spans="1:13" ht="15" x14ac:dyDescent="0.2">
      <c r="A29" s="107" t="s">
        <v>165</v>
      </c>
      <c r="B29" s="74" t="s">
        <v>180</v>
      </c>
    </row>
    <row r="30" spans="1:13" ht="15" x14ac:dyDescent="0.2">
      <c r="A30" s="108" t="s">
        <v>163</v>
      </c>
      <c r="B30" s="109" t="s">
        <v>181</v>
      </c>
    </row>
    <row r="31" spans="1:13" ht="15" x14ac:dyDescent="0.2">
      <c r="A31" s="108" t="s">
        <v>174</v>
      </c>
      <c r="B31" s="109" t="s">
        <v>182</v>
      </c>
    </row>
    <row r="32" spans="1:13" ht="15" x14ac:dyDescent="0.2">
      <c r="A32" s="108"/>
      <c r="B32" s="109" t="s">
        <v>183</v>
      </c>
    </row>
    <row r="33" spans="1:2" ht="15" x14ac:dyDescent="0.2">
      <c r="A33" s="108" t="s">
        <v>176</v>
      </c>
      <c r="B33" s="109" t="s">
        <v>184</v>
      </c>
    </row>
    <row r="34" spans="1:2" ht="15" x14ac:dyDescent="0.2">
      <c r="A34" s="108" t="s">
        <v>178</v>
      </c>
      <c r="B34" s="109" t="s">
        <v>185</v>
      </c>
    </row>
    <row r="35" spans="1:2" ht="15" x14ac:dyDescent="0.2">
      <c r="A35" s="108" t="s">
        <v>186</v>
      </c>
      <c r="B35" s="109" t="s">
        <v>187</v>
      </c>
    </row>
    <row r="36" spans="1:2" x14ac:dyDescent="0.2">
      <c r="B36" s="109" t="s">
        <v>188</v>
      </c>
    </row>
    <row r="37" spans="1:2" x14ac:dyDescent="0.2">
      <c r="B37" s="109" t="s">
        <v>189</v>
      </c>
    </row>
  </sheetData>
  <mergeCells count="8">
    <mergeCell ref="A21:M21"/>
    <mergeCell ref="A23:C23"/>
    <mergeCell ref="A1:M1"/>
    <mergeCell ref="A2:M2"/>
    <mergeCell ref="A3:M3"/>
    <mergeCell ref="A4:M4"/>
    <mergeCell ref="A5:M5"/>
    <mergeCell ref="A20:M20"/>
  </mergeCells>
  <pageMargins left="0.5" right="0.5" top="0.78" bottom="0.83" header="0.25" footer="0.34"/>
  <pageSetup scale="85" orientation="landscape" r:id="rId1"/>
  <headerFooter alignWithMargins="0">
    <oddFooter>&amp;L&amp;D&amp;C&amp;P of &amp;N&amp;REnviro Clean Cardinal, LLC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327057F755CC4EB7A9A19900B81C37" ma:contentTypeVersion="22" ma:contentTypeDescription="Create a new document." ma:contentTypeScope="" ma:versionID="8d6ba7164296c12a9f8da0fe570e482a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c49d6675-4519-47a3-a93f-3a65f047b226" targetNamespace="http://schemas.microsoft.com/office/2006/metadata/properties" ma:root="true" ma:fieldsID="49d5333ea2b0f93c497bf0ed28e94fe3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c49d6675-4519-47a3-a93f-3a65f047b22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6675-4519-47a3-a93f-3a65f047b226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2017-01-03T15:08:31+00:00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3A1B359E-856F-4142-941F-6681DAEFEA82}"/>
</file>

<file path=customXml/itemProps2.xml><?xml version="1.0" encoding="utf-8"?>
<ds:datastoreItem xmlns:ds="http://schemas.openxmlformats.org/officeDocument/2006/customXml" ds:itemID="{9F5EF4DC-C86B-446D-B5D1-41E7E06D6952}"/>
</file>

<file path=customXml/itemProps3.xml><?xml version="1.0" encoding="utf-8"?>
<ds:datastoreItem xmlns:ds="http://schemas.openxmlformats.org/officeDocument/2006/customXml" ds:itemID="{5F4E7375-3034-40CA-81EA-D97E23493567}"/>
</file>

<file path=customXml/itemProps4.xml><?xml version="1.0" encoding="utf-8"?>
<ds:datastoreItem xmlns:ds="http://schemas.openxmlformats.org/officeDocument/2006/customXml" ds:itemID="{F3B66504-966B-4E4B-BF73-02C577B556B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A-1 Calculations</vt:lpstr>
      <vt:lpstr>A-2 OK Cogen Summary</vt:lpstr>
      <vt:lpstr>'A-1 Calculations'!Print_Area</vt:lpstr>
      <vt:lpstr>'A-2 OK Cogen Summary'!Print_Area</vt:lpstr>
      <vt:lpstr>'A-1 Calculations'!Print_Titles</vt:lpstr>
      <vt:lpstr>'A-2 OK Cogen Summary'!Print_Titles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Adrienne Burchett</dc:creator>
  <cp:lastModifiedBy>Adrienne Burchett</cp:lastModifiedBy>
  <cp:lastPrinted>2016-12-21T00:52:58Z</cp:lastPrinted>
  <dcterms:created xsi:type="dcterms:W3CDTF">2016-12-20T16:28:36Z</dcterms:created>
  <dcterms:modified xsi:type="dcterms:W3CDTF">2016-12-21T00:53:03Z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0x010100C7327057F755CC4EB7A9A19900B81C37</vt:lpwstr>
  </property>
</Properties>
</file>