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jpeg" ContentType="image/jpeg"/>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8280" yWindow="0" windowWidth="16875" windowHeight="11760" tabRatio="955" activeTab="2"/>
  </bookViews>
  <sheets>
    <sheet name="About BatPaC" sheetId="10" r:id="rId1"/>
    <sheet name="Chem" sheetId="5" r:id="rId2"/>
    <sheet name="Battery Design" sheetId="3" r:id="rId3"/>
    <sheet name="Summary of Results" sheetId="4" r:id="rId4"/>
    <sheet name="Manufacturing Cost Calculations" sheetId="1" r:id="rId5"/>
    <sheet name="Cost Input" sheetId="2" r:id="rId6"/>
    <sheet name="Price of Modules" sheetId="9" r:id="rId7"/>
    <sheet name="Thermal" sheetId="14" r:id="rId8"/>
    <sheet name="Error Bars" sheetId="16" r:id="rId9"/>
    <sheet name="Plant Schematic" sheetId="8" r:id="rId10"/>
    <sheet name="Cell Design" sheetId="7" r:id="rId11"/>
    <sheet name="Module" sheetId="13" r:id="rId12"/>
    <sheet name="Battery" sheetId="12" r:id="rId13"/>
    <sheet name="Capacity Calculator" sheetId="15" r:id="rId14"/>
  </sheets>
  <definedNames>
    <definedName name="_xlnm.Print_Area" localSheetId="12">Battery!$A$1:$P$126</definedName>
    <definedName name="_xlnm.Print_Area" localSheetId="2">'Battery Design'!$A$1:$J$192</definedName>
    <definedName name="_xlnm.Print_Area" localSheetId="1">Chem!$A$1:$K$74</definedName>
    <definedName name="_xlnm.Print_Area" localSheetId="5">'Cost Input'!$A$1:$J$133</definedName>
    <definedName name="_xlnm.Print_Area" localSheetId="4">'Manufacturing Cost Calculations'!$A$1:$J$330</definedName>
    <definedName name="_xlnm.Print_Area" localSheetId="3">'Summary of Results'!$A$1:$J$75</definedName>
    <definedName name="_xlnm.Print_Area" localSheetId="7">Thermal!$A$1:$J$200</definedName>
    <definedName name="_xlnm.Print_Titles" localSheetId="2">'Battery Design'!$3:$3</definedName>
  </definedNames>
  <calcPr calcId="125725" iterate="1" iterateCount="1000" iterateDelta="1E-4"/>
</workbook>
</file>

<file path=xl/calcChain.xml><?xml version="1.0" encoding="utf-8"?>
<calcChain xmlns="http://schemas.openxmlformats.org/spreadsheetml/2006/main">
  <c r="J196" i="3"/>
  <c r="I196"/>
  <c r="H196"/>
  <c r="G196"/>
  <c r="F196"/>
  <c r="J18" i="16" l="1"/>
  <c r="I18"/>
  <c r="H18"/>
  <c r="G18"/>
  <c r="F18"/>
  <c r="J95" i="3"/>
  <c r="I95"/>
  <c r="H95"/>
  <c r="G95"/>
  <c r="F95"/>
  <c r="J178" l="1"/>
  <c r="I178"/>
  <c r="H178"/>
  <c r="G178"/>
  <c r="J155"/>
  <c r="I155"/>
  <c r="H155"/>
  <c r="G155"/>
  <c r="J118"/>
  <c r="I118"/>
  <c r="H118"/>
  <c r="G118"/>
  <c r="J117"/>
  <c r="I117"/>
  <c r="H117"/>
  <c r="G117"/>
  <c r="J116"/>
  <c r="I116"/>
  <c r="H116"/>
  <c r="G119" l="1"/>
  <c r="I119"/>
  <c r="H119"/>
  <c r="J119"/>
  <c r="D151" i="1" l="1"/>
  <c r="D105" i="2"/>
  <c r="D99"/>
  <c r="F112" i="1" l="1"/>
  <c r="F116" l="1"/>
  <c r="J15" i="14" l="1"/>
  <c r="I15"/>
  <c r="H15"/>
  <c r="G15"/>
  <c r="F15"/>
  <c r="J11" i="9"/>
  <c r="I11"/>
  <c r="H11"/>
  <c r="G11"/>
  <c r="J9"/>
  <c r="I9"/>
  <c r="H9"/>
  <c r="G9"/>
  <c r="F11"/>
  <c r="J8"/>
  <c r="I8"/>
  <c r="H8"/>
  <c r="G8"/>
  <c r="F8"/>
  <c r="F9"/>
  <c r="J60" i="3"/>
  <c r="J10" i="9" l="1"/>
  <c r="I146" i="14"/>
  <c r="I155" s="1"/>
  <c r="H146"/>
  <c r="H155" s="1"/>
  <c r="G146"/>
  <c r="G155" s="1"/>
  <c r="F146"/>
  <c r="F155" s="1"/>
  <c r="J146" l="1"/>
  <c r="J155" s="1"/>
  <c r="J125"/>
  <c r="I125"/>
  <c r="H125"/>
  <c r="G125"/>
  <c r="J123"/>
  <c r="I123"/>
  <c r="H123"/>
  <c r="G123"/>
  <c r="J89"/>
  <c r="I89"/>
  <c r="H89"/>
  <c r="G89"/>
  <c r="J78"/>
  <c r="I78"/>
  <c r="H78"/>
  <c r="G78"/>
  <c r="J77"/>
  <c r="I77"/>
  <c r="H77"/>
  <c r="G77"/>
  <c r="J178"/>
  <c r="I178"/>
  <c r="F89" l="1"/>
  <c r="H178" l="1"/>
  <c r="G178"/>
  <c r="J55"/>
  <c r="I55"/>
  <c r="H55"/>
  <c r="G55"/>
  <c r="G53" i="3"/>
  <c r="G123" s="1"/>
  <c r="H53" l="1"/>
  <c r="H123" s="1"/>
  <c r="G67" i="14"/>
  <c r="H67"/>
  <c r="G139" l="1"/>
  <c r="G162" i="3"/>
  <c r="G150"/>
  <c r="H139" i="14"/>
  <c r="H141" s="1"/>
  <c r="H162" i="3"/>
  <c r="H150"/>
  <c r="G69" i="14"/>
  <c r="G141"/>
  <c r="I53" i="3"/>
  <c r="I123" s="1"/>
  <c r="H167" i="14"/>
  <c r="H113"/>
  <c r="H120" s="1"/>
  <c r="H106"/>
  <c r="H69"/>
  <c r="G167"/>
  <c r="G113"/>
  <c r="G120" s="1"/>
  <c r="G106"/>
  <c r="F123" i="3"/>
  <c r="F166"/>
  <c r="F165"/>
  <c r="I67" i="14" l="1"/>
  <c r="J53" i="3"/>
  <c r="J123" s="1"/>
  <c r="I139" i="14" l="1"/>
  <c r="I162" i="3"/>
  <c r="I150"/>
  <c r="I141" i="14"/>
  <c r="I69"/>
  <c r="I167"/>
  <c r="I106"/>
  <c r="I113"/>
  <c r="I120" s="1"/>
  <c r="J67"/>
  <c r="J6" i="4"/>
  <c r="I6"/>
  <c r="H6"/>
  <c r="G6"/>
  <c r="F6"/>
  <c r="J119" i="1"/>
  <c r="I119"/>
  <c r="H119"/>
  <c r="G119"/>
  <c r="J113"/>
  <c r="I113"/>
  <c r="H113"/>
  <c r="G113"/>
  <c r="J104"/>
  <c r="I104"/>
  <c r="H104"/>
  <c r="G104"/>
  <c r="J103"/>
  <c r="I103"/>
  <c r="H103"/>
  <c r="G103"/>
  <c r="J102"/>
  <c r="I102"/>
  <c r="H102"/>
  <c r="G102"/>
  <c r="J93"/>
  <c r="I93"/>
  <c r="H93"/>
  <c r="J8" i="14"/>
  <c r="I8"/>
  <c r="H8"/>
  <c r="G8"/>
  <c r="J7"/>
  <c r="I7"/>
  <c r="H7"/>
  <c r="G7"/>
  <c r="F178" i="3"/>
  <c r="J139" i="14" l="1"/>
  <c r="J162" i="3"/>
  <c r="J150"/>
  <c r="F17" i="4"/>
  <c r="F7"/>
  <c r="H17"/>
  <c r="H7"/>
  <c r="G17"/>
  <c r="G7"/>
  <c r="J17"/>
  <c r="J7"/>
  <c r="I17"/>
  <c r="I7"/>
  <c r="H14" i="14"/>
  <c r="J141"/>
  <c r="J113"/>
  <c r="J120" s="1"/>
  <c r="J69"/>
  <c r="J167"/>
  <c r="J106"/>
  <c r="I10"/>
  <c r="I14"/>
  <c r="I11"/>
  <c r="J14"/>
  <c r="J11"/>
  <c r="H10"/>
  <c r="H11"/>
  <c r="G14"/>
  <c r="G11"/>
  <c r="G10"/>
  <c r="J10"/>
  <c r="F119" i="1"/>
  <c r="F104"/>
  <c r="F113"/>
  <c r="F109"/>
  <c r="F103"/>
  <c r="J6"/>
  <c r="I6"/>
  <c r="H6"/>
  <c r="G6"/>
  <c r="F6"/>
  <c r="F125" i="14"/>
  <c r="F123"/>
  <c r="F78"/>
  <c r="F77"/>
  <c r="F73"/>
  <c r="F126" i="3" s="1"/>
  <c r="J12" i="14" l="1"/>
  <c r="J13" s="1"/>
  <c r="H12"/>
  <c r="H13" s="1"/>
  <c r="I12"/>
  <c r="I13" s="1"/>
  <c r="G12"/>
  <c r="G13" s="1"/>
  <c r="F67"/>
  <c r="F139" s="1"/>
  <c r="F141" l="1"/>
  <c r="F69"/>
  <c r="F106"/>
  <c r="F167"/>
  <c r="F113"/>
  <c r="F120" s="1"/>
  <c r="J106" i="4"/>
  <c r="I106"/>
  <c r="H106"/>
  <c r="G106"/>
  <c r="F106"/>
  <c r="J88" l="1"/>
  <c r="I88"/>
  <c r="H88"/>
  <c r="G88"/>
  <c r="F88"/>
  <c r="F80"/>
  <c r="J104"/>
  <c r="J105" s="1"/>
  <c r="I104"/>
  <c r="I105" s="1"/>
  <c r="H104"/>
  <c r="H105" s="1"/>
  <c r="G104"/>
  <c r="G105" s="1"/>
  <c r="F104"/>
  <c r="F105" s="1"/>
  <c r="J92"/>
  <c r="I92"/>
  <c r="H92"/>
  <c r="G92"/>
  <c r="J91"/>
  <c r="I91"/>
  <c r="H91"/>
  <c r="G91"/>
  <c r="J90"/>
  <c r="I90"/>
  <c r="H90"/>
  <c r="G90"/>
  <c r="J89"/>
  <c r="I89"/>
  <c r="H89"/>
  <c r="G89"/>
  <c r="F92"/>
  <c r="F91"/>
  <c r="F90"/>
  <c r="F89"/>
  <c r="F23" i="14" l="1"/>
  <c r="F7" l="1"/>
  <c r="F11" l="1"/>
  <c r="F8" l="1"/>
  <c r="F14" l="1"/>
  <c r="F10" l="1"/>
  <c r="I60" i="3"/>
  <c r="H60"/>
  <c r="G60"/>
  <c r="G10" i="9" l="1"/>
  <c r="I10"/>
  <c r="H10"/>
  <c r="I93" i="4"/>
  <c r="I267" i="1"/>
  <c r="I241"/>
  <c r="J93" i="4"/>
  <c r="J267" i="1"/>
  <c r="J241"/>
  <c r="G93" i="4"/>
  <c r="G267" i="1"/>
  <c r="G241"/>
  <c r="H93" i="4"/>
  <c r="H267" i="1"/>
  <c r="H241"/>
  <c r="F12" i="14"/>
  <c r="E5" i="5"/>
  <c r="F13" i="14" l="1"/>
  <c r="J64" i="3"/>
  <c r="J65" s="1"/>
  <c r="I64"/>
  <c r="I65" s="1"/>
  <c r="H64"/>
  <c r="H65" s="1"/>
  <c r="G64"/>
  <c r="G65" s="1"/>
  <c r="G6" i="16"/>
  <c r="I94" i="4" l="1"/>
  <c r="I266" i="1"/>
  <c r="G94" i="4"/>
  <c r="G266" i="1"/>
  <c r="H94" i="4"/>
  <c r="H266" i="1"/>
  <c r="J94" i="4"/>
  <c r="J266" i="1"/>
  <c r="G193" i="3"/>
  <c r="H193" l="1"/>
  <c r="F118"/>
  <c r="F119" s="1"/>
  <c r="F117"/>
  <c r="I193" l="1"/>
  <c r="J450" i="16"/>
  <c r="I450"/>
  <c r="H450"/>
  <c r="G450"/>
  <c r="J298"/>
  <c r="I298"/>
  <c r="H298"/>
  <c r="G298"/>
  <c r="F450"/>
  <c r="J193" i="3" l="1"/>
  <c r="F298" i="16"/>
  <c r="D308"/>
  <c r="E308"/>
  <c r="D309"/>
  <c r="E309"/>
  <c r="D310"/>
  <c r="E310"/>
  <c r="D315"/>
  <c r="E315"/>
  <c r="D316"/>
  <c r="E316"/>
  <c r="D317"/>
  <c r="E317"/>
  <c r="D320"/>
  <c r="E320"/>
  <c r="D321"/>
  <c r="E321"/>
  <c r="D322"/>
  <c r="E322"/>
  <c r="E326"/>
  <c r="D327"/>
  <c r="E327"/>
  <c r="D328"/>
  <c r="E328"/>
  <c r="D329"/>
  <c r="E329"/>
  <c r="D332"/>
  <c r="E332"/>
  <c r="D333"/>
  <c r="E333"/>
  <c r="D334"/>
  <c r="E334"/>
  <c r="D335"/>
  <c r="E335"/>
  <c r="D338"/>
  <c r="E338"/>
  <c r="D339"/>
  <c r="E339"/>
  <c r="D340"/>
  <c r="E340"/>
  <c r="D344"/>
  <c r="E344"/>
  <c r="D345"/>
  <c r="E345"/>
  <c r="D346"/>
  <c r="E346"/>
  <c r="D349"/>
  <c r="E349"/>
  <c r="D350"/>
  <c r="E350"/>
  <c r="D351"/>
  <c r="E351"/>
  <c r="D354"/>
  <c r="E354"/>
  <c r="D355"/>
  <c r="E355"/>
  <c r="D356"/>
  <c r="E356"/>
  <c r="D359"/>
  <c r="E359"/>
  <c r="D360"/>
  <c r="E360"/>
  <c r="D361"/>
  <c r="E361"/>
  <c r="D364"/>
  <c r="E364"/>
  <c r="D365"/>
  <c r="E365"/>
  <c r="D366"/>
  <c r="E366"/>
  <c r="D369"/>
  <c r="E369"/>
  <c r="D370"/>
  <c r="E370"/>
  <c r="D371"/>
  <c r="E371"/>
  <c r="D375"/>
  <c r="E375"/>
  <c r="D376"/>
  <c r="E376"/>
  <c r="D377"/>
  <c r="E377"/>
  <c r="D378"/>
  <c r="E378"/>
  <c r="D381"/>
  <c r="E381"/>
  <c r="D382"/>
  <c r="E382"/>
  <c r="D383"/>
  <c r="E383"/>
  <c r="D386"/>
  <c r="E386"/>
  <c r="D387"/>
  <c r="E387"/>
  <c r="D388"/>
  <c r="E388"/>
  <c r="D391"/>
  <c r="E391"/>
  <c r="D392"/>
  <c r="E392"/>
  <c r="D393"/>
  <c r="E393"/>
  <c r="D396"/>
  <c r="E396"/>
  <c r="D397"/>
  <c r="E397"/>
  <c r="D398"/>
  <c r="E398"/>
  <c r="D401"/>
  <c r="E401"/>
  <c r="D402"/>
  <c r="E402"/>
  <c r="D403"/>
  <c r="E403"/>
  <c r="D404"/>
  <c r="E404"/>
  <c r="D407"/>
  <c r="E407"/>
  <c r="D408"/>
  <c r="E408"/>
  <c r="D409"/>
  <c r="E409"/>
  <c r="D412"/>
  <c r="E412"/>
  <c r="D413"/>
  <c r="E413"/>
  <c r="D414"/>
  <c r="E414"/>
  <c r="D417"/>
  <c r="E417"/>
  <c r="D418"/>
  <c r="E418"/>
  <c r="D419"/>
  <c r="E419"/>
  <c r="D422"/>
  <c r="E422"/>
  <c r="D423"/>
  <c r="E423"/>
  <c r="D424"/>
  <c r="E424"/>
  <c r="D425"/>
  <c r="E425"/>
  <c r="D428"/>
  <c r="E428"/>
  <c r="D429"/>
  <c r="E429"/>
  <c r="D430"/>
  <c r="E430"/>
  <c r="D433"/>
  <c r="E433"/>
  <c r="D434"/>
  <c r="E434"/>
  <c r="D435"/>
  <c r="E435"/>
  <c r="J251" l="1"/>
  <c r="I251"/>
  <c r="H251"/>
  <c r="G251"/>
  <c r="F251"/>
  <c r="J215"/>
  <c r="I215"/>
  <c r="H215"/>
  <c r="G215"/>
  <c r="F215" l="1"/>
  <c r="I83" i="4" l="1"/>
  <c r="H83"/>
  <c r="G83"/>
  <c r="F83"/>
  <c r="F60" i="3"/>
  <c r="F110" i="1" l="1"/>
  <c r="F10" i="9"/>
  <c r="F93" i="4"/>
  <c r="F64" i="3"/>
  <c r="G422" i="16"/>
  <c r="F422"/>
  <c r="F94" i="4" l="1"/>
  <c r="F65" i="3"/>
  <c r="F4" i="16" l="1"/>
  <c r="F13" l="1"/>
  <c r="F11"/>
  <c r="F102" i="1"/>
  <c r="J6" i="16"/>
  <c r="I6"/>
  <c r="H6"/>
  <c r="F6"/>
  <c r="R18" i="15"/>
  <c r="R3"/>
  <c r="Q14"/>
  <c r="Q18" s="1"/>
  <c r="Q13"/>
  <c r="R10"/>
  <c r="Q12" s="1"/>
  <c r="Q10"/>
  <c r="A2" i="3"/>
  <c r="A2" i="4" s="1"/>
  <c r="A73" i="3"/>
  <c r="A2" i="1" s="1"/>
  <c r="C3" i="15"/>
  <c r="B14"/>
  <c r="B18"/>
  <c r="B19" s="1"/>
  <c r="C18"/>
  <c r="F3"/>
  <c r="E14"/>
  <c r="E18" s="1"/>
  <c r="F18"/>
  <c r="O3"/>
  <c r="N14"/>
  <c r="O18"/>
  <c r="I18"/>
  <c r="I3"/>
  <c r="H14"/>
  <c r="H18"/>
  <c r="L3"/>
  <c r="K14"/>
  <c r="L18"/>
  <c r="K13"/>
  <c r="E13"/>
  <c r="F5" s="1"/>
  <c r="F10"/>
  <c r="E12"/>
  <c r="E10"/>
  <c r="L10"/>
  <c r="K10"/>
  <c r="H13"/>
  <c r="I10"/>
  <c r="H10"/>
  <c r="N13"/>
  <c r="O10"/>
  <c r="N12"/>
  <c r="N10"/>
  <c r="B13"/>
  <c r="C5" s="1"/>
  <c r="C14"/>
  <c r="C10"/>
  <c r="B12"/>
  <c r="B10"/>
  <c r="F31" i="3"/>
  <c r="E241" i="1"/>
  <c r="D241"/>
  <c r="G52" i="3"/>
  <c r="J60" i="5"/>
  <c r="I60"/>
  <c r="H60"/>
  <c r="G60"/>
  <c r="F60"/>
  <c r="E54"/>
  <c r="D169" i="1"/>
  <c r="D168"/>
  <c r="D164"/>
  <c r="D163"/>
  <c r="D243"/>
  <c r="E243"/>
  <c r="F241"/>
  <c r="D72" i="5"/>
  <c r="D30" i="2" s="1"/>
  <c r="D71" i="5"/>
  <c r="D29" i="2"/>
  <c r="D63" i="1" s="1"/>
  <c r="E50" i="5"/>
  <c r="J422" i="16"/>
  <c r="F190" i="14"/>
  <c r="F118" i="1" s="1"/>
  <c r="D247"/>
  <c r="E247"/>
  <c r="D236"/>
  <c r="E236"/>
  <c r="D242"/>
  <c r="E242"/>
  <c r="D221"/>
  <c r="E221"/>
  <c r="D226"/>
  <c r="E226"/>
  <c r="D231"/>
  <c r="E231"/>
  <c r="J28" i="4"/>
  <c r="I28"/>
  <c r="H28"/>
  <c r="G28"/>
  <c r="I7" i="9"/>
  <c r="H7"/>
  <c r="G7"/>
  <c r="P6" i="2"/>
  <c r="J6" s="1"/>
  <c r="E17" i="1" s="1"/>
  <c r="F36" i="3"/>
  <c r="G7" i="5"/>
  <c r="E9"/>
  <c r="D9" i="3" s="1"/>
  <c r="E8" i="5"/>
  <c r="D8" i="3" s="1"/>
  <c r="E11" i="5"/>
  <c r="C10" i="3" s="1"/>
  <c r="E13" i="5"/>
  <c r="E7" i="3" s="1"/>
  <c r="E14" i="5"/>
  <c r="E8" i="3" s="1"/>
  <c r="E15" i="5"/>
  <c r="E9" i="3" s="1"/>
  <c r="F111" i="1"/>
  <c r="D195"/>
  <c r="E195"/>
  <c r="D200"/>
  <c r="E200"/>
  <c r="D205"/>
  <c r="E205"/>
  <c r="D210"/>
  <c r="E210"/>
  <c r="D197"/>
  <c r="E197"/>
  <c r="D202"/>
  <c r="E202"/>
  <c r="D207"/>
  <c r="E207"/>
  <c r="D212"/>
  <c r="E212"/>
  <c r="E42" i="5"/>
  <c r="J43" i="3" s="1"/>
  <c r="J139" s="1"/>
  <c r="E41" i="5"/>
  <c r="F42" i="3" s="1"/>
  <c r="D201" i="1"/>
  <c r="E201"/>
  <c r="D206"/>
  <c r="E206"/>
  <c r="D211"/>
  <c r="E211"/>
  <c r="D227"/>
  <c r="E227"/>
  <c r="D232"/>
  <c r="E232"/>
  <c r="D237"/>
  <c r="E237"/>
  <c r="D248"/>
  <c r="E248"/>
  <c r="D228"/>
  <c r="E228"/>
  <c r="D233"/>
  <c r="E233"/>
  <c r="D238"/>
  <c r="E238"/>
  <c r="D244"/>
  <c r="E244"/>
  <c r="D249"/>
  <c r="E249"/>
  <c r="D62" i="5"/>
  <c r="D19" i="2" s="1"/>
  <c r="D55" i="1" s="1"/>
  <c r="E62" i="5"/>
  <c r="E19" i="2" s="1"/>
  <c r="E55" i="1" s="1"/>
  <c r="D63" i="5"/>
  <c r="D20" i="2" s="1"/>
  <c r="D56" i="1" s="1"/>
  <c r="E63" i="5"/>
  <c r="E20" i="2" s="1"/>
  <c r="E56" i="1"/>
  <c r="D64" i="5"/>
  <c r="D22" i="2" s="1"/>
  <c r="D57" i="1" s="1"/>
  <c r="E64" i="5"/>
  <c r="E22" i="2" s="1"/>
  <c r="E57" i="1" s="1"/>
  <c r="D65" i="5"/>
  <c r="D23" i="2" s="1"/>
  <c r="D58" i="1" s="1"/>
  <c r="E65" i="5"/>
  <c r="E23" i="2" s="1"/>
  <c r="E58" i="1" s="1"/>
  <c r="D134"/>
  <c r="E134"/>
  <c r="D157"/>
  <c r="E157"/>
  <c r="D135"/>
  <c r="E135"/>
  <c r="D158"/>
  <c r="E158"/>
  <c r="D196"/>
  <c r="E196"/>
  <c r="D194"/>
  <c r="E194"/>
  <c r="D222"/>
  <c r="E222"/>
  <c r="D220"/>
  <c r="E220"/>
  <c r="D136"/>
  <c r="E136"/>
  <c r="D159"/>
  <c r="E159"/>
  <c r="D223"/>
  <c r="E223"/>
  <c r="F28" i="4"/>
  <c r="E85" i="1"/>
  <c r="E86"/>
  <c r="E87"/>
  <c r="D67" i="5"/>
  <c r="D25" i="2" s="1"/>
  <c r="D60" i="1" s="1"/>
  <c r="P7" i="2"/>
  <c r="J7" s="1"/>
  <c r="E23" i="1" s="1"/>
  <c r="E67" i="5"/>
  <c r="E25" i="2" s="1"/>
  <c r="E60" i="1" s="1"/>
  <c r="D68" i="5"/>
  <c r="D26" i="2" s="1"/>
  <c r="D61" i="1" s="1"/>
  <c r="E68" i="5"/>
  <c r="E26" i="2"/>
  <c r="E61" i="1" s="1"/>
  <c r="D69" i="5"/>
  <c r="D27" i="2" s="1"/>
  <c r="D62" i="1" s="1"/>
  <c r="E69" i="5"/>
  <c r="E27" i="2" s="1"/>
  <c r="E62" i="1" s="1"/>
  <c r="E71" i="5"/>
  <c r="E29" i="2" s="1"/>
  <c r="E63" i="1" s="1"/>
  <c r="P8" i="2"/>
  <c r="J8" s="1"/>
  <c r="E29" i="1" s="1"/>
  <c r="E72" i="5"/>
  <c r="E30" i="2" s="1"/>
  <c r="E64" i="1" s="1"/>
  <c r="P9" i="2"/>
  <c r="J9" s="1"/>
  <c r="E30" i="1" s="1"/>
  <c r="D73" i="5"/>
  <c r="D31" i="2" s="1"/>
  <c r="D65" i="1" s="1"/>
  <c r="E73" i="5"/>
  <c r="E31" i="2"/>
  <c r="E65" i="1" s="1"/>
  <c r="P10" i="2"/>
  <c r="J10" s="1"/>
  <c r="E31" i="1" s="1"/>
  <c r="E74" i="5"/>
  <c r="E32" i="2" s="1"/>
  <c r="E66" i="1" s="1"/>
  <c r="D74" i="5"/>
  <c r="D32" i="2" s="1"/>
  <c r="D66" i="1" s="1"/>
  <c r="P11" i="2"/>
  <c r="J11" s="1"/>
  <c r="E32" i="1" s="1"/>
  <c r="E91"/>
  <c r="E7" i="2"/>
  <c r="F72"/>
  <c r="E31" i="5"/>
  <c r="D19" i="3" s="1"/>
  <c r="E34" i="5"/>
  <c r="D20" i="3" s="1"/>
  <c r="E36" i="5"/>
  <c r="D21" i="3" s="1"/>
  <c r="G198" i="14"/>
  <c r="G197"/>
  <c r="G196"/>
  <c r="G195"/>
  <c r="F178"/>
  <c r="F267" i="1"/>
  <c r="J26" i="3"/>
  <c r="J27" s="1"/>
  <c r="I26"/>
  <c r="I27" s="1"/>
  <c r="H26"/>
  <c r="H27" s="1"/>
  <c r="G26"/>
  <c r="G27" s="1"/>
  <c r="F26"/>
  <c r="F27" s="1"/>
  <c r="E33" i="5"/>
  <c r="C20" i="3" s="1"/>
  <c r="F7" i="5"/>
  <c r="F20"/>
  <c r="G20"/>
  <c r="E24"/>
  <c r="C16" i="3" s="1"/>
  <c r="E26" i="5"/>
  <c r="E13" i="3" s="1"/>
  <c r="E22" i="5"/>
  <c r="D15" i="3" s="1"/>
  <c r="E28" i="5"/>
  <c r="E15" i="3" s="1"/>
  <c r="E21" i="5"/>
  <c r="D14" i="3" s="1"/>
  <c r="E27" i="5"/>
  <c r="E14" i="3" s="1"/>
  <c r="E18" i="5"/>
  <c r="I38" i="3" s="1"/>
  <c r="E30" i="5"/>
  <c r="C19" i="3" s="1"/>
  <c r="E19" s="1"/>
  <c r="F38" i="5"/>
  <c r="G38"/>
  <c r="E39"/>
  <c r="E22" i="3" s="1"/>
  <c r="E58" i="5"/>
  <c r="E57"/>
  <c r="E43"/>
  <c r="F55" i="14"/>
  <c r="F54" i="3"/>
  <c r="F80" s="1"/>
  <c r="E49" i="5"/>
  <c r="J17" i="9"/>
  <c r="I17"/>
  <c r="H17"/>
  <c r="G17"/>
  <c r="F17"/>
  <c r="F7"/>
  <c r="E17" i="5"/>
  <c r="F40" i="3" s="1"/>
  <c r="J36"/>
  <c r="I36"/>
  <c r="H36"/>
  <c r="G36"/>
  <c r="F53" i="5"/>
  <c r="G53"/>
  <c r="D70"/>
  <c r="D28" i="2" s="1"/>
  <c r="E70" i="5"/>
  <c r="E28" i="2" s="1"/>
  <c r="D147"/>
  <c r="D148"/>
  <c r="D149"/>
  <c r="D127" i="1"/>
  <c r="E127"/>
  <c r="D128"/>
  <c r="E128"/>
  <c r="D129"/>
  <c r="E129"/>
  <c r="D139"/>
  <c r="E139"/>
  <c r="D140"/>
  <c r="E140"/>
  <c r="D141"/>
  <c r="E141"/>
  <c r="D146"/>
  <c r="E146"/>
  <c r="D147"/>
  <c r="E147"/>
  <c r="D148"/>
  <c r="E148"/>
  <c r="D152"/>
  <c r="E152"/>
  <c r="D153"/>
  <c r="E153"/>
  <c r="D154"/>
  <c r="E154"/>
  <c r="E163"/>
  <c r="E164"/>
  <c r="D165"/>
  <c r="E165"/>
  <c r="E168"/>
  <c r="E169"/>
  <c r="D170"/>
  <c r="E170"/>
  <c r="D173"/>
  <c r="E173"/>
  <c r="D174"/>
  <c r="E174"/>
  <c r="D175"/>
  <c r="E175"/>
  <c r="D178"/>
  <c r="E178"/>
  <c r="D179"/>
  <c r="E179"/>
  <c r="D180"/>
  <c r="E180"/>
  <c r="D183"/>
  <c r="E183"/>
  <c r="D184"/>
  <c r="E184"/>
  <c r="D185"/>
  <c r="E185"/>
  <c r="D188"/>
  <c r="E188"/>
  <c r="D189"/>
  <c r="E189"/>
  <c r="D190"/>
  <c r="E190"/>
  <c r="D215"/>
  <c r="E215"/>
  <c r="D216"/>
  <c r="E216"/>
  <c r="D217"/>
  <c r="E217"/>
  <c r="D252"/>
  <c r="E252"/>
  <c r="D253"/>
  <c r="E253"/>
  <c r="D254"/>
  <c r="E254"/>
  <c r="H7" i="5"/>
  <c r="I7"/>
  <c r="J7"/>
  <c r="E7"/>
  <c r="D7" i="3" s="1"/>
  <c r="E10" i="5"/>
  <c r="H20"/>
  <c r="I20"/>
  <c r="J20"/>
  <c r="E20"/>
  <c r="D13" i="3" s="1"/>
  <c r="E23" i="5"/>
  <c r="E37"/>
  <c r="H38"/>
  <c r="I38"/>
  <c r="J38"/>
  <c r="E38"/>
  <c r="E21" i="3" s="1"/>
  <c r="E44" i="5"/>
  <c r="E45"/>
  <c r="E48"/>
  <c r="E51"/>
  <c r="H53"/>
  <c r="I53"/>
  <c r="J53"/>
  <c r="E53" s="1"/>
  <c r="J44" i="3" s="1"/>
  <c r="E59" i="5"/>
  <c r="R14" i="15"/>
  <c r="I5"/>
  <c r="I14"/>
  <c r="K12"/>
  <c r="H12"/>
  <c r="F8" i="4"/>
  <c r="F266" i="1"/>
  <c r="H19" i="15"/>
  <c r="R5"/>
  <c r="G166" i="3" l="1"/>
  <c r="G165"/>
  <c r="F83"/>
  <c r="I83"/>
  <c r="G83"/>
  <c r="J83"/>
  <c r="H83"/>
  <c r="G112" i="1"/>
  <c r="G116"/>
  <c r="G110"/>
  <c r="J66"/>
  <c r="H66"/>
  <c r="I66"/>
  <c r="G66"/>
  <c r="J47" i="14"/>
  <c r="H47"/>
  <c r="I47"/>
  <c r="G47"/>
  <c r="J43"/>
  <c r="H43"/>
  <c r="I43"/>
  <c r="G43"/>
  <c r="J15" i="4"/>
  <c r="G73" i="14"/>
  <c r="G190"/>
  <c r="G23"/>
  <c r="J44"/>
  <c r="H44"/>
  <c r="I44"/>
  <c r="G44"/>
  <c r="G111" i="1"/>
  <c r="G109"/>
  <c r="F75" i="14"/>
  <c r="F116"/>
  <c r="F114" i="1"/>
  <c r="F72" i="4" s="1"/>
  <c r="E20" i="3"/>
  <c r="D145" i="1"/>
  <c r="D326" i="16"/>
  <c r="F138" i="3"/>
  <c r="F84" i="4" s="1"/>
  <c r="F158" i="3"/>
  <c r="F159" s="1"/>
  <c r="F116" i="4"/>
  <c r="G192" i="3"/>
  <c r="E56" i="5"/>
  <c r="J46" i="3"/>
  <c r="J5" i="16" s="1"/>
  <c r="I46" i="3"/>
  <c r="I5" i="16" s="1"/>
  <c r="H46" i="3"/>
  <c r="H5" i="16" s="1"/>
  <c r="G46" i="3"/>
  <c r="G5" i="16" s="1"/>
  <c r="F46" i="3"/>
  <c r="F5" i="16" s="1"/>
  <c r="E47" i="5"/>
  <c r="E52" s="1"/>
  <c r="J7" i="9"/>
  <c r="J83" i="4"/>
  <c r="G42" i="3"/>
  <c r="G138" s="1"/>
  <c r="J42"/>
  <c r="J138" s="1"/>
  <c r="G38"/>
  <c r="H38"/>
  <c r="G43"/>
  <c r="H43"/>
  <c r="F43"/>
  <c r="F139" s="1"/>
  <c r="F15" i="4" s="1"/>
  <c r="I43" i="3"/>
  <c r="I139" s="1"/>
  <c r="J38"/>
  <c r="F38"/>
  <c r="H42"/>
  <c r="H138" s="1"/>
  <c r="I42"/>
  <c r="I138" s="1"/>
  <c r="F81"/>
  <c r="F74" i="14"/>
  <c r="F108" i="3"/>
  <c r="F110"/>
  <c r="H422" i="16"/>
  <c r="I422"/>
  <c r="F43" i="14"/>
  <c r="F44"/>
  <c r="I44" i="3"/>
  <c r="D17"/>
  <c r="G4" i="16"/>
  <c r="G8" i="1"/>
  <c r="N18" i="15"/>
  <c r="N19" s="1"/>
  <c r="O14"/>
  <c r="O5"/>
  <c r="Q19"/>
  <c r="G8" i="4"/>
  <c r="F8" i="1"/>
  <c r="F47" i="14"/>
  <c r="F66" i="1"/>
  <c r="E17" i="3"/>
  <c r="G54"/>
  <c r="H52"/>
  <c r="G31"/>
  <c r="I40"/>
  <c r="G40"/>
  <c r="J40"/>
  <c r="L14" i="15"/>
  <c r="L5"/>
  <c r="K18"/>
  <c r="K19" s="1"/>
  <c r="H40" i="3"/>
  <c r="D11"/>
  <c r="D64" i="1"/>
  <c r="C38" i="2"/>
  <c r="E19" i="15"/>
  <c r="F14"/>
  <c r="E11" i="3"/>
  <c r="H37" s="1"/>
  <c r="H44"/>
  <c r="F44"/>
  <c r="G44"/>
  <c r="G110" l="1"/>
  <c r="G108"/>
  <c r="G81"/>
  <c r="G80"/>
  <c r="H166"/>
  <c r="H165"/>
  <c r="H139"/>
  <c r="H15" i="4" s="1"/>
  <c r="J180" i="3"/>
  <c r="J187" s="1"/>
  <c r="H180"/>
  <c r="H187" s="1"/>
  <c r="I180"/>
  <c r="I187" s="1"/>
  <c r="G180"/>
  <c r="G187" s="1"/>
  <c r="G126"/>
  <c r="G130" s="1"/>
  <c r="G139"/>
  <c r="G15" i="4" s="1"/>
  <c r="G118" i="1"/>
  <c r="G158" i="3"/>
  <c r="G159" s="1"/>
  <c r="H112" i="1"/>
  <c r="H116"/>
  <c r="H110"/>
  <c r="I15" i="4"/>
  <c r="H73" i="14"/>
  <c r="H190"/>
  <c r="H23"/>
  <c r="G116"/>
  <c r="G75"/>
  <c r="H111" i="1"/>
  <c r="H109"/>
  <c r="G114"/>
  <c r="G279" s="1"/>
  <c r="G47"/>
  <c r="G48" s="1"/>
  <c r="G49" s="1"/>
  <c r="G50"/>
  <c r="G84" i="4"/>
  <c r="G116"/>
  <c r="F180" i="3"/>
  <c r="F187" s="1"/>
  <c r="H192"/>
  <c r="H8" i="1"/>
  <c r="F279"/>
  <c r="H8" i="4"/>
  <c r="J84"/>
  <c r="I8" i="1"/>
  <c r="H84" i="4"/>
  <c r="I84"/>
  <c r="G9" i="1"/>
  <c r="G13" i="16"/>
  <c r="G11"/>
  <c r="I8" i="4"/>
  <c r="H4" i="16"/>
  <c r="J39" i="3"/>
  <c r="F39"/>
  <c r="I39"/>
  <c r="H39"/>
  <c r="H92" s="1"/>
  <c r="F37"/>
  <c r="G37"/>
  <c r="G92" s="1"/>
  <c r="G39"/>
  <c r="J37"/>
  <c r="J92" s="1"/>
  <c r="F47" i="1"/>
  <c r="F48" s="1"/>
  <c r="F49" s="1"/>
  <c r="F50"/>
  <c r="F9"/>
  <c r="F374" i="16" s="1"/>
  <c r="H31" i="3"/>
  <c r="I52"/>
  <c r="H54"/>
  <c r="I37"/>
  <c r="I92" s="1"/>
  <c r="J8" i="4"/>
  <c r="J8" i="1"/>
  <c r="I166" i="3" l="1"/>
  <c r="I165"/>
  <c r="H81"/>
  <c r="H80"/>
  <c r="H110"/>
  <c r="H108"/>
  <c r="J94"/>
  <c r="J93"/>
  <c r="H94"/>
  <c r="H93"/>
  <c r="G93"/>
  <c r="G94"/>
  <c r="I93"/>
  <c r="I94"/>
  <c r="F92"/>
  <c r="H118" i="1"/>
  <c r="H158" i="3"/>
  <c r="H159" s="1"/>
  <c r="G74" i="14"/>
  <c r="H126" i="3"/>
  <c r="H130" s="1"/>
  <c r="I112" i="1"/>
  <c r="I116"/>
  <c r="I110"/>
  <c r="I73" i="14"/>
  <c r="I190"/>
  <c r="I158" i="3" s="1"/>
  <c r="I159" s="1"/>
  <c r="I23" i="14"/>
  <c r="H116"/>
  <c r="H75"/>
  <c r="H114" i="1"/>
  <c r="H279" s="1"/>
  <c r="G193"/>
  <c r="G246"/>
  <c r="J47"/>
  <c r="J48" s="1"/>
  <c r="J49" s="1"/>
  <c r="J50"/>
  <c r="I47"/>
  <c r="I48" s="1"/>
  <c r="I49" s="1"/>
  <c r="I50"/>
  <c r="I111"/>
  <c r="I109"/>
  <c r="H47"/>
  <c r="H48" s="1"/>
  <c r="H49" s="1"/>
  <c r="H50"/>
  <c r="H116" i="4"/>
  <c r="I192" i="3"/>
  <c r="H9" i="1"/>
  <c r="I9"/>
  <c r="G72" i="4"/>
  <c r="G374" i="16"/>
  <c r="F378"/>
  <c r="F376"/>
  <c r="F380"/>
  <c r="H13"/>
  <c r="H11"/>
  <c r="I4"/>
  <c r="F193" i="1"/>
  <c r="F246"/>
  <c r="J52" i="3"/>
  <c r="I31"/>
  <c r="I54"/>
  <c r="J9" i="1"/>
  <c r="I110" i="3" l="1"/>
  <c r="I108"/>
  <c r="I81"/>
  <c r="I80"/>
  <c r="J166"/>
  <c r="J165"/>
  <c r="F94"/>
  <c r="F93"/>
  <c r="I126"/>
  <c r="I130" s="1"/>
  <c r="H74" i="14"/>
  <c r="J112" i="1"/>
  <c r="J116"/>
  <c r="J110"/>
  <c r="I118"/>
  <c r="I116" i="14"/>
  <c r="I75"/>
  <c r="J73"/>
  <c r="J190"/>
  <c r="J158" i="3" s="1"/>
  <c r="J159" s="1"/>
  <c r="J23" i="14"/>
  <c r="I114" i="1"/>
  <c r="I279" s="1"/>
  <c r="I374" i="16"/>
  <c r="I378" s="1"/>
  <c r="I246" i="1"/>
  <c r="I193"/>
  <c r="J374" i="16"/>
  <c r="J378" s="1"/>
  <c r="J193" i="1"/>
  <c r="J246"/>
  <c r="G248"/>
  <c r="G249"/>
  <c r="G247"/>
  <c r="G286" s="1"/>
  <c r="H374" i="16"/>
  <c r="H376" s="1"/>
  <c r="H246" i="1"/>
  <c r="H193"/>
  <c r="J111"/>
  <c r="J109"/>
  <c r="J118"/>
  <c r="G197"/>
  <c r="G195"/>
  <c r="G199"/>
  <c r="I116" i="4"/>
  <c r="J192" i="3"/>
  <c r="J380" i="16"/>
  <c r="G376"/>
  <c r="G380"/>
  <c r="G378"/>
  <c r="F383"/>
  <c r="F381"/>
  <c r="F385"/>
  <c r="F382"/>
  <c r="H72" i="4"/>
  <c r="I13" i="16"/>
  <c r="I11"/>
  <c r="J4"/>
  <c r="F248" i="1"/>
  <c r="F249"/>
  <c r="F247"/>
  <c r="F195"/>
  <c r="F197"/>
  <c r="F199"/>
  <c r="J54" i="3"/>
  <c r="J31"/>
  <c r="J81" l="1"/>
  <c r="J80"/>
  <c r="J110"/>
  <c r="J108"/>
  <c r="J126"/>
  <c r="J130" s="1"/>
  <c r="I74" i="14"/>
  <c r="H378" i="16"/>
  <c r="H380"/>
  <c r="H382" s="1"/>
  <c r="J376"/>
  <c r="J116" i="14"/>
  <c r="J75"/>
  <c r="J114" i="1"/>
  <c r="J279" s="1"/>
  <c r="H381" i="16"/>
  <c r="I199" i="1"/>
  <c r="I195"/>
  <c r="I197"/>
  <c r="I248"/>
  <c r="I249"/>
  <c r="I247"/>
  <c r="I286" s="1"/>
  <c r="G48" i="4"/>
  <c r="G36" i="9" s="1"/>
  <c r="G204" i="1"/>
  <c r="G201"/>
  <c r="G200"/>
  <c r="G202"/>
  <c r="I380" i="16"/>
  <c r="I381" s="1"/>
  <c r="I376"/>
  <c r="H199" i="1"/>
  <c r="H197"/>
  <c r="H195"/>
  <c r="J248"/>
  <c r="J249"/>
  <c r="J247"/>
  <c r="J286" s="1"/>
  <c r="H249"/>
  <c r="H248"/>
  <c r="H247"/>
  <c r="H286" s="1"/>
  <c r="J199"/>
  <c r="J195"/>
  <c r="J197"/>
  <c r="H383" i="16"/>
  <c r="H385"/>
  <c r="H386" s="1"/>
  <c r="J116" i="4"/>
  <c r="G385" i="16"/>
  <c r="G383"/>
  <c r="G382"/>
  <c r="G381"/>
  <c r="J382"/>
  <c r="J381"/>
  <c r="J385"/>
  <c r="J383"/>
  <c r="F386"/>
  <c r="F390"/>
  <c r="F388"/>
  <c r="F387"/>
  <c r="J13"/>
  <c r="J11"/>
  <c r="F200" i="1"/>
  <c r="F202"/>
  <c r="F204"/>
  <c r="F201"/>
  <c r="F286"/>
  <c r="F48" i="4"/>
  <c r="F36" i="9" s="1"/>
  <c r="I72" i="4"/>
  <c r="J74" i="14" l="1"/>
  <c r="I48" i="4"/>
  <c r="I36" i="9" s="1"/>
  <c r="I385" i="16"/>
  <c r="I387" s="1"/>
  <c r="I382"/>
  <c r="I383"/>
  <c r="J204" i="1"/>
  <c r="J201"/>
  <c r="J200"/>
  <c r="J202"/>
  <c r="I202"/>
  <c r="I204"/>
  <c r="I201"/>
  <c r="I200"/>
  <c r="H202"/>
  <c r="H201"/>
  <c r="H204"/>
  <c r="H200"/>
  <c r="G209"/>
  <c r="G206"/>
  <c r="G205"/>
  <c r="G207"/>
  <c r="H48" i="4"/>
  <c r="H36" i="9" s="1"/>
  <c r="H388" i="16"/>
  <c r="H390"/>
  <c r="H400" s="1"/>
  <c r="H387"/>
  <c r="J388"/>
  <c r="J390"/>
  <c r="J386"/>
  <c r="J387"/>
  <c r="G386"/>
  <c r="G387"/>
  <c r="G388"/>
  <c r="G390"/>
  <c r="F391"/>
  <c r="F393"/>
  <c r="F400"/>
  <c r="F392"/>
  <c r="J48" i="4"/>
  <c r="J36" i="9" s="1"/>
  <c r="J72" i="4"/>
  <c r="F205" i="1"/>
  <c r="F206"/>
  <c r="F209"/>
  <c r="F207"/>
  <c r="I388" i="16" l="1"/>
  <c r="I390"/>
  <c r="H393"/>
  <c r="I386"/>
  <c r="H206" i="1"/>
  <c r="H205"/>
  <c r="H209"/>
  <c r="H207"/>
  <c r="I400" i="16"/>
  <c r="I402" s="1"/>
  <c r="J209" i="1"/>
  <c r="J206"/>
  <c r="J207"/>
  <c r="J205"/>
  <c r="I209"/>
  <c r="I206"/>
  <c r="I205"/>
  <c r="I207"/>
  <c r="G211"/>
  <c r="G212"/>
  <c r="G210"/>
  <c r="G219"/>
  <c r="H392" i="16"/>
  <c r="H391"/>
  <c r="G393"/>
  <c r="G400"/>
  <c r="G391"/>
  <c r="G392"/>
  <c r="J391"/>
  <c r="J392"/>
  <c r="J393"/>
  <c r="J400"/>
  <c r="H406"/>
  <c r="H402"/>
  <c r="H416"/>
  <c r="F406"/>
  <c r="F402"/>
  <c r="F416"/>
  <c r="F210" i="1"/>
  <c r="F219"/>
  <c r="F211"/>
  <c r="F212"/>
  <c r="I406" i="16" l="1"/>
  <c r="I409" s="1"/>
  <c r="I416"/>
  <c r="I393"/>
  <c r="I391"/>
  <c r="I392"/>
  <c r="H219" i="1"/>
  <c r="H210"/>
  <c r="H212"/>
  <c r="H211"/>
  <c r="I219"/>
  <c r="I211"/>
  <c r="I210"/>
  <c r="I212"/>
  <c r="G221"/>
  <c r="G225"/>
  <c r="G235"/>
  <c r="J219"/>
  <c r="J211"/>
  <c r="J212"/>
  <c r="J210"/>
  <c r="H418" i="16"/>
  <c r="H417"/>
  <c r="H421"/>
  <c r="H419"/>
  <c r="H408"/>
  <c r="H407"/>
  <c r="H411"/>
  <c r="H409"/>
  <c r="I421"/>
  <c r="I419"/>
  <c r="I418"/>
  <c r="I417"/>
  <c r="J416"/>
  <c r="J406"/>
  <c r="J402"/>
  <c r="G406"/>
  <c r="G402"/>
  <c r="G416"/>
  <c r="I411"/>
  <c r="I408"/>
  <c r="F421"/>
  <c r="F417"/>
  <c r="F418"/>
  <c r="F419"/>
  <c r="F407"/>
  <c r="F408"/>
  <c r="F409"/>
  <c r="F411"/>
  <c r="F225" i="1"/>
  <c r="F235"/>
  <c r="F221"/>
  <c r="I407" i="16" l="1"/>
  <c r="G236" i="1"/>
  <c r="G237"/>
  <c r="G240"/>
  <c r="G238"/>
  <c r="G228"/>
  <c r="G230"/>
  <c r="G226"/>
  <c r="G227"/>
  <c r="H235"/>
  <c r="H221"/>
  <c r="H225"/>
  <c r="I221"/>
  <c r="I235"/>
  <c r="I225"/>
  <c r="J221"/>
  <c r="J235"/>
  <c r="J225"/>
  <c r="G421" i="16"/>
  <c r="G419"/>
  <c r="G418"/>
  <c r="G417"/>
  <c r="G408"/>
  <c r="G407"/>
  <c r="G411"/>
  <c r="G409"/>
  <c r="J408"/>
  <c r="J407"/>
  <c r="J411"/>
  <c r="J409"/>
  <c r="I414"/>
  <c r="I413"/>
  <c r="I412"/>
  <c r="J418"/>
  <c r="J417"/>
  <c r="J421"/>
  <c r="J419"/>
  <c r="I423"/>
  <c r="I424"/>
  <c r="I425"/>
  <c r="I427"/>
  <c r="H412"/>
  <c r="H414"/>
  <c r="H413"/>
  <c r="H423"/>
  <c r="H424"/>
  <c r="H425"/>
  <c r="H427"/>
  <c r="F413"/>
  <c r="F412"/>
  <c r="F414"/>
  <c r="F427"/>
  <c r="F423"/>
  <c r="F425"/>
  <c r="F424"/>
  <c r="F240" i="1"/>
  <c r="F237"/>
  <c r="F236"/>
  <c r="F238"/>
  <c r="F230"/>
  <c r="F227"/>
  <c r="F228"/>
  <c r="F226"/>
  <c r="H226" l="1"/>
  <c r="H228"/>
  <c r="H230"/>
  <c r="H227"/>
  <c r="G243"/>
  <c r="G242"/>
  <c r="G285" s="1"/>
  <c r="G244"/>
  <c r="J226"/>
  <c r="J227"/>
  <c r="J230"/>
  <c r="J228"/>
  <c r="H240"/>
  <c r="H238"/>
  <c r="H236"/>
  <c r="H237"/>
  <c r="J238"/>
  <c r="J236"/>
  <c r="J240"/>
  <c r="J237"/>
  <c r="I226"/>
  <c r="I228"/>
  <c r="I227"/>
  <c r="I230"/>
  <c r="G231"/>
  <c r="G284" s="1"/>
  <c r="G232"/>
  <c r="G233"/>
  <c r="I236"/>
  <c r="I237"/>
  <c r="I240"/>
  <c r="I238"/>
  <c r="H428" i="16"/>
  <c r="H430"/>
  <c r="H429"/>
  <c r="J427"/>
  <c r="J425"/>
  <c r="J424"/>
  <c r="J423"/>
  <c r="I430"/>
  <c r="I429"/>
  <c r="I428"/>
  <c r="J414"/>
  <c r="J413"/>
  <c r="J412"/>
  <c r="G413"/>
  <c r="G412"/>
  <c r="G414"/>
  <c r="G427"/>
  <c r="G425"/>
  <c r="G424"/>
  <c r="G423"/>
  <c r="F429"/>
  <c r="F428"/>
  <c r="F430"/>
  <c r="G35" i="9"/>
  <c r="F232" i="1"/>
  <c r="F231"/>
  <c r="F284" s="1"/>
  <c r="F233"/>
  <c r="F242"/>
  <c r="F285" s="1"/>
  <c r="F244"/>
  <c r="F243"/>
  <c r="G47" i="4" l="1"/>
  <c r="J243" i="1"/>
  <c r="J242"/>
  <c r="J285" s="1"/>
  <c r="J244"/>
  <c r="J233"/>
  <c r="J231"/>
  <c r="J284" s="1"/>
  <c r="J232"/>
  <c r="G46" i="4"/>
  <c r="G34" i="9" s="1"/>
  <c r="I233" i="1"/>
  <c r="I231"/>
  <c r="I284" s="1"/>
  <c r="I232"/>
  <c r="I243"/>
  <c r="I244"/>
  <c r="I242"/>
  <c r="I285" s="1"/>
  <c r="H244"/>
  <c r="H243"/>
  <c r="H242"/>
  <c r="H285" s="1"/>
  <c r="H232"/>
  <c r="H231"/>
  <c r="H284" s="1"/>
  <c r="H233"/>
  <c r="J430" i="16"/>
  <c r="J429"/>
  <c r="J428"/>
  <c r="G430"/>
  <c r="G429"/>
  <c r="G428"/>
  <c r="H46" i="4"/>
  <c r="H34" i="9" s="1"/>
  <c r="F47" i="4"/>
  <c r="F35" i="9"/>
  <c r="F46" i="4"/>
  <c r="F34" i="9" s="1"/>
  <c r="I35" l="1"/>
  <c r="J35"/>
  <c r="H35"/>
  <c r="I46" i="4"/>
  <c r="I34" i="9" s="1"/>
  <c r="H47" i="4"/>
  <c r="I47"/>
  <c r="J47"/>
  <c r="J46"/>
  <c r="J34" i="9" s="1"/>
  <c r="F116" i="3" l="1"/>
  <c r="F289" i="16" s="1"/>
  <c r="F93" i="1"/>
  <c r="G289" i="16"/>
  <c r="H289" l="1"/>
  <c r="I289"/>
  <c r="J289" l="1"/>
  <c r="F155" i="3" l="1"/>
  <c r="G9" i="16" l="1"/>
  <c r="F150" i="3" l="1"/>
  <c r="F162"/>
  <c r="F130" l="1"/>
  <c r="F159" i="14" s="1"/>
  <c r="H159"/>
  <c r="I159"/>
  <c r="G159"/>
  <c r="J159" l="1"/>
  <c r="F7" i="3"/>
  <c r="G7"/>
  <c r="H7"/>
  <c r="I7"/>
  <c r="J7"/>
  <c r="F8"/>
  <c r="G8"/>
  <c r="H8"/>
  <c r="I8"/>
  <c r="J8"/>
  <c r="F9"/>
  <c r="G9"/>
  <c r="H9"/>
  <c r="I9"/>
  <c r="J9"/>
  <c r="F10"/>
  <c r="G10"/>
  <c r="H10"/>
  <c r="I10"/>
  <c r="J10"/>
  <c r="F11"/>
  <c r="G11"/>
  <c r="H11"/>
  <c r="I11"/>
  <c r="J11"/>
  <c r="F13"/>
  <c r="G13"/>
  <c r="H13"/>
  <c r="I13"/>
  <c r="J13"/>
  <c r="F14"/>
  <c r="G14"/>
  <c r="H14"/>
  <c r="I14"/>
  <c r="J14"/>
  <c r="F15"/>
  <c r="G15"/>
  <c r="H15"/>
  <c r="I15"/>
  <c r="J15"/>
  <c r="F16"/>
  <c r="G16"/>
  <c r="H16"/>
  <c r="I16"/>
  <c r="J16"/>
  <c r="F17"/>
  <c r="G17"/>
  <c r="H17"/>
  <c r="I17"/>
  <c r="J17"/>
  <c r="F19"/>
  <c r="G19"/>
  <c r="H19"/>
  <c r="I19"/>
  <c r="J19"/>
  <c r="F20"/>
  <c r="G20"/>
  <c r="H20"/>
  <c r="I20"/>
  <c r="J20"/>
  <c r="F21"/>
  <c r="G21"/>
  <c r="H21"/>
  <c r="I21"/>
  <c r="J21"/>
  <c r="F22"/>
  <c r="G22"/>
  <c r="H22"/>
  <c r="I22"/>
  <c r="J22"/>
  <c r="F23"/>
  <c r="G23"/>
  <c r="H23"/>
  <c r="I23"/>
  <c r="J23"/>
  <c r="F24"/>
  <c r="G24"/>
  <c r="H24"/>
  <c r="I24"/>
  <c r="J24"/>
  <c r="F28"/>
  <c r="G28"/>
  <c r="H28"/>
  <c r="I28"/>
  <c r="J28"/>
  <c r="F29"/>
  <c r="G29"/>
  <c r="H29"/>
  <c r="I29"/>
  <c r="J29"/>
  <c r="F45"/>
  <c r="G45"/>
  <c r="H45"/>
  <c r="I45"/>
  <c r="J45"/>
  <c r="F50"/>
  <c r="G50"/>
  <c r="H50"/>
  <c r="I50"/>
  <c r="J50"/>
  <c r="F68"/>
  <c r="G68"/>
  <c r="H68"/>
  <c r="I68"/>
  <c r="J68"/>
  <c r="D76"/>
  <c r="F76"/>
  <c r="G76"/>
  <c r="H76"/>
  <c r="I76"/>
  <c r="J76"/>
  <c r="F77"/>
  <c r="G77"/>
  <c r="H77"/>
  <c r="I77"/>
  <c r="J77"/>
  <c r="F78"/>
  <c r="G78"/>
  <c r="H78"/>
  <c r="I78"/>
  <c r="J78"/>
  <c r="F82"/>
  <c r="G82"/>
  <c r="H82"/>
  <c r="I82"/>
  <c r="J82"/>
  <c r="F84"/>
  <c r="G84"/>
  <c r="H84"/>
  <c r="I84"/>
  <c r="J84"/>
  <c r="F85"/>
  <c r="G85"/>
  <c r="H85"/>
  <c r="I85"/>
  <c r="J85"/>
  <c r="F86"/>
  <c r="G86"/>
  <c r="H86"/>
  <c r="I86"/>
  <c r="J86"/>
  <c r="F87"/>
  <c r="G87"/>
  <c r="H87"/>
  <c r="I87"/>
  <c r="J87"/>
  <c r="F88"/>
  <c r="G88"/>
  <c r="H88"/>
  <c r="I88"/>
  <c r="J88"/>
  <c r="F89"/>
  <c r="G89"/>
  <c r="H89"/>
  <c r="I89"/>
  <c r="J89"/>
  <c r="F90"/>
  <c r="G90"/>
  <c r="H90"/>
  <c r="I90"/>
  <c r="J90"/>
  <c r="F96"/>
  <c r="G96"/>
  <c r="H96"/>
  <c r="I96"/>
  <c r="J96"/>
  <c r="F97"/>
  <c r="G97"/>
  <c r="H97"/>
  <c r="I97"/>
  <c r="J97"/>
  <c r="F98"/>
  <c r="G98"/>
  <c r="H98"/>
  <c r="I98"/>
  <c r="J98"/>
  <c r="F99"/>
  <c r="G99"/>
  <c r="H99"/>
  <c r="I99"/>
  <c r="J99"/>
  <c r="F101"/>
  <c r="G101"/>
  <c r="H101"/>
  <c r="I101"/>
  <c r="J101"/>
  <c r="F102"/>
  <c r="G102"/>
  <c r="H102"/>
  <c r="I102"/>
  <c r="J102"/>
  <c r="F103"/>
  <c r="G103"/>
  <c r="H103"/>
  <c r="I103"/>
  <c r="J103"/>
  <c r="F105"/>
  <c r="G105"/>
  <c r="H105"/>
  <c r="I105"/>
  <c r="J105"/>
  <c r="F106"/>
  <c r="G106"/>
  <c r="H106"/>
  <c r="I106"/>
  <c r="J106"/>
  <c r="F107"/>
  <c r="G107"/>
  <c r="H107"/>
  <c r="I107"/>
  <c r="J107"/>
  <c r="F109"/>
  <c r="G109"/>
  <c r="H109"/>
  <c r="I109"/>
  <c r="J109"/>
  <c r="F111"/>
  <c r="G111"/>
  <c r="H111"/>
  <c r="I111"/>
  <c r="J111"/>
  <c r="F112"/>
  <c r="G112"/>
  <c r="H112"/>
  <c r="I112"/>
  <c r="J112"/>
  <c r="F113"/>
  <c r="G113"/>
  <c r="H113"/>
  <c r="I113"/>
  <c r="J113"/>
  <c r="F115"/>
  <c r="G115"/>
  <c r="H115"/>
  <c r="I115"/>
  <c r="J115"/>
  <c r="G116"/>
  <c r="F120"/>
  <c r="G120"/>
  <c r="H120"/>
  <c r="I120"/>
  <c r="J120"/>
  <c r="F121"/>
  <c r="G121"/>
  <c r="H121"/>
  <c r="I121"/>
  <c r="J121"/>
  <c r="F122"/>
  <c r="G122"/>
  <c r="H122"/>
  <c r="I122"/>
  <c r="J122"/>
  <c r="F125"/>
  <c r="G125"/>
  <c r="H125"/>
  <c r="I125"/>
  <c r="J125"/>
  <c r="F127"/>
  <c r="G127"/>
  <c r="H127"/>
  <c r="I127"/>
  <c r="J127"/>
  <c r="F128"/>
  <c r="G128"/>
  <c r="H128"/>
  <c r="I128"/>
  <c r="J128"/>
  <c r="F129"/>
  <c r="G129"/>
  <c r="H129"/>
  <c r="I129"/>
  <c r="J129"/>
  <c r="F131"/>
  <c r="G131"/>
  <c r="H131"/>
  <c r="I131"/>
  <c r="J131"/>
  <c r="F132"/>
  <c r="G132"/>
  <c r="H132"/>
  <c r="I132"/>
  <c r="J132"/>
  <c r="F133"/>
  <c r="G133"/>
  <c r="H133"/>
  <c r="I133"/>
  <c r="J133"/>
  <c r="F135"/>
  <c r="G135"/>
  <c r="H135"/>
  <c r="I135"/>
  <c r="J135"/>
  <c r="F136"/>
  <c r="G136"/>
  <c r="H136"/>
  <c r="I136"/>
  <c r="J136"/>
  <c r="F137"/>
  <c r="G137"/>
  <c r="H137"/>
  <c r="I137"/>
  <c r="J137"/>
  <c r="F140"/>
  <c r="G140"/>
  <c r="H140"/>
  <c r="I140"/>
  <c r="J140"/>
  <c r="F141"/>
  <c r="G141"/>
  <c r="H141"/>
  <c r="I141"/>
  <c r="J141"/>
  <c r="F142"/>
  <c r="G142"/>
  <c r="H142"/>
  <c r="I142"/>
  <c r="J142"/>
  <c r="F143"/>
  <c r="G143"/>
  <c r="H143"/>
  <c r="I143"/>
  <c r="J143"/>
  <c r="F144"/>
  <c r="G144"/>
  <c r="H144"/>
  <c r="I144"/>
  <c r="J144"/>
  <c r="F146"/>
  <c r="G146"/>
  <c r="H146"/>
  <c r="I146"/>
  <c r="J146"/>
  <c r="F147"/>
  <c r="G147"/>
  <c r="H147"/>
  <c r="I147"/>
  <c r="J147"/>
  <c r="F148"/>
  <c r="G148"/>
  <c r="H148"/>
  <c r="I148"/>
  <c r="J148"/>
  <c r="F151"/>
  <c r="G151"/>
  <c r="H151"/>
  <c r="I151"/>
  <c r="J151"/>
  <c r="F152"/>
  <c r="G152"/>
  <c r="H152"/>
  <c r="I152"/>
  <c r="J152"/>
  <c r="F153"/>
  <c r="G153"/>
  <c r="H153"/>
  <c r="I153"/>
  <c r="J153"/>
  <c r="F154"/>
  <c r="G154"/>
  <c r="H154"/>
  <c r="I154"/>
  <c r="J154"/>
  <c r="F156"/>
  <c r="G156"/>
  <c r="H156"/>
  <c r="I156"/>
  <c r="J156"/>
  <c r="F157"/>
  <c r="G157"/>
  <c r="H157"/>
  <c r="I157"/>
  <c r="J157"/>
  <c r="F160"/>
  <c r="G160"/>
  <c r="H160"/>
  <c r="I160"/>
  <c r="J160"/>
  <c r="F161"/>
  <c r="G161"/>
  <c r="H161"/>
  <c r="I161"/>
  <c r="J161"/>
  <c r="F163"/>
  <c r="G163"/>
  <c r="H163"/>
  <c r="I163"/>
  <c r="J163"/>
  <c r="F164"/>
  <c r="G164"/>
  <c r="H164"/>
  <c r="I164"/>
  <c r="J164"/>
  <c r="F168"/>
  <c r="G168"/>
  <c r="H168"/>
  <c r="I168"/>
  <c r="J168"/>
  <c r="F169"/>
  <c r="G169"/>
  <c r="H169"/>
  <c r="I169"/>
  <c r="J169"/>
  <c r="F171"/>
  <c r="G171"/>
  <c r="H171"/>
  <c r="I171"/>
  <c r="J171"/>
  <c r="F172"/>
  <c r="G172"/>
  <c r="H172"/>
  <c r="I172"/>
  <c r="J172"/>
  <c r="F174"/>
  <c r="G174"/>
  <c r="H174"/>
  <c r="I174"/>
  <c r="J174"/>
  <c r="F175"/>
  <c r="G175"/>
  <c r="H175"/>
  <c r="I175"/>
  <c r="J175"/>
  <c r="F181"/>
  <c r="G181"/>
  <c r="H181"/>
  <c r="I181"/>
  <c r="J181"/>
  <c r="F188"/>
  <c r="G188"/>
  <c r="H188"/>
  <c r="I188"/>
  <c r="J188"/>
  <c r="F189"/>
  <c r="G189"/>
  <c r="H189"/>
  <c r="I189"/>
  <c r="J189"/>
  <c r="F190"/>
  <c r="G190"/>
  <c r="H190"/>
  <c r="I190"/>
  <c r="J190"/>
  <c r="F191"/>
  <c r="G191"/>
  <c r="H191"/>
  <c r="I191"/>
  <c r="J191"/>
  <c r="F197"/>
  <c r="G197"/>
  <c r="H197"/>
  <c r="I197"/>
  <c r="J197"/>
  <c r="F198"/>
  <c r="G198"/>
  <c r="H198"/>
  <c r="I198"/>
  <c r="J198"/>
  <c r="F199"/>
  <c r="G199"/>
  <c r="H199"/>
  <c r="I199"/>
  <c r="J199"/>
  <c r="F200"/>
  <c r="G200"/>
  <c r="H200"/>
  <c r="I200"/>
  <c r="J200"/>
  <c r="F201"/>
  <c r="G201"/>
  <c r="H201"/>
  <c r="I201"/>
  <c r="J201"/>
  <c r="F202"/>
  <c r="G202"/>
  <c r="H202"/>
  <c r="I202"/>
  <c r="J202"/>
  <c r="F203"/>
  <c r="G203"/>
  <c r="H203"/>
  <c r="I203"/>
  <c r="J203"/>
  <c r="F8" i="16"/>
  <c r="G8"/>
  <c r="H8"/>
  <c r="I8"/>
  <c r="J8"/>
  <c r="F9"/>
  <c r="H9"/>
  <c r="I9"/>
  <c r="J9"/>
  <c r="F14"/>
  <c r="G14"/>
  <c r="H14"/>
  <c r="I14"/>
  <c r="J14"/>
  <c r="F19"/>
  <c r="G19"/>
  <c r="H19"/>
  <c r="I19"/>
  <c r="J19"/>
  <c r="F20"/>
  <c r="G20"/>
  <c r="H20"/>
  <c r="I20"/>
  <c r="J20"/>
  <c r="F21"/>
  <c r="G21"/>
  <c r="H21"/>
  <c r="I21"/>
  <c r="J21"/>
  <c r="F23"/>
  <c r="G23"/>
  <c r="H23"/>
  <c r="I23"/>
  <c r="J23"/>
  <c r="F24"/>
  <c r="G24"/>
  <c r="H24"/>
  <c r="I24"/>
  <c r="J24"/>
  <c r="F27"/>
  <c r="G27"/>
  <c r="H27"/>
  <c r="I27"/>
  <c r="J27"/>
  <c r="F28"/>
  <c r="G28"/>
  <c r="H28"/>
  <c r="I28"/>
  <c r="J28"/>
  <c r="F29"/>
  <c r="G29"/>
  <c r="H29"/>
  <c r="I29"/>
  <c r="J29"/>
  <c r="F30"/>
  <c r="G30"/>
  <c r="H30"/>
  <c r="I30"/>
  <c r="J30"/>
  <c r="F32"/>
  <c r="G32"/>
  <c r="H32"/>
  <c r="I32"/>
  <c r="J32"/>
  <c r="F33"/>
  <c r="G33"/>
  <c r="H33"/>
  <c r="I33"/>
  <c r="J33"/>
  <c r="F34"/>
  <c r="G34"/>
  <c r="H34"/>
  <c r="I34"/>
  <c r="J34"/>
  <c r="F35"/>
  <c r="G35"/>
  <c r="H35"/>
  <c r="I35"/>
  <c r="J35"/>
  <c r="F36"/>
  <c r="G36"/>
  <c r="H36"/>
  <c r="I36"/>
  <c r="J36"/>
  <c r="F37"/>
  <c r="G37"/>
  <c r="H37"/>
  <c r="I37"/>
  <c r="J37"/>
  <c r="F38"/>
  <c r="G38"/>
  <c r="H38"/>
  <c r="I38"/>
  <c r="J38"/>
  <c r="F41"/>
  <c r="G41"/>
  <c r="H41"/>
  <c r="I41"/>
  <c r="J41"/>
  <c r="F42"/>
  <c r="G42"/>
  <c r="H42"/>
  <c r="I42"/>
  <c r="J42"/>
  <c r="F43"/>
  <c r="G43"/>
  <c r="H43"/>
  <c r="I43"/>
  <c r="J43"/>
  <c r="F44"/>
  <c r="G44"/>
  <c r="H44"/>
  <c r="I44"/>
  <c r="J44"/>
  <c r="F46"/>
  <c r="G46"/>
  <c r="H46"/>
  <c r="I46"/>
  <c r="J46"/>
  <c r="F47"/>
  <c r="G47"/>
  <c r="H47"/>
  <c r="I47"/>
  <c r="J47"/>
  <c r="F48"/>
  <c r="G48"/>
  <c r="H48"/>
  <c r="I48"/>
  <c r="J48"/>
  <c r="F49"/>
  <c r="G49"/>
  <c r="H49"/>
  <c r="I49"/>
  <c r="J49"/>
  <c r="F50"/>
  <c r="G50"/>
  <c r="H50"/>
  <c r="I50"/>
  <c r="J50"/>
  <c r="F52"/>
  <c r="G52"/>
  <c r="H52"/>
  <c r="I52"/>
  <c r="J52"/>
  <c r="F53"/>
  <c r="G53"/>
  <c r="H53"/>
  <c r="I53"/>
  <c r="J53"/>
  <c r="F54"/>
  <c r="G54"/>
  <c r="H54"/>
  <c r="I54"/>
  <c r="J54"/>
  <c r="F55"/>
  <c r="G55"/>
  <c r="H55"/>
  <c r="I55"/>
  <c r="J55"/>
  <c r="F56"/>
  <c r="G56"/>
  <c r="H56"/>
  <c r="I56"/>
  <c r="J56"/>
  <c r="F59"/>
  <c r="G59"/>
  <c r="H59"/>
  <c r="I59"/>
  <c r="J59"/>
  <c r="F60"/>
  <c r="G60"/>
  <c r="H60"/>
  <c r="I60"/>
  <c r="J60"/>
  <c r="F61"/>
  <c r="G61"/>
  <c r="H61"/>
  <c r="I61"/>
  <c r="J61"/>
  <c r="F67"/>
  <c r="G67"/>
  <c r="H67"/>
  <c r="I67"/>
  <c r="J67"/>
  <c r="F68"/>
  <c r="G68"/>
  <c r="H68"/>
  <c r="I68"/>
  <c r="J68"/>
  <c r="F69"/>
  <c r="G69"/>
  <c r="H69"/>
  <c r="I69"/>
  <c r="J69"/>
  <c r="F70"/>
  <c r="G70"/>
  <c r="H70"/>
  <c r="I70"/>
  <c r="J70"/>
  <c r="F71"/>
  <c r="G71"/>
  <c r="H71"/>
  <c r="I71"/>
  <c r="J71"/>
  <c r="F73"/>
  <c r="G73"/>
  <c r="H73"/>
  <c r="I73"/>
  <c r="J73"/>
  <c r="F74"/>
  <c r="G74"/>
  <c r="H74"/>
  <c r="I74"/>
  <c r="J74"/>
  <c r="F75"/>
  <c r="G75"/>
  <c r="H75"/>
  <c r="I75"/>
  <c r="J75"/>
  <c r="F76"/>
  <c r="G76"/>
  <c r="H76"/>
  <c r="I76"/>
  <c r="J76"/>
  <c r="F77"/>
  <c r="G77"/>
  <c r="H77"/>
  <c r="I77"/>
  <c r="J77"/>
  <c r="F80"/>
  <c r="G80"/>
  <c r="H80"/>
  <c r="I80"/>
  <c r="J80"/>
  <c r="F81"/>
  <c r="G81"/>
  <c r="H81"/>
  <c r="I81"/>
  <c r="J81"/>
  <c r="F82"/>
  <c r="G82"/>
  <c r="H82"/>
  <c r="I82"/>
  <c r="J82"/>
  <c r="F83"/>
  <c r="G83"/>
  <c r="H83"/>
  <c r="I83"/>
  <c r="J83"/>
  <c r="F85"/>
  <c r="G85"/>
  <c r="H85"/>
  <c r="I85"/>
  <c r="J85"/>
  <c r="F86"/>
  <c r="G86"/>
  <c r="H86"/>
  <c r="I86"/>
  <c r="J86"/>
  <c r="F87"/>
  <c r="G87"/>
  <c r="H87"/>
  <c r="I87"/>
  <c r="J87"/>
  <c r="F88"/>
  <c r="G88"/>
  <c r="H88"/>
  <c r="I88"/>
  <c r="J88"/>
  <c r="F90"/>
  <c r="G90"/>
  <c r="H90"/>
  <c r="I90"/>
  <c r="J90"/>
  <c r="F91"/>
  <c r="G91"/>
  <c r="H91"/>
  <c r="I91"/>
  <c r="J91"/>
  <c r="F92"/>
  <c r="G92"/>
  <c r="H92"/>
  <c r="I92"/>
  <c r="J92"/>
  <c r="F93"/>
  <c r="G93"/>
  <c r="H93"/>
  <c r="I93"/>
  <c r="J93"/>
  <c r="F95"/>
  <c r="G95"/>
  <c r="H95"/>
  <c r="I95"/>
  <c r="J95"/>
  <c r="F96"/>
  <c r="G96"/>
  <c r="H96"/>
  <c r="I96"/>
  <c r="J96"/>
  <c r="F97"/>
  <c r="G97"/>
  <c r="H97"/>
  <c r="I97"/>
  <c r="J97"/>
  <c r="F98"/>
  <c r="G98"/>
  <c r="H98"/>
  <c r="I98"/>
  <c r="J98"/>
  <c r="F100"/>
  <c r="G100"/>
  <c r="H100"/>
  <c r="I100"/>
  <c r="J100"/>
  <c r="F101"/>
  <c r="G101"/>
  <c r="H101"/>
  <c r="I101"/>
  <c r="J101"/>
  <c r="F102"/>
  <c r="G102"/>
  <c r="H102"/>
  <c r="I102"/>
  <c r="J102"/>
  <c r="F103"/>
  <c r="G103"/>
  <c r="H103"/>
  <c r="I103"/>
  <c r="J103"/>
  <c r="F109"/>
  <c r="G109"/>
  <c r="H109"/>
  <c r="I109"/>
  <c r="J109"/>
  <c r="F110"/>
  <c r="G110"/>
  <c r="H110"/>
  <c r="I110"/>
  <c r="J110"/>
  <c r="F111"/>
  <c r="G111"/>
  <c r="H111"/>
  <c r="I111"/>
  <c r="J111"/>
  <c r="F112"/>
  <c r="G112"/>
  <c r="H112"/>
  <c r="I112"/>
  <c r="J112"/>
  <c r="F113"/>
  <c r="G113"/>
  <c r="H113"/>
  <c r="I113"/>
  <c r="J113"/>
  <c r="F115"/>
  <c r="G115"/>
  <c r="H115"/>
  <c r="I115"/>
  <c r="J115"/>
  <c r="F116"/>
  <c r="G116"/>
  <c r="H116"/>
  <c r="I116"/>
  <c r="J116"/>
  <c r="F117"/>
  <c r="G117"/>
  <c r="H117"/>
  <c r="I117"/>
  <c r="J117"/>
  <c r="F118"/>
  <c r="G118"/>
  <c r="H118"/>
  <c r="I118"/>
  <c r="J118"/>
  <c r="F119"/>
  <c r="G119"/>
  <c r="H119"/>
  <c r="I119"/>
  <c r="J119"/>
  <c r="F122"/>
  <c r="G122"/>
  <c r="H122"/>
  <c r="I122"/>
  <c r="J122"/>
  <c r="F123"/>
  <c r="G123"/>
  <c r="H123"/>
  <c r="I123"/>
  <c r="J123"/>
  <c r="F124"/>
  <c r="G124"/>
  <c r="H124"/>
  <c r="I124"/>
  <c r="J124"/>
  <c r="F125"/>
  <c r="G125"/>
  <c r="H125"/>
  <c r="I125"/>
  <c r="J125"/>
  <c r="F127"/>
  <c r="G127"/>
  <c r="H127"/>
  <c r="I127"/>
  <c r="J127"/>
  <c r="F128"/>
  <c r="G128"/>
  <c r="H128"/>
  <c r="I128"/>
  <c r="J128"/>
  <c r="F129"/>
  <c r="G129"/>
  <c r="H129"/>
  <c r="I129"/>
  <c r="J129"/>
  <c r="F130"/>
  <c r="G130"/>
  <c r="H130"/>
  <c r="I130"/>
  <c r="J130"/>
  <c r="F132"/>
  <c r="G132"/>
  <c r="H132"/>
  <c r="I132"/>
  <c r="J132"/>
  <c r="F133"/>
  <c r="G133"/>
  <c r="H133"/>
  <c r="I133"/>
  <c r="J133"/>
  <c r="F134"/>
  <c r="G134"/>
  <c r="H134"/>
  <c r="I134"/>
  <c r="J134"/>
  <c r="F135"/>
  <c r="G135"/>
  <c r="H135"/>
  <c r="I135"/>
  <c r="J135"/>
  <c r="F137"/>
  <c r="G137"/>
  <c r="H137"/>
  <c r="I137"/>
  <c r="J137"/>
  <c r="F138"/>
  <c r="G138"/>
  <c r="H138"/>
  <c r="I138"/>
  <c r="J138"/>
  <c r="F139"/>
  <c r="G139"/>
  <c r="H139"/>
  <c r="I139"/>
  <c r="J139"/>
  <c r="F140"/>
  <c r="G140"/>
  <c r="H140"/>
  <c r="I140"/>
  <c r="J140"/>
  <c r="F142"/>
  <c r="G142"/>
  <c r="H142"/>
  <c r="I142"/>
  <c r="J142"/>
  <c r="F143"/>
  <c r="G143"/>
  <c r="H143"/>
  <c r="I143"/>
  <c r="J143"/>
  <c r="F144"/>
  <c r="G144"/>
  <c r="H144"/>
  <c r="I144"/>
  <c r="J144"/>
  <c r="F145"/>
  <c r="G145"/>
  <c r="H145"/>
  <c r="I145"/>
  <c r="J145"/>
  <c r="F151"/>
  <c r="G151"/>
  <c r="H151"/>
  <c r="I151"/>
  <c r="J151"/>
  <c r="F152"/>
  <c r="G152"/>
  <c r="H152"/>
  <c r="I152"/>
  <c r="J152"/>
  <c r="F153"/>
  <c r="G153"/>
  <c r="H153"/>
  <c r="I153"/>
  <c r="J153"/>
  <c r="F154"/>
  <c r="G154"/>
  <c r="H154"/>
  <c r="I154"/>
  <c r="J154"/>
  <c r="F155"/>
  <c r="G155"/>
  <c r="H155"/>
  <c r="I155"/>
  <c r="J155"/>
  <c r="F157"/>
  <c r="G157"/>
  <c r="H157"/>
  <c r="I157"/>
  <c r="J157"/>
  <c r="F158"/>
  <c r="G158"/>
  <c r="H158"/>
  <c r="I158"/>
  <c r="J158"/>
  <c r="F159"/>
  <c r="G159"/>
  <c r="H159"/>
  <c r="I159"/>
  <c r="J159"/>
  <c r="F160"/>
  <c r="G160"/>
  <c r="H160"/>
  <c r="I160"/>
  <c r="J160"/>
  <c r="F161"/>
  <c r="G161"/>
  <c r="H161"/>
  <c r="I161"/>
  <c r="J161"/>
  <c r="F164"/>
  <c r="G164"/>
  <c r="H164"/>
  <c r="I164"/>
  <c r="J164"/>
  <c r="F165"/>
  <c r="G165"/>
  <c r="H165"/>
  <c r="I165"/>
  <c r="J165"/>
  <c r="F166"/>
  <c r="G166"/>
  <c r="H166"/>
  <c r="I166"/>
  <c r="J166"/>
  <c r="F167"/>
  <c r="G167"/>
  <c r="H167"/>
  <c r="I167"/>
  <c r="J167"/>
  <c r="F169"/>
  <c r="G169"/>
  <c r="H169"/>
  <c r="I169"/>
  <c r="J169"/>
  <c r="F170"/>
  <c r="G170"/>
  <c r="H170"/>
  <c r="I170"/>
  <c r="J170"/>
  <c r="F171"/>
  <c r="G171"/>
  <c r="H171"/>
  <c r="I171"/>
  <c r="J171"/>
  <c r="F172"/>
  <c r="G172"/>
  <c r="H172"/>
  <c r="I172"/>
  <c r="J172"/>
  <c r="F174"/>
  <c r="G174"/>
  <c r="H174"/>
  <c r="I174"/>
  <c r="J174"/>
  <c r="F175"/>
  <c r="G175"/>
  <c r="H175"/>
  <c r="I175"/>
  <c r="J175"/>
  <c r="F176"/>
  <c r="G176"/>
  <c r="H176"/>
  <c r="I176"/>
  <c r="J176"/>
  <c r="F177"/>
  <c r="G177"/>
  <c r="H177"/>
  <c r="I177"/>
  <c r="J177"/>
  <c r="F179"/>
  <c r="G179"/>
  <c r="H179"/>
  <c r="I179"/>
  <c r="J179"/>
  <c r="F180"/>
  <c r="G180"/>
  <c r="H180"/>
  <c r="I180"/>
  <c r="J180"/>
  <c r="F181"/>
  <c r="G181"/>
  <c r="H181"/>
  <c r="I181"/>
  <c r="J181"/>
  <c r="F182"/>
  <c r="G182"/>
  <c r="H182"/>
  <c r="I182"/>
  <c r="J182"/>
  <c r="F184"/>
  <c r="G184"/>
  <c r="H184"/>
  <c r="I184"/>
  <c r="J184"/>
  <c r="F185"/>
  <c r="G185"/>
  <c r="H185"/>
  <c r="I185"/>
  <c r="J185"/>
  <c r="F186"/>
  <c r="G186"/>
  <c r="H186"/>
  <c r="I186"/>
  <c r="J186"/>
  <c r="F187"/>
  <c r="G187"/>
  <c r="H187"/>
  <c r="I187"/>
  <c r="J187"/>
  <c r="F190"/>
  <c r="G190"/>
  <c r="H190"/>
  <c r="I190"/>
  <c r="J190"/>
  <c r="F191"/>
  <c r="G191"/>
  <c r="H191"/>
  <c r="I191"/>
  <c r="J191"/>
  <c r="F192"/>
  <c r="G192"/>
  <c r="H192"/>
  <c r="I192"/>
  <c r="J192"/>
  <c r="F194"/>
  <c r="G194"/>
  <c r="H194"/>
  <c r="I194"/>
  <c r="J194"/>
  <c r="F195"/>
  <c r="G195"/>
  <c r="H195"/>
  <c r="I195"/>
  <c r="J195"/>
  <c r="F196"/>
  <c r="G196"/>
  <c r="H196"/>
  <c r="I196"/>
  <c r="J196"/>
  <c r="F198"/>
  <c r="G198"/>
  <c r="H198"/>
  <c r="I198"/>
  <c r="J198"/>
  <c r="F199"/>
  <c r="G199"/>
  <c r="H199"/>
  <c r="I199"/>
  <c r="J199"/>
  <c r="F200"/>
  <c r="G200"/>
  <c r="H200"/>
  <c r="I200"/>
  <c r="J200"/>
  <c r="F203"/>
  <c r="G203"/>
  <c r="H203"/>
  <c r="I203"/>
  <c r="J203"/>
  <c r="F204"/>
  <c r="G204"/>
  <c r="H204"/>
  <c r="I204"/>
  <c r="J204"/>
  <c r="F205"/>
  <c r="G205"/>
  <c r="H205"/>
  <c r="I205"/>
  <c r="J205"/>
  <c r="F207"/>
  <c r="G207"/>
  <c r="H207"/>
  <c r="I207"/>
  <c r="J207"/>
  <c r="F208"/>
  <c r="G208"/>
  <c r="H208"/>
  <c r="I208"/>
  <c r="J208"/>
  <c r="F209"/>
  <c r="G209"/>
  <c r="H209"/>
  <c r="I209"/>
  <c r="J209"/>
  <c r="F212"/>
  <c r="G212"/>
  <c r="H212"/>
  <c r="I212"/>
  <c r="J212"/>
  <c r="F214"/>
  <c r="G214"/>
  <c r="H214"/>
  <c r="I214"/>
  <c r="J214"/>
  <c r="F216"/>
  <c r="G216"/>
  <c r="H216"/>
  <c r="I216"/>
  <c r="J216"/>
  <c r="F219"/>
  <c r="G219"/>
  <c r="H219"/>
  <c r="I219"/>
  <c r="J219"/>
  <c r="F220"/>
  <c r="G220"/>
  <c r="H220"/>
  <c r="I220"/>
  <c r="J220"/>
  <c r="F221"/>
  <c r="G221"/>
  <c r="H221"/>
  <c r="I221"/>
  <c r="J221"/>
  <c r="F224"/>
  <c r="G224"/>
  <c r="H224"/>
  <c r="I224"/>
  <c r="J224"/>
  <c r="F225"/>
  <c r="G225"/>
  <c r="H225"/>
  <c r="I225"/>
  <c r="J225"/>
  <c r="F226"/>
  <c r="G226"/>
  <c r="H226"/>
  <c r="I226"/>
  <c r="J226"/>
  <c r="F227"/>
  <c r="G227"/>
  <c r="H227"/>
  <c r="I227"/>
  <c r="J227"/>
  <c r="F229"/>
  <c r="G229"/>
  <c r="H229"/>
  <c r="I229"/>
  <c r="J229"/>
  <c r="F230"/>
  <c r="G230"/>
  <c r="H230"/>
  <c r="I230"/>
  <c r="J230"/>
  <c r="F231"/>
  <c r="G231"/>
  <c r="H231"/>
  <c r="I231"/>
  <c r="J231"/>
  <c r="F232"/>
  <c r="G232"/>
  <c r="H232"/>
  <c r="I232"/>
  <c r="J232"/>
  <c r="F233"/>
  <c r="G233"/>
  <c r="H233"/>
  <c r="I233"/>
  <c r="J233"/>
  <c r="F234"/>
  <c r="G234"/>
  <c r="H234"/>
  <c r="I234"/>
  <c r="J234"/>
  <c r="F236"/>
  <c r="G236"/>
  <c r="H236"/>
  <c r="I236"/>
  <c r="J236"/>
  <c r="F237"/>
  <c r="G237"/>
  <c r="H237"/>
  <c r="I237"/>
  <c r="J237"/>
  <c r="F238"/>
  <c r="G238"/>
  <c r="H238"/>
  <c r="I238"/>
  <c r="J238"/>
  <c r="F239"/>
  <c r="G239"/>
  <c r="H239"/>
  <c r="I239"/>
  <c r="J239"/>
  <c r="F240"/>
  <c r="G240"/>
  <c r="H240"/>
  <c r="I240"/>
  <c r="J240"/>
  <c r="F241"/>
  <c r="G241"/>
  <c r="H241"/>
  <c r="I241"/>
  <c r="J241"/>
  <c r="F242"/>
  <c r="G242"/>
  <c r="H242"/>
  <c r="I242"/>
  <c r="J242"/>
  <c r="F243"/>
  <c r="G243"/>
  <c r="H243"/>
  <c r="I243"/>
  <c r="J243"/>
  <c r="F244"/>
  <c r="G244"/>
  <c r="H244"/>
  <c r="I244"/>
  <c r="J244"/>
  <c r="F245"/>
  <c r="G245"/>
  <c r="H245"/>
  <c r="I245"/>
  <c r="J245"/>
  <c r="F248"/>
  <c r="G248"/>
  <c r="H248"/>
  <c r="I248"/>
  <c r="J248"/>
  <c r="F250"/>
  <c r="G250"/>
  <c r="H250"/>
  <c r="I250"/>
  <c r="J250"/>
  <c r="F252"/>
  <c r="G252"/>
  <c r="H252"/>
  <c r="I252"/>
  <c r="J252"/>
  <c r="F255"/>
  <c r="G255"/>
  <c r="H255"/>
  <c r="I255"/>
  <c r="J255"/>
  <c r="F256"/>
  <c r="G256"/>
  <c r="H256"/>
  <c r="I256"/>
  <c r="J256"/>
  <c r="F257"/>
  <c r="G257"/>
  <c r="H257"/>
  <c r="I257"/>
  <c r="J257"/>
  <c r="F260"/>
  <c r="G260"/>
  <c r="H260"/>
  <c r="I260"/>
  <c r="J260"/>
  <c r="F261"/>
  <c r="G261"/>
  <c r="H261"/>
  <c r="I261"/>
  <c r="J261"/>
  <c r="F262"/>
  <c r="G262"/>
  <c r="H262"/>
  <c r="I262"/>
  <c r="J262"/>
  <c r="F263"/>
  <c r="G263"/>
  <c r="H263"/>
  <c r="I263"/>
  <c r="J263"/>
  <c r="F265"/>
  <c r="G265"/>
  <c r="H265"/>
  <c r="I265"/>
  <c r="J265"/>
  <c r="F266"/>
  <c r="G266"/>
  <c r="H266"/>
  <c r="I266"/>
  <c r="J266"/>
  <c r="F267"/>
  <c r="G267"/>
  <c r="H267"/>
  <c r="I267"/>
  <c r="J267"/>
  <c r="F268"/>
  <c r="G268"/>
  <c r="H268"/>
  <c r="I268"/>
  <c r="J268"/>
  <c r="F269"/>
  <c r="G269"/>
  <c r="H269"/>
  <c r="I269"/>
  <c r="J269"/>
  <c r="F270"/>
  <c r="G270"/>
  <c r="H270"/>
  <c r="I270"/>
  <c r="J270"/>
  <c r="F272"/>
  <c r="G272"/>
  <c r="H272"/>
  <c r="I272"/>
  <c r="J272"/>
  <c r="F273"/>
  <c r="G273"/>
  <c r="H273"/>
  <c r="I273"/>
  <c r="J273"/>
  <c r="F274"/>
  <c r="G274"/>
  <c r="H274"/>
  <c r="I274"/>
  <c r="J274"/>
  <c r="F275"/>
  <c r="G275"/>
  <c r="H275"/>
  <c r="I275"/>
  <c r="J275"/>
  <c r="F276"/>
  <c r="G276"/>
  <c r="H276"/>
  <c r="I276"/>
  <c r="J276"/>
  <c r="F277"/>
  <c r="G277"/>
  <c r="H277"/>
  <c r="I277"/>
  <c r="J277"/>
  <c r="F278"/>
  <c r="G278"/>
  <c r="H278"/>
  <c r="I278"/>
  <c r="J278"/>
  <c r="F279"/>
  <c r="G279"/>
  <c r="H279"/>
  <c r="I279"/>
  <c r="J279"/>
  <c r="F280"/>
  <c r="G280"/>
  <c r="H280"/>
  <c r="I280"/>
  <c r="J280"/>
  <c r="F281"/>
  <c r="G281"/>
  <c r="H281"/>
  <c r="I281"/>
  <c r="J281"/>
  <c r="F285"/>
  <c r="G285"/>
  <c r="H285"/>
  <c r="I285"/>
  <c r="J285"/>
  <c r="F287"/>
  <c r="G287"/>
  <c r="H287"/>
  <c r="I287"/>
  <c r="J287"/>
  <c r="F288"/>
  <c r="G288"/>
  <c r="H288"/>
  <c r="I288"/>
  <c r="J288"/>
  <c r="F290"/>
  <c r="G290"/>
  <c r="H290"/>
  <c r="I290"/>
  <c r="J290"/>
  <c r="F291"/>
  <c r="G291"/>
  <c r="H291"/>
  <c r="I291"/>
  <c r="J291"/>
  <c r="F292"/>
  <c r="G292"/>
  <c r="H292"/>
  <c r="I292"/>
  <c r="J292"/>
  <c r="F293"/>
  <c r="G293"/>
  <c r="H293"/>
  <c r="I293"/>
  <c r="J293"/>
  <c r="F295"/>
  <c r="G295"/>
  <c r="H295"/>
  <c r="I295"/>
  <c r="J295"/>
  <c r="F296"/>
  <c r="G296"/>
  <c r="H296"/>
  <c r="I296"/>
  <c r="J296"/>
  <c r="F297"/>
  <c r="G297"/>
  <c r="H297"/>
  <c r="I297"/>
  <c r="J297"/>
  <c r="F299"/>
  <c r="G299"/>
  <c r="H299"/>
  <c r="I299"/>
  <c r="J299"/>
  <c r="F300"/>
  <c r="G300"/>
  <c r="H300"/>
  <c r="I300"/>
  <c r="J300"/>
  <c r="F301"/>
  <c r="G301"/>
  <c r="H301"/>
  <c r="I301"/>
  <c r="J301"/>
  <c r="F307"/>
  <c r="G307"/>
  <c r="H307"/>
  <c r="I307"/>
  <c r="J307"/>
  <c r="F308"/>
  <c r="G308"/>
  <c r="H308"/>
  <c r="I308"/>
  <c r="J308"/>
  <c r="F309"/>
  <c r="G309"/>
  <c r="H309"/>
  <c r="I309"/>
  <c r="J309"/>
  <c r="F310"/>
  <c r="G310"/>
  <c r="H310"/>
  <c r="I310"/>
  <c r="J310"/>
  <c r="F314"/>
  <c r="G314"/>
  <c r="H314"/>
  <c r="I314"/>
  <c r="J314"/>
  <c r="F315"/>
  <c r="G315"/>
  <c r="H315"/>
  <c r="I315"/>
  <c r="J315"/>
  <c r="F316"/>
  <c r="G316"/>
  <c r="H316"/>
  <c r="I316"/>
  <c r="J316"/>
  <c r="F317"/>
  <c r="G317"/>
  <c r="H317"/>
  <c r="I317"/>
  <c r="J317"/>
  <c r="F319"/>
  <c r="G319"/>
  <c r="H319"/>
  <c r="I319"/>
  <c r="J319"/>
  <c r="F320"/>
  <c r="G320"/>
  <c r="H320"/>
  <c r="I320"/>
  <c r="J320"/>
  <c r="F321"/>
  <c r="G321"/>
  <c r="H321"/>
  <c r="I321"/>
  <c r="J321"/>
  <c r="F322"/>
  <c r="G322"/>
  <c r="H322"/>
  <c r="I322"/>
  <c r="J322"/>
  <c r="F325"/>
  <c r="G325"/>
  <c r="H325"/>
  <c r="I325"/>
  <c r="J325"/>
  <c r="F326"/>
  <c r="G326"/>
  <c r="H326"/>
  <c r="I326"/>
  <c r="J326"/>
  <c r="F327"/>
  <c r="G327"/>
  <c r="H327"/>
  <c r="I327"/>
  <c r="J327"/>
  <c r="F328"/>
  <c r="G328"/>
  <c r="H328"/>
  <c r="I328"/>
  <c r="J328"/>
  <c r="F329"/>
  <c r="G329"/>
  <c r="H329"/>
  <c r="I329"/>
  <c r="J329"/>
  <c r="F331"/>
  <c r="G331"/>
  <c r="H331"/>
  <c r="I331"/>
  <c r="J331"/>
  <c r="F332"/>
  <c r="G332"/>
  <c r="H332"/>
  <c r="I332"/>
  <c r="J332"/>
  <c r="F333"/>
  <c r="G333"/>
  <c r="H333"/>
  <c r="I333"/>
  <c r="J333"/>
  <c r="F334"/>
  <c r="G334"/>
  <c r="H334"/>
  <c r="I334"/>
  <c r="J334"/>
  <c r="F335"/>
  <c r="G335"/>
  <c r="H335"/>
  <c r="I335"/>
  <c r="J335"/>
  <c r="F337"/>
  <c r="G337"/>
  <c r="H337"/>
  <c r="I337"/>
  <c r="J337"/>
  <c r="F338"/>
  <c r="G338"/>
  <c r="H338"/>
  <c r="I338"/>
  <c r="J338"/>
  <c r="F339"/>
  <c r="G339"/>
  <c r="H339"/>
  <c r="I339"/>
  <c r="J339"/>
  <c r="F340"/>
  <c r="G340"/>
  <c r="H340"/>
  <c r="I340"/>
  <c r="J340"/>
  <c r="F343"/>
  <c r="G343"/>
  <c r="H343"/>
  <c r="I343"/>
  <c r="J343"/>
  <c r="F344"/>
  <c r="G344"/>
  <c r="H344"/>
  <c r="I344"/>
  <c r="J344"/>
  <c r="F345"/>
  <c r="G345"/>
  <c r="H345"/>
  <c r="I345"/>
  <c r="J345"/>
  <c r="F346"/>
  <c r="G346"/>
  <c r="H346"/>
  <c r="I346"/>
  <c r="J346"/>
  <c r="F348"/>
  <c r="G348"/>
  <c r="H348"/>
  <c r="I348"/>
  <c r="J348"/>
  <c r="F349"/>
  <c r="G349"/>
  <c r="H349"/>
  <c r="I349"/>
  <c r="J349"/>
  <c r="F350"/>
  <c r="G350"/>
  <c r="H350"/>
  <c r="I350"/>
  <c r="J350"/>
  <c r="F351"/>
  <c r="G351"/>
  <c r="H351"/>
  <c r="I351"/>
  <c r="J351"/>
  <c r="F353"/>
  <c r="G353"/>
  <c r="H353"/>
  <c r="I353"/>
  <c r="J353"/>
  <c r="F354"/>
  <c r="G354"/>
  <c r="H354"/>
  <c r="I354"/>
  <c r="J354"/>
  <c r="F355"/>
  <c r="G355"/>
  <c r="H355"/>
  <c r="I355"/>
  <c r="J355"/>
  <c r="F356"/>
  <c r="G356"/>
  <c r="H356"/>
  <c r="I356"/>
  <c r="J356"/>
  <c r="F358"/>
  <c r="G358"/>
  <c r="H358"/>
  <c r="I358"/>
  <c r="J358"/>
  <c r="F359"/>
  <c r="G359"/>
  <c r="H359"/>
  <c r="I359"/>
  <c r="J359"/>
  <c r="F360"/>
  <c r="G360"/>
  <c r="H360"/>
  <c r="I360"/>
  <c r="J360"/>
  <c r="F361"/>
  <c r="G361"/>
  <c r="H361"/>
  <c r="I361"/>
  <c r="J361"/>
  <c r="F363"/>
  <c r="G363"/>
  <c r="H363"/>
  <c r="I363"/>
  <c r="J363"/>
  <c r="F364"/>
  <c r="G364"/>
  <c r="H364"/>
  <c r="I364"/>
  <c r="J364"/>
  <c r="F365"/>
  <c r="G365"/>
  <c r="H365"/>
  <c r="I365"/>
  <c r="J365"/>
  <c r="F366"/>
  <c r="G366"/>
  <c r="H366"/>
  <c r="I366"/>
  <c r="J366"/>
  <c r="F368"/>
  <c r="G368"/>
  <c r="H368"/>
  <c r="I368"/>
  <c r="J368"/>
  <c r="F369"/>
  <c r="G369"/>
  <c r="H369"/>
  <c r="I369"/>
  <c r="J369"/>
  <c r="F370"/>
  <c r="G370"/>
  <c r="H370"/>
  <c r="I370"/>
  <c r="J370"/>
  <c r="F371"/>
  <c r="G371"/>
  <c r="H371"/>
  <c r="I371"/>
  <c r="J371"/>
  <c r="F375"/>
  <c r="G375"/>
  <c r="H375"/>
  <c r="I375"/>
  <c r="J375"/>
  <c r="F377"/>
  <c r="G377"/>
  <c r="H377"/>
  <c r="I377"/>
  <c r="J377"/>
  <c r="F395"/>
  <c r="G395"/>
  <c r="H395"/>
  <c r="I395"/>
  <c r="J395"/>
  <c r="F396"/>
  <c r="G396"/>
  <c r="H396"/>
  <c r="I396"/>
  <c r="J396"/>
  <c r="F397"/>
  <c r="G397"/>
  <c r="H397"/>
  <c r="I397"/>
  <c r="J397"/>
  <c r="F398"/>
  <c r="G398"/>
  <c r="H398"/>
  <c r="I398"/>
  <c r="J398"/>
  <c r="F401"/>
  <c r="G401"/>
  <c r="H401"/>
  <c r="I401"/>
  <c r="J401"/>
  <c r="F403"/>
  <c r="G403"/>
  <c r="H403"/>
  <c r="I403"/>
  <c r="J403"/>
  <c r="F404"/>
  <c r="G404"/>
  <c r="H404"/>
  <c r="I404"/>
  <c r="J404"/>
  <c r="F432"/>
  <c r="G432"/>
  <c r="H432"/>
  <c r="I432"/>
  <c r="J432"/>
  <c r="F433"/>
  <c r="G433"/>
  <c r="H433"/>
  <c r="I433"/>
  <c r="J433"/>
  <c r="F434"/>
  <c r="G434"/>
  <c r="H434"/>
  <c r="I434"/>
  <c r="J434"/>
  <c r="F435"/>
  <c r="G435"/>
  <c r="H435"/>
  <c r="I435"/>
  <c r="J435"/>
  <c r="F437"/>
  <c r="G437"/>
  <c r="H437"/>
  <c r="I437"/>
  <c r="J437"/>
  <c r="F438"/>
  <c r="G438"/>
  <c r="H438"/>
  <c r="I438"/>
  <c r="J438"/>
  <c r="F439"/>
  <c r="G439"/>
  <c r="H439"/>
  <c r="I439"/>
  <c r="J439"/>
  <c r="F442"/>
  <c r="G442"/>
  <c r="H442"/>
  <c r="I442"/>
  <c r="J442"/>
  <c r="F443"/>
  <c r="G443"/>
  <c r="H443"/>
  <c r="I443"/>
  <c r="J443"/>
  <c r="F444"/>
  <c r="G444"/>
  <c r="H444"/>
  <c r="I444"/>
  <c r="J444"/>
  <c r="F447"/>
  <c r="G447"/>
  <c r="H447"/>
  <c r="I447"/>
  <c r="J447"/>
  <c r="F449"/>
  <c r="G449"/>
  <c r="H449"/>
  <c r="I449"/>
  <c r="J449"/>
  <c r="F451"/>
  <c r="G451"/>
  <c r="H451"/>
  <c r="I451"/>
  <c r="J451"/>
  <c r="F454"/>
  <c r="G454"/>
  <c r="H454"/>
  <c r="I454"/>
  <c r="J454"/>
  <c r="F455"/>
  <c r="G455"/>
  <c r="H455"/>
  <c r="I455"/>
  <c r="J455"/>
  <c r="F456"/>
  <c r="G456"/>
  <c r="H456"/>
  <c r="I456"/>
  <c r="J456"/>
  <c r="F459"/>
  <c r="G459"/>
  <c r="H459"/>
  <c r="I459"/>
  <c r="J459"/>
  <c r="F460"/>
  <c r="G460"/>
  <c r="H460"/>
  <c r="I460"/>
  <c r="J460"/>
  <c r="F461"/>
  <c r="G461"/>
  <c r="H461"/>
  <c r="I461"/>
  <c r="J461"/>
  <c r="F462"/>
  <c r="G462"/>
  <c r="H462"/>
  <c r="I462"/>
  <c r="J462"/>
  <c r="F464"/>
  <c r="G464"/>
  <c r="H464"/>
  <c r="I464"/>
  <c r="J464"/>
  <c r="F465"/>
  <c r="G465"/>
  <c r="H465"/>
  <c r="I465"/>
  <c r="J465"/>
  <c r="F466"/>
  <c r="G466"/>
  <c r="H466"/>
  <c r="I466"/>
  <c r="J466"/>
  <c r="F467"/>
  <c r="G467"/>
  <c r="H467"/>
  <c r="I467"/>
  <c r="J467"/>
  <c r="F468"/>
  <c r="G468"/>
  <c r="H468"/>
  <c r="I468"/>
  <c r="J468"/>
  <c r="F469"/>
  <c r="G469"/>
  <c r="H469"/>
  <c r="I469"/>
  <c r="J469"/>
  <c r="F471"/>
  <c r="G471"/>
  <c r="H471"/>
  <c r="I471"/>
  <c r="J471"/>
  <c r="F472"/>
  <c r="G472"/>
  <c r="H472"/>
  <c r="I472"/>
  <c r="J472"/>
  <c r="F473"/>
  <c r="G473"/>
  <c r="H473"/>
  <c r="I473"/>
  <c r="J473"/>
  <c r="F474"/>
  <c r="G474"/>
  <c r="H474"/>
  <c r="I474"/>
  <c r="J474"/>
  <c r="F475"/>
  <c r="G475"/>
  <c r="H475"/>
  <c r="I475"/>
  <c r="J475"/>
  <c r="F476"/>
  <c r="G476"/>
  <c r="H476"/>
  <c r="I476"/>
  <c r="J476"/>
  <c r="F477"/>
  <c r="G477"/>
  <c r="H477"/>
  <c r="I477"/>
  <c r="J477"/>
  <c r="F478"/>
  <c r="G478"/>
  <c r="H478"/>
  <c r="I478"/>
  <c r="J478"/>
  <c r="F479"/>
  <c r="G479"/>
  <c r="H479"/>
  <c r="I479"/>
  <c r="J479"/>
  <c r="F480"/>
  <c r="G480"/>
  <c r="H480"/>
  <c r="I480"/>
  <c r="J480"/>
  <c r="F481"/>
  <c r="G481"/>
  <c r="H481"/>
  <c r="I481"/>
  <c r="J481"/>
  <c r="F7" i="1"/>
  <c r="G7"/>
  <c r="H7"/>
  <c r="I7"/>
  <c r="J7"/>
  <c r="F10"/>
  <c r="G10"/>
  <c r="H10"/>
  <c r="I10"/>
  <c r="J10"/>
  <c r="F11"/>
  <c r="G11"/>
  <c r="H11"/>
  <c r="I11"/>
  <c r="J11"/>
  <c r="F12"/>
  <c r="G12"/>
  <c r="H12"/>
  <c r="I12"/>
  <c r="J12"/>
  <c r="F13"/>
  <c r="G13"/>
  <c r="H13"/>
  <c r="I13"/>
  <c r="J13"/>
  <c r="F14"/>
  <c r="G14"/>
  <c r="H14"/>
  <c r="I14"/>
  <c r="J14"/>
  <c r="F18"/>
  <c r="G18"/>
  <c r="H18"/>
  <c r="I18"/>
  <c r="J18"/>
  <c r="F19"/>
  <c r="G19"/>
  <c r="H19"/>
  <c r="I19"/>
  <c r="J19"/>
  <c r="F20"/>
  <c r="G20"/>
  <c r="H20"/>
  <c r="I20"/>
  <c r="J20"/>
  <c r="F21"/>
  <c r="G21"/>
  <c r="H21"/>
  <c r="I21"/>
  <c r="J21"/>
  <c r="F22"/>
  <c r="G22"/>
  <c r="H22"/>
  <c r="I22"/>
  <c r="J22"/>
  <c r="F24"/>
  <c r="G24"/>
  <c r="H24"/>
  <c r="I24"/>
  <c r="J24"/>
  <c r="F25"/>
  <c r="G25"/>
  <c r="H25"/>
  <c r="I25"/>
  <c r="J25"/>
  <c r="F26"/>
  <c r="G26"/>
  <c r="H26"/>
  <c r="I26"/>
  <c r="J26"/>
  <c r="F27"/>
  <c r="G27"/>
  <c r="H27"/>
  <c r="I27"/>
  <c r="J27"/>
  <c r="F28"/>
  <c r="G28"/>
  <c r="H28"/>
  <c r="I28"/>
  <c r="J28"/>
  <c r="F29"/>
  <c r="G29"/>
  <c r="H29"/>
  <c r="I29"/>
  <c r="J29"/>
  <c r="F30"/>
  <c r="G30"/>
  <c r="H30"/>
  <c r="I30"/>
  <c r="J30"/>
  <c r="F31"/>
  <c r="G31"/>
  <c r="H31"/>
  <c r="I31"/>
  <c r="J31"/>
  <c r="F32"/>
  <c r="G32"/>
  <c r="H32"/>
  <c r="I32"/>
  <c r="J32"/>
  <c r="F35"/>
  <c r="G35"/>
  <c r="H35"/>
  <c r="I35"/>
  <c r="J35"/>
  <c r="F36"/>
  <c r="G36"/>
  <c r="H36"/>
  <c r="I36"/>
  <c r="J36"/>
  <c r="F37"/>
  <c r="G37"/>
  <c r="H37"/>
  <c r="I37"/>
  <c r="J37"/>
  <c r="F38"/>
  <c r="G38"/>
  <c r="H38"/>
  <c r="I38"/>
  <c r="J38"/>
  <c r="F40"/>
  <c r="G40"/>
  <c r="H40"/>
  <c r="I40"/>
  <c r="J40"/>
  <c r="F41"/>
  <c r="G41"/>
  <c r="H41"/>
  <c r="I41"/>
  <c r="J41"/>
  <c r="F42"/>
  <c r="G42"/>
  <c r="H42"/>
  <c r="I42"/>
  <c r="J42"/>
  <c r="F43"/>
  <c r="G43"/>
  <c r="H43"/>
  <c r="I43"/>
  <c r="J43"/>
  <c r="F44"/>
  <c r="G44"/>
  <c r="H44"/>
  <c r="I44"/>
  <c r="J44"/>
  <c r="F45"/>
  <c r="G45"/>
  <c r="H45"/>
  <c r="I45"/>
  <c r="J45"/>
  <c r="F46"/>
  <c r="G46"/>
  <c r="H46"/>
  <c r="I46"/>
  <c r="J46"/>
  <c r="F51"/>
  <c r="G51"/>
  <c r="H51"/>
  <c r="I51"/>
  <c r="J51"/>
  <c r="F52"/>
  <c r="G52"/>
  <c r="H52"/>
  <c r="I52"/>
  <c r="J52"/>
  <c r="F55"/>
  <c r="G55"/>
  <c r="H55"/>
  <c r="I55"/>
  <c r="J55"/>
  <c r="F56"/>
  <c r="G56"/>
  <c r="H56"/>
  <c r="I56"/>
  <c r="J56"/>
  <c r="F57"/>
  <c r="G57"/>
  <c r="H57"/>
  <c r="I57"/>
  <c r="J57"/>
  <c r="F58"/>
  <c r="G58"/>
  <c r="H58"/>
  <c r="I58"/>
  <c r="J58"/>
  <c r="F60"/>
  <c r="G60"/>
  <c r="H60"/>
  <c r="I60"/>
  <c r="J60"/>
  <c r="F61"/>
  <c r="G61"/>
  <c r="H61"/>
  <c r="I61"/>
  <c r="J61"/>
  <c r="F62"/>
  <c r="G62"/>
  <c r="H62"/>
  <c r="I62"/>
  <c r="J62"/>
  <c r="F63"/>
  <c r="G63"/>
  <c r="H63"/>
  <c r="I63"/>
  <c r="J63"/>
  <c r="F64"/>
  <c r="G64"/>
  <c r="H64"/>
  <c r="I64"/>
  <c r="J64"/>
  <c r="F65"/>
  <c r="G65"/>
  <c r="H65"/>
  <c r="I65"/>
  <c r="J65"/>
  <c r="F68"/>
  <c r="G68"/>
  <c r="H68"/>
  <c r="I68"/>
  <c r="J68"/>
  <c r="F69"/>
  <c r="G69"/>
  <c r="H69"/>
  <c r="I69"/>
  <c r="J69"/>
  <c r="F70"/>
  <c r="G70"/>
  <c r="H70"/>
  <c r="I70"/>
  <c r="J70"/>
  <c r="F73"/>
  <c r="G73"/>
  <c r="H73"/>
  <c r="I73"/>
  <c r="J73"/>
  <c r="F74"/>
  <c r="G74"/>
  <c r="H74"/>
  <c r="I74"/>
  <c r="J74"/>
  <c r="F75"/>
  <c r="G75"/>
  <c r="H75"/>
  <c r="I75"/>
  <c r="J75"/>
  <c r="F76"/>
  <c r="G76"/>
  <c r="H76"/>
  <c r="I76"/>
  <c r="J76"/>
  <c r="F78"/>
  <c r="G78"/>
  <c r="H78"/>
  <c r="I78"/>
  <c r="J78"/>
  <c r="F79"/>
  <c r="G79"/>
  <c r="H79"/>
  <c r="I79"/>
  <c r="J79"/>
  <c r="F80"/>
  <c r="G80"/>
  <c r="H80"/>
  <c r="I80"/>
  <c r="J80"/>
  <c r="F81"/>
  <c r="G81"/>
  <c r="H81"/>
  <c r="I81"/>
  <c r="J81"/>
  <c r="F82"/>
  <c r="G82"/>
  <c r="H82"/>
  <c r="I82"/>
  <c r="J82"/>
  <c r="F83"/>
  <c r="G83"/>
  <c r="H83"/>
  <c r="I83"/>
  <c r="J83"/>
  <c r="F84"/>
  <c r="G84"/>
  <c r="H84"/>
  <c r="I84"/>
  <c r="J84"/>
  <c r="F85"/>
  <c r="G85"/>
  <c r="H85"/>
  <c r="I85"/>
  <c r="J85"/>
  <c r="F86"/>
  <c r="G86"/>
  <c r="H86"/>
  <c r="I86"/>
  <c r="J86"/>
  <c r="F87"/>
  <c r="G87"/>
  <c r="H87"/>
  <c r="I87"/>
  <c r="J87"/>
  <c r="F88"/>
  <c r="G88"/>
  <c r="H88"/>
  <c r="I88"/>
  <c r="J88"/>
  <c r="F89"/>
  <c r="G89"/>
  <c r="H89"/>
  <c r="I89"/>
  <c r="J89"/>
  <c r="F91"/>
  <c r="G91"/>
  <c r="H91"/>
  <c r="I91"/>
  <c r="J91"/>
  <c r="F92"/>
  <c r="G92"/>
  <c r="H92"/>
  <c r="I92"/>
  <c r="J92"/>
  <c r="G93"/>
  <c r="F94"/>
  <c r="G94"/>
  <c r="H94"/>
  <c r="I94"/>
  <c r="J94"/>
  <c r="F95"/>
  <c r="G95"/>
  <c r="H95"/>
  <c r="I95"/>
  <c r="J95"/>
  <c r="F96"/>
  <c r="G96"/>
  <c r="H96"/>
  <c r="I96"/>
  <c r="J96"/>
  <c r="F97"/>
  <c r="G97"/>
  <c r="H97"/>
  <c r="I97"/>
  <c r="J97"/>
  <c r="F99"/>
  <c r="G99"/>
  <c r="H99"/>
  <c r="I99"/>
  <c r="J99"/>
  <c r="F100"/>
  <c r="G100"/>
  <c r="H100"/>
  <c r="I100"/>
  <c r="J100"/>
  <c r="F101"/>
  <c r="G101"/>
  <c r="H101"/>
  <c r="I101"/>
  <c r="J101"/>
  <c r="F105"/>
  <c r="G105"/>
  <c r="H105"/>
  <c r="I105"/>
  <c r="J105"/>
  <c r="F106"/>
  <c r="G106"/>
  <c r="H106"/>
  <c r="I106"/>
  <c r="J106"/>
  <c r="F107"/>
  <c r="G107"/>
  <c r="H107"/>
  <c r="I107"/>
  <c r="J107"/>
  <c r="F117"/>
  <c r="G117"/>
  <c r="H117"/>
  <c r="I117"/>
  <c r="J117"/>
  <c r="F120"/>
  <c r="G120"/>
  <c r="H120"/>
  <c r="I120"/>
  <c r="J120"/>
  <c r="F126"/>
  <c r="G126"/>
  <c r="H126"/>
  <c r="I126"/>
  <c r="J126"/>
  <c r="F127"/>
  <c r="G127"/>
  <c r="H127"/>
  <c r="I127"/>
  <c r="J127"/>
  <c r="F128"/>
  <c r="G128"/>
  <c r="H128"/>
  <c r="I128"/>
  <c r="J128"/>
  <c r="F129"/>
  <c r="G129"/>
  <c r="H129"/>
  <c r="I129"/>
  <c r="J129"/>
  <c r="F133"/>
  <c r="G133"/>
  <c r="H133"/>
  <c r="I133"/>
  <c r="J133"/>
  <c r="F134"/>
  <c r="G134"/>
  <c r="H134"/>
  <c r="I134"/>
  <c r="J134"/>
  <c r="F135"/>
  <c r="G135"/>
  <c r="H135"/>
  <c r="I135"/>
  <c r="J135"/>
  <c r="F136"/>
  <c r="G136"/>
  <c r="H136"/>
  <c r="I136"/>
  <c r="J136"/>
  <c r="F138"/>
  <c r="G138"/>
  <c r="H138"/>
  <c r="I138"/>
  <c r="J138"/>
  <c r="F139"/>
  <c r="G139"/>
  <c r="H139"/>
  <c r="I139"/>
  <c r="J139"/>
  <c r="F140"/>
  <c r="G140"/>
  <c r="H140"/>
  <c r="I140"/>
  <c r="J140"/>
  <c r="F141"/>
  <c r="G141"/>
  <c r="H141"/>
  <c r="I141"/>
  <c r="J141"/>
  <c r="F144"/>
  <c r="G144"/>
  <c r="H144"/>
  <c r="I144"/>
  <c r="J144"/>
  <c r="F145"/>
  <c r="G145"/>
  <c r="H145"/>
  <c r="I145"/>
  <c r="J145"/>
  <c r="F146"/>
  <c r="G146"/>
  <c r="H146"/>
  <c r="I146"/>
  <c r="J146"/>
  <c r="F147"/>
  <c r="G147"/>
  <c r="H147"/>
  <c r="I147"/>
  <c r="J147"/>
  <c r="F148"/>
  <c r="G148"/>
  <c r="H148"/>
  <c r="I148"/>
  <c r="J148"/>
  <c r="F150"/>
  <c r="G150"/>
  <c r="H150"/>
  <c r="I150"/>
  <c r="J150"/>
  <c r="F151"/>
  <c r="G151"/>
  <c r="H151"/>
  <c r="I151"/>
  <c r="J151"/>
  <c r="F152"/>
  <c r="G152"/>
  <c r="H152"/>
  <c r="I152"/>
  <c r="J152"/>
  <c r="F153"/>
  <c r="G153"/>
  <c r="H153"/>
  <c r="I153"/>
  <c r="J153"/>
  <c r="F154"/>
  <c r="G154"/>
  <c r="H154"/>
  <c r="I154"/>
  <c r="J154"/>
  <c r="F156"/>
  <c r="G156"/>
  <c r="H156"/>
  <c r="I156"/>
  <c r="J156"/>
  <c r="F157"/>
  <c r="G157"/>
  <c r="H157"/>
  <c r="I157"/>
  <c r="J157"/>
  <c r="F158"/>
  <c r="G158"/>
  <c r="H158"/>
  <c r="I158"/>
  <c r="J158"/>
  <c r="F159"/>
  <c r="G159"/>
  <c r="H159"/>
  <c r="I159"/>
  <c r="J159"/>
  <c r="F162"/>
  <c r="G162"/>
  <c r="H162"/>
  <c r="I162"/>
  <c r="J162"/>
  <c r="F163"/>
  <c r="G163"/>
  <c r="H163"/>
  <c r="I163"/>
  <c r="J163"/>
  <c r="F164"/>
  <c r="G164"/>
  <c r="H164"/>
  <c r="I164"/>
  <c r="J164"/>
  <c r="F165"/>
  <c r="G165"/>
  <c r="H165"/>
  <c r="I165"/>
  <c r="J165"/>
  <c r="F167"/>
  <c r="G167"/>
  <c r="H167"/>
  <c r="I167"/>
  <c r="J167"/>
  <c r="F168"/>
  <c r="G168"/>
  <c r="H168"/>
  <c r="I168"/>
  <c r="J168"/>
  <c r="F169"/>
  <c r="G169"/>
  <c r="H169"/>
  <c r="I169"/>
  <c r="J169"/>
  <c r="F170"/>
  <c r="G170"/>
  <c r="H170"/>
  <c r="I170"/>
  <c r="J170"/>
  <c r="F172"/>
  <c r="G172"/>
  <c r="H172"/>
  <c r="I172"/>
  <c r="J172"/>
  <c r="F173"/>
  <c r="G173"/>
  <c r="H173"/>
  <c r="I173"/>
  <c r="J173"/>
  <c r="F174"/>
  <c r="G174"/>
  <c r="H174"/>
  <c r="I174"/>
  <c r="J174"/>
  <c r="F175"/>
  <c r="G175"/>
  <c r="H175"/>
  <c r="I175"/>
  <c r="J175"/>
  <c r="F177"/>
  <c r="G177"/>
  <c r="H177"/>
  <c r="I177"/>
  <c r="J177"/>
  <c r="F178"/>
  <c r="G178"/>
  <c r="H178"/>
  <c r="I178"/>
  <c r="J178"/>
  <c r="F179"/>
  <c r="G179"/>
  <c r="H179"/>
  <c r="I179"/>
  <c r="J179"/>
  <c r="F180"/>
  <c r="G180"/>
  <c r="H180"/>
  <c r="I180"/>
  <c r="J180"/>
  <c r="F182"/>
  <c r="G182"/>
  <c r="H182"/>
  <c r="I182"/>
  <c r="J182"/>
  <c r="F183"/>
  <c r="G183"/>
  <c r="H183"/>
  <c r="I183"/>
  <c r="J183"/>
  <c r="F184"/>
  <c r="G184"/>
  <c r="H184"/>
  <c r="I184"/>
  <c r="J184"/>
  <c r="F185"/>
  <c r="G185"/>
  <c r="H185"/>
  <c r="I185"/>
  <c r="J185"/>
  <c r="F187"/>
  <c r="G187"/>
  <c r="H187"/>
  <c r="I187"/>
  <c r="J187"/>
  <c r="F188"/>
  <c r="G188"/>
  <c r="H188"/>
  <c r="I188"/>
  <c r="J188"/>
  <c r="F189"/>
  <c r="G189"/>
  <c r="H189"/>
  <c r="I189"/>
  <c r="J189"/>
  <c r="F190"/>
  <c r="G190"/>
  <c r="H190"/>
  <c r="I190"/>
  <c r="J190"/>
  <c r="F194"/>
  <c r="G194"/>
  <c r="H194"/>
  <c r="I194"/>
  <c r="J194"/>
  <c r="F196"/>
  <c r="G196"/>
  <c r="H196"/>
  <c r="I196"/>
  <c r="J196"/>
  <c r="F214"/>
  <c r="G214"/>
  <c r="H214"/>
  <c r="I214"/>
  <c r="J214"/>
  <c r="F215"/>
  <c r="G215"/>
  <c r="H215"/>
  <c r="I215"/>
  <c r="J215"/>
  <c r="F216"/>
  <c r="G216"/>
  <c r="H216"/>
  <c r="I216"/>
  <c r="J216"/>
  <c r="F217"/>
  <c r="G217"/>
  <c r="H217"/>
  <c r="I217"/>
  <c r="J217"/>
  <c r="F220"/>
  <c r="G220"/>
  <c r="H220"/>
  <c r="I220"/>
  <c r="J220"/>
  <c r="F222"/>
  <c r="G222"/>
  <c r="H222"/>
  <c r="I222"/>
  <c r="J222"/>
  <c r="F223"/>
  <c r="G223"/>
  <c r="H223"/>
  <c r="I223"/>
  <c r="J223"/>
  <c r="F251"/>
  <c r="G251"/>
  <c r="H251"/>
  <c r="I251"/>
  <c r="J251"/>
  <c r="F252"/>
  <c r="G252"/>
  <c r="H252"/>
  <c r="I252"/>
  <c r="J252"/>
  <c r="F253"/>
  <c r="G253"/>
  <c r="H253"/>
  <c r="I253"/>
  <c r="J253"/>
  <c r="F254"/>
  <c r="G254"/>
  <c r="H254"/>
  <c r="I254"/>
  <c r="J254"/>
  <c r="F256"/>
  <c r="G256"/>
  <c r="H256"/>
  <c r="I256"/>
  <c r="J256"/>
  <c r="F257"/>
  <c r="G257"/>
  <c r="H257"/>
  <c r="I257"/>
  <c r="J257"/>
  <c r="F258"/>
  <c r="G258"/>
  <c r="H258"/>
  <c r="I258"/>
  <c r="J258"/>
  <c r="F261"/>
  <c r="G261"/>
  <c r="H261"/>
  <c r="I261"/>
  <c r="J261"/>
  <c r="F262"/>
  <c r="G262"/>
  <c r="H262"/>
  <c r="I262"/>
  <c r="J262"/>
  <c r="F263"/>
  <c r="G263"/>
  <c r="H263"/>
  <c r="I263"/>
  <c r="J263"/>
  <c r="F268"/>
  <c r="G268"/>
  <c r="H268"/>
  <c r="I268"/>
  <c r="J268"/>
  <c r="F269"/>
  <c r="G269"/>
  <c r="H269"/>
  <c r="I269"/>
  <c r="J269"/>
  <c r="F270"/>
  <c r="G270"/>
  <c r="H270"/>
  <c r="I270"/>
  <c r="J270"/>
  <c r="F271"/>
  <c r="G271"/>
  <c r="H271"/>
  <c r="I271"/>
  <c r="J271"/>
  <c r="F272"/>
  <c r="G272"/>
  <c r="H272"/>
  <c r="I272"/>
  <c r="J272"/>
  <c r="F273"/>
  <c r="G273"/>
  <c r="H273"/>
  <c r="I273"/>
  <c r="J273"/>
  <c r="F274"/>
  <c r="G274"/>
  <c r="H274"/>
  <c r="I274"/>
  <c r="J274"/>
  <c r="F275"/>
  <c r="G275"/>
  <c r="H275"/>
  <c r="I275"/>
  <c r="J275"/>
  <c r="F276"/>
  <c r="G276"/>
  <c r="H276"/>
  <c r="I276"/>
  <c r="J276"/>
  <c r="F277"/>
  <c r="G277"/>
  <c r="H277"/>
  <c r="I277"/>
  <c r="J277"/>
  <c r="F278"/>
  <c r="G278"/>
  <c r="H278"/>
  <c r="I278"/>
  <c r="J278"/>
  <c r="F280"/>
  <c r="G280"/>
  <c r="H280"/>
  <c r="I280"/>
  <c r="J280"/>
  <c r="F282"/>
  <c r="G282"/>
  <c r="H282"/>
  <c r="I282"/>
  <c r="J282"/>
  <c r="F283"/>
  <c r="G283"/>
  <c r="H283"/>
  <c r="I283"/>
  <c r="J283"/>
  <c r="F287"/>
  <c r="G287"/>
  <c r="H287"/>
  <c r="I287"/>
  <c r="J287"/>
  <c r="F288"/>
  <c r="G288"/>
  <c r="H288"/>
  <c r="I288"/>
  <c r="J288"/>
  <c r="F289"/>
  <c r="G289"/>
  <c r="H289"/>
  <c r="I289"/>
  <c r="J289"/>
  <c r="F5" i="9"/>
  <c r="G5"/>
  <c r="H5"/>
  <c r="I5"/>
  <c r="J5"/>
  <c r="F6"/>
  <c r="G6"/>
  <c r="H6"/>
  <c r="I6"/>
  <c r="J6"/>
  <c r="F12"/>
  <c r="G12"/>
  <c r="H12"/>
  <c r="I12"/>
  <c r="J12"/>
  <c r="F14"/>
  <c r="G14"/>
  <c r="H14"/>
  <c r="I14"/>
  <c r="J14"/>
  <c r="F16"/>
  <c r="G16"/>
  <c r="H16"/>
  <c r="I16"/>
  <c r="J16"/>
  <c r="F18"/>
  <c r="G18"/>
  <c r="H18"/>
  <c r="I18"/>
  <c r="J18"/>
  <c r="F21"/>
  <c r="G21"/>
  <c r="H21"/>
  <c r="I21"/>
  <c r="J21"/>
  <c r="F22"/>
  <c r="G22"/>
  <c r="H22"/>
  <c r="I22"/>
  <c r="J22"/>
  <c r="F23"/>
  <c r="G23"/>
  <c r="H23"/>
  <c r="I23"/>
  <c r="J23"/>
  <c r="F27"/>
  <c r="G27"/>
  <c r="H27"/>
  <c r="I27"/>
  <c r="J27"/>
  <c r="F28"/>
  <c r="G28"/>
  <c r="H28"/>
  <c r="I28"/>
  <c r="J28"/>
  <c r="F29"/>
  <c r="G29"/>
  <c r="H29"/>
  <c r="I29"/>
  <c r="J29"/>
  <c r="F30"/>
  <c r="G30"/>
  <c r="H30"/>
  <c r="I30"/>
  <c r="J30"/>
  <c r="F32"/>
  <c r="G32"/>
  <c r="H32"/>
  <c r="I32"/>
  <c r="J32"/>
  <c r="F33"/>
  <c r="G33"/>
  <c r="H33"/>
  <c r="I33"/>
  <c r="J33"/>
  <c r="F37"/>
  <c r="G37"/>
  <c r="H37"/>
  <c r="I37"/>
  <c r="J37"/>
  <c r="F38"/>
  <c r="G38"/>
  <c r="H38"/>
  <c r="I38"/>
  <c r="J38"/>
  <c r="F39"/>
  <c r="G39"/>
  <c r="H39"/>
  <c r="I39"/>
  <c r="J39"/>
  <c r="F40"/>
  <c r="G40"/>
  <c r="H40"/>
  <c r="I40"/>
  <c r="J40"/>
  <c r="F41"/>
  <c r="G41"/>
  <c r="H41"/>
  <c r="I41"/>
  <c r="J41"/>
  <c r="F43"/>
  <c r="G43"/>
  <c r="H43"/>
  <c r="I43"/>
  <c r="J43"/>
  <c r="F44"/>
  <c r="G44"/>
  <c r="H44"/>
  <c r="I44"/>
  <c r="J44"/>
  <c r="F45"/>
  <c r="G45"/>
  <c r="H45"/>
  <c r="I45"/>
  <c r="J45"/>
  <c r="F46"/>
  <c r="G46"/>
  <c r="H46"/>
  <c r="I46"/>
  <c r="J46"/>
  <c r="F47"/>
  <c r="G47"/>
  <c r="H47"/>
  <c r="I47"/>
  <c r="J47"/>
  <c r="F48"/>
  <c r="G48"/>
  <c r="H48"/>
  <c r="I48"/>
  <c r="J48"/>
  <c r="F50"/>
  <c r="G50"/>
  <c r="H50"/>
  <c r="I50"/>
  <c r="J50"/>
  <c r="F51"/>
  <c r="G51"/>
  <c r="H51"/>
  <c r="I51"/>
  <c r="J51"/>
  <c r="F52"/>
  <c r="G52"/>
  <c r="H52"/>
  <c r="I52"/>
  <c r="J52"/>
  <c r="F53"/>
  <c r="G53"/>
  <c r="H53"/>
  <c r="I53"/>
  <c r="J53"/>
  <c r="F54"/>
  <c r="G54"/>
  <c r="H54"/>
  <c r="I54"/>
  <c r="J54"/>
  <c r="F55"/>
  <c r="G55"/>
  <c r="H55"/>
  <c r="I55"/>
  <c r="J55"/>
  <c r="F56"/>
  <c r="G56"/>
  <c r="H56"/>
  <c r="I56"/>
  <c r="J56"/>
  <c r="F57"/>
  <c r="G57"/>
  <c r="H57"/>
  <c r="I57"/>
  <c r="J57"/>
  <c r="F58"/>
  <c r="G58"/>
  <c r="H58"/>
  <c r="I58"/>
  <c r="J58"/>
  <c r="F59"/>
  <c r="G59"/>
  <c r="H59"/>
  <c r="I59"/>
  <c r="J59"/>
  <c r="F5" i="4"/>
  <c r="G5"/>
  <c r="H5"/>
  <c r="I5"/>
  <c r="J5"/>
  <c r="F9"/>
  <c r="G9"/>
  <c r="H9"/>
  <c r="I9"/>
  <c r="J9"/>
  <c r="F10"/>
  <c r="G10"/>
  <c r="H10"/>
  <c r="I10"/>
  <c r="J10"/>
  <c r="F11"/>
  <c r="G11"/>
  <c r="H11"/>
  <c r="I11"/>
  <c r="J11"/>
  <c r="F12"/>
  <c r="G12"/>
  <c r="H12"/>
  <c r="I12"/>
  <c r="J12"/>
  <c r="F13"/>
  <c r="G13"/>
  <c r="H13"/>
  <c r="I13"/>
  <c r="J13"/>
  <c r="F14"/>
  <c r="G14"/>
  <c r="H14"/>
  <c r="I14"/>
  <c r="J14"/>
  <c r="F16"/>
  <c r="G16"/>
  <c r="H16"/>
  <c r="I16"/>
  <c r="J16"/>
  <c r="F18"/>
  <c r="G18"/>
  <c r="H18"/>
  <c r="I18"/>
  <c r="J18"/>
  <c r="F19"/>
  <c r="G19"/>
  <c r="H19"/>
  <c r="I19"/>
  <c r="J19"/>
  <c r="F21"/>
  <c r="G21"/>
  <c r="H21"/>
  <c r="I21"/>
  <c r="J21"/>
  <c r="F22"/>
  <c r="G22"/>
  <c r="H22"/>
  <c r="I22"/>
  <c r="J22"/>
  <c r="F23"/>
  <c r="G23"/>
  <c r="H23"/>
  <c r="I23"/>
  <c r="J23"/>
  <c r="F25"/>
  <c r="G25"/>
  <c r="H25"/>
  <c r="I25"/>
  <c r="J25"/>
  <c r="F27"/>
  <c r="G27"/>
  <c r="H27"/>
  <c r="I27"/>
  <c r="J27"/>
  <c r="F29"/>
  <c r="G29"/>
  <c r="H29"/>
  <c r="I29"/>
  <c r="J29"/>
  <c r="F32"/>
  <c r="G32"/>
  <c r="H32"/>
  <c r="I32"/>
  <c r="J32"/>
  <c r="F33"/>
  <c r="G33"/>
  <c r="H33"/>
  <c r="I33"/>
  <c r="J33"/>
  <c r="F34"/>
  <c r="G34"/>
  <c r="H34"/>
  <c r="I34"/>
  <c r="J34"/>
  <c r="F38"/>
  <c r="G38"/>
  <c r="H38"/>
  <c r="I38"/>
  <c r="J38"/>
  <c r="F39"/>
  <c r="G39"/>
  <c r="H39"/>
  <c r="I39"/>
  <c r="J39"/>
  <c r="F40"/>
  <c r="G40"/>
  <c r="H40"/>
  <c r="I40"/>
  <c r="J40"/>
  <c r="F41"/>
  <c r="G41"/>
  <c r="H41"/>
  <c r="I41"/>
  <c r="J41"/>
  <c r="F42"/>
  <c r="G42"/>
  <c r="H42"/>
  <c r="I42"/>
  <c r="J42"/>
  <c r="F44"/>
  <c r="G44"/>
  <c r="H44"/>
  <c r="I44"/>
  <c r="J44"/>
  <c r="F45"/>
  <c r="G45"/>
  <c r="H45"/>
  <c r="I45"/>
  <c r="J45"/>
  <c r="F49"/>
  <c r="G49"/>
  <c r="H49"/>
  <c r="I49"/>
  <c r="J49"/>
  <c r="F50"/>
  <c r="G50"/>
  <c r="H50"/>
  <c r="I50"/>
  <c r="J50"/>
  <c r="F51"/>
  <c r="G51"/>
  <c r="H51"/>
  <c r="I51"/>
  <c r="J51"/>
  <c r="F52"/>
  <c r="G52"/>
  <c r="H52"/>
  <c r="I52"/>
  <c r="J52"/>
  <c r="F53"/>
  <c r="G53"/>
  <c r="H53"/>
  <c r="I53"/>
  <c r="J53"/>
  <c r="F55"/>
  <c r="G55"/>
  <c r="H55"/>
  <c r="I55"/>
  <c r="J55"/>
  <c r="F56"/>
  <c r="G56"/>
  <c r="H56"/>
  <c r="I56"/>
  <c r="J56"/>
  <c r="F57"/>
  <c r="G57"/>
  <c r="H57"/>
  <c r="I57"/>
  <c r="J57"/>
  <c r="F58"/>
  <c r="G58"/>
  <c r="H58"/>
  <c r="I58"/>
  <c r="J58"/>
  <c r="F59"/>
  <c r="G59"/>
  <c r="H59"/>
  <c r="I59"/>
  <c r="J59"/>
  <c r="F60"/>
  <c r="G60"/>
  <c r="H60"/>
  <c r="I60"/>
  <c r="J60"/>
  <c r="F62"/>
  <c r="G62"/>
  <c r="H62"/>
  <c r="I62"/>
  <c r="J62"/>
  <c r="F63"/>
  <c r="G63"/>
  <c r="H63"/>
  <c r="I63"/>
  <c r="J63"/>
  <c r="F64"/>
  <c r="G64"/>
  <c r="H64"/>
  <c r="I64"/>
  <c r="J64"/>
  <c r="F65"/>
  <c r="G65"/>
  <c r="H65"/>
  <c r="I65"/>
  <c r="J65"/>
  <c r="F66"/>
  <c r="G66"/>
  <c r="H66"/>
  <c r="I66"/>
  <c r="J66"/>
  <c r="F67"/>
  <c r="G67"/>
  <c r="H67"/>
  <c r="I67"/>
  <c r="J67"/>
  <c r="F68"/>
  <c r="G68"/>
  <c r="H68"/>
  <c r="I68"/>
  <c r="J68"/>
  <c r="F69"/>
  <c r="G69"/>
  <c r="H69"/>
  <c r="I69"/>
  <c r="J69"/>
  <c r="F70"/>
  <c r="G70"/>
  <c r="H70"/>
  <c r="I70"/>
  <c r="J70"/>
  <c r="F71"/>
  <c r="G71"/>
  <c r="H71"/>
  <c r="I71"/>
  <c r="J71"/>
  <c r="F73"/>
  <c r="G73"/>
  <c r="H73"/>
  <c r="I73"/>
  <c r="J73"/>
  <c r="F74"/>
  <c r="G74"/>
  <c r="H74"/>
  <c r="I74"/>
  <c r="J74"/>
  <c r="F75"/>
  <c r="G75"/>
  <c r="H75"/>
  <c r="I75"/>
  <c r="J75"/>
  <c r="F77"/>
  <c r="G77"/>
  <c r="H77"/>
  <c r="I77"/>
  <c r="J77"/>
  <c r="F78"/>
  <c r="G78"/>
  <c r="H78"/>
  <c r="I78"/>
  <c r="J78"/>
  <c r="A79"/>
  <c r="F79"/>
  <c r="G79"/>
  <c r="H79"/>
  <c r="I79"/>
  <c r="J79"/>
  <c r="F82"/>
  <c r="G82"/>
  <c r="H82"/>
  <c r="I82"/>
  <c r="J82"/>
  <c r="F85"/>
  <c r="G85"/>
  <c r="H85"/>
  <c r="I85"/>
  <c r="J85"/>
  <c r="F86"/>
  <c r="G86"/>
  <c r="H86"/>
  <c r="I86"/>
  <c r="J86"/>
  <c r="F87"/>
  <c r="G87"/>
  <c r="H87"/>
  <c r="I87"/>
  <c r="J87"/>
  <c r="F95"/>
  <c r="G95"/>
  <c r="H95"/>
  <c r="I95"/>
  <c r="J95"/>
  <c r="F96"/>
  <c r="G96"/>
  <c r="H96"/>
  <c r="I96"/>
  <c r="J96"/>
  <c r="F97"/>
  <c r="G97"/>
  <c r="H97"/>
  <c r="I97"/>
  <c r="J97"/>
  <c r="F98"/>
  <c r="G98"/>
  <c r="H98"/>
  <c r="I98"/>
  <c r="J98"/>
  <c r="F99"/>
  <c r="G99"/>
  <c r="H99"/>
  <c r="I99"/>
  <c r="J99"/>
  <c r="F100"/>
  <c r="G100"/>
  <c r="H100"/>
  <c r="I100"/>
  <c r="J100"/>
  <c r="F101"/>
  <c r="G101"/>
  <c r="H101"/>
  <c r="I101"/>
  <c r="J101"/>
  <c r="F102"/>
  <c r="G102"/>
  <c r="H102"/>
  <c r="I102"/>
  <c r="J102"/>
  <c r="F103"/>
  <c r="G103"/>
  <c r="H103"/>
  <c r="I103"/>
  <c r="J103"/>
  <c r="F107"/>
  <c r="G107"/>
  <c r="H107"/>
  <c r="I107"/>
  <c r="J107"/>
  <c r="F108"/>
  <c r="G108"/>
  <c r="H108"/>
  <c r="I108"/>
  <c r="J108"/>
  <c r="F109"/>
  <c r="G109"/>
  <c r="H109"/>
  <c r="I109"/>
  <c r="J109"/>
  <c r="F110"/>
  <c r="G110"/>
  <c r="H110"/>
  <c r="I110"/>
  <c r="J110"/>
  <c r="F111"/>
  <c r="G111"/>
  <c r="H111"/>
  <c r="I111"/>
  <c r="J111"/>
  <c r="F112"/>
  <c r="G112"/>
  <c r="H112"/>
  <c r="I112"/>
  <c r="J112"/>
  <c r="F113"/>
  <c r="G113"/>
  <c r="H113"/>
  <c r="I113"/>
  <c r="J113"/>
  <c r="F114"/>
  <c r="G114"/>
  <c r="H114"/>
  <c r="I114"/>
  <c r="J114"/>
  <c r="F115"/>
  <c r="G115"/>
  <c r="H115"/>
  <c r="I115"/>
  <c r="J115"/>
  <c r="F117"/>
  <c r="G117"/>
  <c r="H117"/>
  <c r="I117"/>
  <c r="J117"/>
  <c r="F18" i="14"/>
  <c r="G18"/>
  <c r="H18"/>
  <c r="I18"/>
  <c r="J18"/>
  <c r="F20"/>
  <c r="G20"/>
  <c r="H20"/>
  <c r="I20"/>
  <c r="J20"/>
  <c r="F21"/>
  <c r="G21"/>
  <c r="H21"/>
  <c r="I21"/>
  <c r="J21"/>
  <c r="F22"/>
  <c r="G22"/>
  <c r="H22"/>
  <c r="I22"/>
  <c r="J22"/>
  <c r="F25"/>
  <c r="G25"/>
  <c r="H25"/>
  <c r="I25"/>
  <c r="J25"/>
  <c r="F27"/>
  <c r="G27"/>
  <c r="H27"/>
  <c r="I27"/>
  <c r="J27"/>
  <c r="F29"/>
  <c r="G29"/>
  <c r="H29"/>
  <c r="I29"/>
  <c r="J29"/>
  <c r="F30"/>
  <c r="G30"/>
  <c r="H30"/>
  <c r="I30"/>
  <c r="J30"/>
  <c r="F31"/>
  <c r="G31"/>
  <c r="H31"/>
  <c r="I31"/>
  <c r="J31"/>
  <c r="F32"/>
  <c r="G32"/>
  <c r="H32"/>
  <c r="I32"/>
  <c r="J32"/>
  <c r="F33"/>
  <c r="G33"/>
  <c r="H33"/>
  <c r="I33"/>
  <c r="J33"/>
  <c r="F34"/>
  <c r="G34"/>
  <c r="H34"/>
  <c r="I34"/>
  <c r="J34"/>
  <c r="F37"/>
  <c r="G37"/>
  <c r="H37"/>
  <c r="I37"/>
  <c r="J37"/>
  <c r="F38"/>
  <c r="G38"/>
  <c r="H38"/>
  <c r="I38"/>
  <c r="J38"/>
  <c r="F39"/>
  <c r="G39"/>
  <c r="H39"/>
  <c r="I39"/>
  <c r="J39"/>
  <c r="F40"/>
  <c r="G40"/>
  <c r="H40"/>
  <c r="I40"/>
  <c r="J40"/>
  <c r="F45"/>
  <c r="G45"/>
  <c r="H45"/>
  <c r="I45"/>
  <c r="J45"/>
  <c r="F46"/>
  <c r="G46"/>
  <c r="H46"/>
  <c r="I46"/>
  <c r="J46"/>
  <c r="F48"/>
  <c r="G48"/>
  <c r="H48"/>
  <c r="I48"/>
  <c r="J48"/>
  <c r="F56"/>
  <c r="G56"/>
  <c r="H56"/>
  <c r="I56"/>
  <c r="J56"/>
  <c r="F57"/>
  <c r="G57"/>
  <c r="H57"/>
  <c r="I57"/>
  <c r="J57"/>
  <c r="F63"/>
  <c r="G63"/>
  <c r="H63"/>
  <c r="I63"/>
  <c r="J63"/>
  <c r="F64"/>
  <c r="G64"/>
  <c r="H64"/>
  <c r="I64"/>
  <c r="J64"/>
  <c r="F65"/>
  <c r="G65"/>
  <c r="H65"/>
  <c r="I65"/>
  <c r="J65"/>
  <c r="F70"/>
  <c r="G70"/>
  <c r="H70"/>
  <c r="I70"/>
  <c r="J70"/>
  <c r="F71"/>
  <c r="G71"/>
  <c r="H71"/>
  <c r="I71"/>
  <c r="J71"/>
  <c r="F76"/>
  <c r="G76"/>
  <c r="H76"/>
  <c r="I76"/>
  <c r="J76"/>
  <c r="F79"/>
  <c r="G79"/>
  <c r="H79"/>
  <c r="I79"/>
  <c r="J79"/>
  <c r="F80"/>
  <c r="G80"/>
  <c r="H80"/>
  <c r="I80"/>
  <c r="J80"/>
  <c r="F81"/>
  <c r="G81"/>
  <c r="H81"/>
  <c r="I81"/>
  <c r="J81"/>
  <c r="F82"/>
  <c r="G82"/>
  <c r="H82"/>
  <c r="I82"/>
  <c r="J82"/>
  <c r="F83"/>
  <c r="G83"/>
  <c r="H83"/>
  <c r="I83"/>
  <c r="J83"/>
  <c r="F90"/>
  <c r="G90"/>
  <c r="H90"/>
  <c r="I90"/>
  <c r="J90"/>
  <c r="F91"/>
  <c r="G91"/>
  <c r="H91"/>
  <c r="I91"/>
  <c r="J91"/>
  <c r="F94"/>
  <c r="G94"/>
  <c r="H94"/>
  <c r="I94"/>
  <c r="J94"/>
  <c r="F95"/>
  <c r="G95"/>
  <c r="H95"/>
  <c r="I95"/>
  <c r="J95"/>
  <c r="F96"/>
  <c r="G96"/>
  <c r="H96"/>
  <c r="I96"/>
  <c r="J96"/>
  <c r="F97"/>
  <c r="G97"/>
  <c r="H97"/>
  <c r="I97"/>
  <c r="J97"/>
  <c r="F98"/>
  <c r="G98"/>
  <c r="H98"/>
  <c r="I98"/>
  <c r="J98"/>
  <c r="F99"/>
  <c r="G99"/>
  <c r="H99"/>
  <c r="I99"/>
  <c r="J99"/>
  <c r="F100"/>
  <c r="G100"/>
  <c r="H100"/>
  <c r="I100"/>
  <c r="J100"/>
  <c r="F101"/>
  <c r="G101"/>
  <c r="H101"/>
  <c r="I101"/>
  <c r="J101"/>
  <c r="F102"/>
  <c r="G102"/>
  <c r="H102"/>
  <c r="I102"/>
  <c r="J102"/>
  <c r="F105"/>
  <c r="G105"/>
  <c r="H105"/>
  <c r="I105"/>
  <c r="J105"/>
  <c r="F107"/>
  <c r="G107"/>
  <c r="H107"/>
  <c r="I107"/>
  <c r="J107"/>
  <c r="F108"/>
  <c r="G108"/>
  <c r="H108"/>
  <c r="I108"/>
  <c r="J108"/>
  <c r="F109"/>
  <c r="G109"/>
  <c r="H109"/>
  <c r="I109"/>
  <c r="J109"/>
  <c r="F110"/>
  <c r="G110"/>
  <c r="H110"/>
  <c r="I110"/>
  <c r="J110"/>
  <c r="F111"/>
  <c r="G111"/>
  <c r="H111"/>
  <c r="I111"/>
  <c r="J111"/>
  <c r="F112"/>
  <c r="G112"/>
  <c r="H112"/>
  <c r="I112"/>
  <c r="J112"/>
  <c r="F115"/>
  <c r="G115"/>
  <c r="H115"/>
  <c r="I115"/>
  <c r="J115"/>
  <c r="F117"/>
  <c r="G117"/>
  <c r="H117"/>
  <c r="I117"/>
  <c r="J117"/>
  <c r="F118"/>
  <c r="G118"/>
  <c r="H118"/>
  <c r="I118"/>
  <c r="J118"/>
  <c r="F119"/>
  <c r="G119"/>
  <c r="H119"/>
  <c r="I119"/>
  <c r="J119"/>
  <c r="F126"/>
  <c r="G126"/>
  <c r="H126"/>
  <c r="I126"/>
  <c r="J126"/>
  <c r="F128"/>
  <c r="G128"/>
  <c r="H128"/>
  <c r="I128"/>
  <c r="J128"/>
  <c r="F129"/>
  <c r="G129"/>
  <c r="H129"/>
  <c r="I129"/>
  <c r="J129"/>
  <c r="F130"/>
  <c r="G130"/>
  <c r="H130"/>
  <c r="I130"/>
  <c r="J130"/>
  <c r="F131"/>
  <c r="G131"/>
  <c r="H131"/>
  <c r="I131"/>
  <c r="J131"/>
  <c r="F133"/>
  <c r="G133"/>
  <c r="H133"/>
  <c r="I133"/>
  <c r="J133"/>
  <c r="F135"/>
  <c r="G135"/>
  <c r="H135"/>
  <c r="I135"/>
  <c r="J135"/>
  <c r="F136"/>
  <c r="G136"/>
  <c r="H136"/>
  <c r="I136"/>
  <c r="J136"/>
  <c r="F137"/>
  <c r="G137"/>
  <c r="H137"/>
  <c r="I137"/>
  <c r="J137"/>
  <c r="F143"/>
  <c r="G143"/>
  <c r="H143"/>
  <c r="I143"/>
  <c r="J143"/>
  <c r="F144"/>
  <c r="G144"/>
  <c r="H144"/>
  <c r="I144"/>
  <c r="J144"/>
  <c r="F147"/>
  <c r="G147"/>
  <c r="H147"/>
  <c r="I147"/>
  <c r="J147"/>
  <c r="F148"/>
  <c r="G148"/>
  <c r="H148"/>
  <c r="I148"/>
  <c r="J148"/>
  <c r="F149"/>
  <c r="G149"/>
  <c r="H149"/>
  <c r="I149"/>
  <c r="J149"/>
  <c r="F150"/>
  <c r="G150"/>
  <c r="H150"/>
  <c r="I150"/>
  <c r="J150"/>
  <c r="F151"/>
  <c r="G151"/>
  <c r="H151"/>
  <c r="I151"/>
  <c r="J151"/>
  <c r="F152"/>
  <c r="G152"/>
  <c r="H152"/>
  <c r="I152"/>
  <c r="J152"/>
  <c r="F153"/>
  <c r="G153"/>
  <c r="H153"/>
  <c r="I153"/>
  <c r="J153"/>
  <c r="F154"/>
  <c r="G154"/>
  <c r="H154"/>
  <c r="I154"/>
  <c r="J154"/>
  <c r="F156"/>
  <c r="G156"/>
  <c r="H156"/>
  <c r="I156"/>
  <c r="J156"/>
  <c r="F157"/>
  <c r="G157"/>
  <c r="H157"/>
  <c r="I157"/>
  <c r="J157"/>
  <c r="F158"/>
  <c r="G158"/>
  <c r="H158"/>
  <c r="I158"/>
  <c r="J158"/>
  <c r="F160"/>
  <c r="G160"/>
  <c r="H160"/>
  <c r="I160"/>
  <c r="J160"/>
  <c r="F161"/>
  <c r="G161"/>
  <c r="H161"/>
  <c r="I161"/>
  <c r="J161"/>
  <c r="F162"/>
  <c r="G162"/>
  <c r="H162"/>
  <c r="I162"/>
  <c r="J162"/>
  <c r="F163"/>
  <c r="G163"/>
  <c r="H163"/>
  <c r="I163"/>
  <c r="J163"/>
  <c r="F165"/>
  <c r="G165"/>
  <c r="H165"/>
  <c r="I165"/>
  <c r="J165"/>
  <c r="F166"/>
  <c r="G166"/>
  <c r="H166"/>
  <c r="I166"/>
  <c r="J166"/>
  <c r="F168"/>
  <c r="G168"/>
  <c r="H168"/>
  <c r="I168"/>
  <c r="J168"/>
  <c r="F169"/>
  <c r="G169"/>
  <c r="H169"/>
  <c r="I169"/>
  <c r="J169"/>
  <c r="F170"/>
  <c r="G170"/>
  <c r="H170"/>
  <c r="I170"/>
  <c r="J170"/>
  <c r="F171"/>
  <c r="G171"/>
  <c r="H171"/>
  <c r="I171"/>
  <c r="J171"/>
  <c r="F172"/>
  <c r="G172"/>
  <c r="H172"/>
  <c r="I172"/>
  <c r="J172"/>
  <c r="F173"/>
  <c r="G173"/>
  <c r="H173"/>
  <c r="I173"/>
  <c r="J173"/>
  <c r="F179"/>
  <c r="G179"/>
  <c r="H179"/>
  <c r="I179"/>
  <c r="J179"/>
  <c r="F181"/>
  <c r="G181"/>
  <c r="H181"/>
  <c r="I181"/>
  <c r="J181"/>
  <c r="F185"/>
  <c r="G185"/>
  <c r="H185"/>
  <c r="I185"/>
  <c r="J185"/>
  <c r="F189"/>
  <c r="G189"/>
  <c r="H189"/>
  <c r="I189"/>
  <c r="J189"/>
  <c r="F191"/>
  <c r="G191"/>
  <c r="H191"/>
  <c r="I191"/>
  <c r="J191"/>
</calcChain>
</file>

<file path=xl/comments1.xml><?xml version="1.0" encoding="utf-8"?>
<comments xmlns="http://schemas.openxmlformats.org/spreadsheetml/2006/main">
  <authors>
    <author>nelson</author>
  </authors>
  <commentList>
    <comment ref="J118" authorId="0">
      <text>
        <r>
          <rPr>
            <b/>
            <sz val="8"/>
            <color indexed="81"/>
            <rFont val="Tahoma"/>
            <family val="2"/>
          </rPr>
          <t>nelson:</t>
        </r>
        <r>
          <rPr>
            <sz val="8"/>
            <color indexed="81"/>
            <rFont val="Tahoma"/>
            <family val="2"/>
          </rPr>
          <t xml:space="preserve">
</t>
        </r>
      </text>
    </comment>
  </commentList>
</comments>
</file>

<file path=xl/sharedStrings.xml><?xml version="1.0" encoding="utf-8"?>
<sst xmlns="http://schemas.openxmlformats.org/spreadsheetml/2006/main" count="1839" uniqueCount="916">
  <si>
    <t>Battery 1</t>
  </si>
  <si>
    <t>Battery 2</t>
  </si>
  <si>
    <t>Battery 3</t>
  </si>
  <si>
    <t>Battery 4</t>
  </si>
  <si>
    <t>Battery 5</t>
  </si>
  <si>
    <t>Positive Electrode</t>
  </si>
  <si>
    <t>Active material</t>
  </si>
  <si>
    <t>Density</t>
  </si>
  <si>
    <t>Weight %</t>
  </si>
  <si>
    <t>Vol. %</t>
  </si>
  <si>
    <t>Carbon</t>
  </si>
  <si>
    <t>Binder</t>
  </si>
  <si>
    <t>Void</t>
  </si>
  <si>
    <t>Total</t>
  </si>
  <si>
    <r>
      <t>Electrode system ASI for power, ohm-cm</t>
    </r>
    <r>
      <rPr>
        <vertAlign val="superscript"/>
        <sz val="10"/>
        <rFont val="Arial"/>
        <family val="2"/>
      </rPr>
      <t>2</t>
    </r>
  </si>
  <si>
    <t>System Chemistry Input</t>
  </si>
  <si>
    <t>Excess negative area, %</t>
  </si>
  <si>
    <r>
      <t>Electrode system ASI for energy, ohm-cm</t>
    </r>
    <r>
      <rPr>
        <vertAlign val="superscript"/>
        <sz val="10"/>
        <rFont val="Arial"/>
        <family val="2"/>
      </rPr>
      <t>2</t>
    </r>
  </si>
  <si>
    <t>Capacity at C/3, Ah</t>
  </si>
  <si>
    <t>Finished Cell Materials</t>
  </si>
  <si>
    <t>Positive Electrode, g</t>
  </si>
  <si>
    <r>
      <t xml:space="preserve">Thick., </t>
    </r>
    <r>
      <rPr>
        <sz val="10"/>
        <rFont val="Symbol"/>
        <family val="1"/>
        <charset val="2"/>
      </rPr>
      <t>m</t>
    </r>
    <r>
      <rPr>
        <sz val="10"/>
        <rFont val="Arial"/>
        <family val="2"/>
      </rPr>
      <t>m</t>
    </r>
  </si>
  <si>
    <r>
      <t>Positive foil, m</t>
    </r>
    <r>
      <rPr>
        <vertAlign val="superscript"/>
        <sz val="10"/>
        <rFont val="Arial"/>
        <family val="2"/>
      </rPr>
      <t>2</t>
    </r>
  </si>
  <si>
    <r>
      <t>Negative foil, m</t>
    </r>
    <r>
      <rPr>
        <vertAlign val="superscript"/>
        <sz val="10"/>
        <rFont val="Arial"/>
        <family val="2"/>
      </rPr>
      <t>2</t>
    </r>
  </si>
  <si>
    <r>
      <t>Separator, m</t>
    </r>
    <r>
      <rPr>
        <vertAlign val="superscript"/>
        <sz val="10"/>
        <rFont val="Arial"/>
        <family val="2"/>
      </rPr>
      <t>2</t>
    </r>
  </si>
  <si>
    <t>Electrolyte , L</t>
  </si>
  <si>
    <t>Positive active material capacity, mAh/g:</t>
  </si>
  <si>
    <r>
      <t>Positive electrode capacity, Ah/cm</t>
    </r>
    <r>
      <rPr>
        <vertAlign val="superscript"/>
        <sz val="10"/>
        <rFont val="Arial"/>
        <family val="2"/>
      </rPr>
      <t>3</t>
    </r>
  </si>
  <si>
    <t>Negative active material capacity, mAh/g:</t>
  </si>
  <si>
    <r>
      <t>Negative electrode capacity, Ah/cm</t>
    </r>
    <r>
      <rPr>
        <vertAlign val="superscript"/>
        <sz val="10"/>
        <rFont val="Arial"/>
        <family val="2"/>
      </rPr>
      <t>3</t>
    </r>
  </si>
  <si>
    <t>Cell Capacity Parameters</t>
  </si>
  <si>
    <t>Cell Voltage and Resistance Parameters</t>
  </si>
  <si>
    <t>Cell mass, g</t>
  </si>
  <si>
    <t>Positive terminal assembly, g</t>
  </si>
  <si>
    <t>Negative terminal assembly, g</t>
  </si>
  <si>
    <t>Battery Input Parameters</t>
  </si>
  <si>
    <t>Balance of Cell</t>
  </si>
  <si>
    <t>Calculated Battery Parameters</t>
  </si>
  <si>
    <r>
      <t>Total cell ASI for energy (C/3 rate), ohm-cm</t>
    </r>
    <r>
      <rPr>
        <vertAlign val="superscript"/>
        <sz val="10"/>
        <rFont val="Arial"/>
        <family val="2"/>
      </rPr>
      <t>2</t>
    </r>
  </si>
  <si>
    <t>Balance of module materials</t>
  </si>
  <si>
    <t>Number of batteries manufactured per year</t>
  </si>
  <si>
    <t>Cell yield, %</t>
  </si>
  <si>
    <t>Unit Cell Materials Cost</t>
  </si>
  <si>
    <t>Baseline</t>
  </si>
  <si>
    <t>Positive Electrode, $/kg</t>
  </si>
  <si>
    <t>p</t>
  </si>
  <si>
    <t>Cost per</t>
  </si>
  <si>
    <t>Plus Cost</t>
  </si>
  <si>
    <t xml:space="preserve">     Active Material</t>
  </si>
  <si>
    <t>Mass, $/kg</t>
  </si>
  <si>
    <t>per Cell, $</t>
  </si>
  <si>
    <t>Positive terminal</t>
  </si>
  <si>
    <t xml:space="preserve">     Carbon Black</t>
  </si>
  <si>
    <t>Negative terminal</t>
  </si>
  <si>
    <t xml:space="preserve">     Binder PVDF</t>
  </si>
  <si>
    <t>Cell Container</t>
  </si>
  <si>
    <t xml:space="preserve">     Binder Solvent (NMP)</t>
  </si>
  <si>
    <t>Negative electrode material, $/kg</t>
  </si>
  <si>
    <t>Module state-of-charge regulator</t>
  </si>
  <si>
    <t xml:space="preserve">     Cost per cell, $</t>
  </si>
  <si>
    <t xml:space="preserve">     Plus cost per module, $</t>
  </si>
  <si>
    <r>
      <t>Separators, $/m</t>
    </r>
    <r>
      <rPr>
        <vertAlign val="superscript"/>
        <sz val="10"/>
        <rFont val="Arial"/>
        <family val="2"/>
      </rPr>
      <t>2</t>
    </r>
  </si>
  <si>
    <t>Electrolyte, $/L</t>
  </si>
  <si>
    <t xml:space="preserve">     Plus cost per battery, $</t>
  </si>
  <si>
    <t>Battery Assembly Costs</t>
  </si>
  <si>
    <t>Operation</t>
  </si>
  <si>
    <t>Plant</t>
  </si>
  <si>
    <t>Receiving</t>
  </si>
  <si>
    <t xml:space="preserve">     Pertinent volume: energy/year</t>
  </si>
  <si>
    <t xml:space="preserve">        Direct Labor, hours/year</t>
  </si>
  <si>
    <t xml:space="preserve">     Pertinent volume: cell area/year</t>
  </si>
  <si>
    <t xml:space="preserve">        Capital Equipment, million$</t>
  </si>
  <si>
    <t xml:space="preserve">        Plant Area, square meters</t>
  </si>
  <si>
    <t>Electrode Processing</t>
  </si>
  <si>
    <t>Materials preparation</t>
  </si>
  <si>
    <t xml:space="preserve">     Positive materials</t>
  </si>
  <si>
    <t xml:space="preserve">     Pertinent volume: positive active mass/year</t>
  </si>
  <si>
    <t xml:space="preserve">     Pertinent volume: number of cells/year</t>
  </si>
  <si>
    <t xml:space="preserve">     Negative materials</t>
  </si>
  <si>
    <t xml:space="preserve">     Pertinent volume: negative active mass/year</t>
  </si>
  <si>
    <t>Current collector welding</t>
  </si>
  <si>
    <t>Electrode coating</t>
  </si>
  <si>
    <t>Electrolyte filling, and cell sealing</t>
  </si>
  <si>
    <t>Formation Cycling</t>
  </si>
  <si>
    <t>Module Assembly</t>
  </si>
  <si>
    <t>Rejected Cell and Scrap Recycle</t>
  </si>
  <si>
    <t>Shipping</t>
  </si>
  <si>
    <t>Investment Costs</t>
  </si>
  <si>
    <t>Launch Cost rates</t>
  </si>
  <si>
    <t xml:space="preserve">     Percent of direct annual materials cost, %</t>
  </si>
  <si>
    <t xml:space="preserve">     Percent of direct labor plus variable overhead, %</t>
  </si>
  <si>
    <t>Working capital, percent of annual variable cost, %</t>
  </si>
  <si>
    <t>Unit Cost of Battery Pack</t>
  </si>
  <si>
    <t>Variable Cost</t>
  </si>
  <si>
    <t>Direct labor rate, $/hr</t>
  </si>
  <si>
    <t>Fixed Expenses</t>
  </si>
  <si>
    <t>General, Sales, Administration rates</t>
  </si>
  <si>
    <t xml:space="preserve">     Percent of depreciation, %</t>
  </si>
  <si>
    <t>Research and Development rate, % of depreciation</t>
  </si>
  <si>
    <t>Depreciation rates</t>
  </si>
  <si>
    <r>
      <t xml:space="preserve">Profits After Taxes, </t>
    </r>
    <r>
      <rPr>
        <sz val="10"/>
        <rFont val="Arial"/>
        <family val="2"/>
      </rPr>
      <t>% of investment</t>
    </r>
  </si>
  <si>
    <t>Annual Processing Rates</t>
  </si>
  <si>
    <t>Number of accepted cells per year</t>
  </si>
  <si>
    <t>Number of cells adjusted for yield</t>
  </si>
  <si>
    <t>Direct Materials Costs</t>
  </si>
  <si>
    <t>Yield, %</t>
  </si>
  <si>
    <t xml:space="preserve">     Total</t>
  </si>
  <si>
    <r>
      <t>Positive current collector (aluminum foil), m</t>
    </r>
    <r>
      <rPr>
        <vertAlign val="superscript"/>
        <sz val="10"/>
        <rFont val="Arial"/>
        <family val="2"/>
      </rPr>
      <t>2</t>
    </r>
  </si>
  <si>
    <r>
      <t>Negative current collector (copper foil), m</t>
    </r>
    <r>
      <rPr>
        <vertAlign val="superscript"/>
        <sz val="10"/>
        <rFont val="Arial"/>
        <family val="2"/>
      </rPr>
      <t>2</t>
    </r>
  </si>
  <si>
    <r>
      <t>Separators, m</t>
    </r>
    <r>
      <rPr>
        <vertAlign val="superscript"/>
        <sz val="10"/>
        <rFont val="Arial"/>
        <family val="2"/>
      </rPr>
      <t>2</t>
    </r>
  </si>
  <si>
    <t>Electrolyte, L</t>
  </si>
  <si>
    <t>Annual Cell Materials Rates</t>
  </si>
  <si>
    <t xml:space="preserve">     Active Material, kg</t>
  </si>
  <si>
    <t xml:space="preserve">     Carbon Black, kg</t>
  </si>
  <si>
    <t xml:space="preserve">     Binder PVDF, kg</t>
  </si>
  <si>
    <t>Negative Electrode Material, kg</t>
  </si>
  <si>
    <t xml:space="preserve">     Active Material (graphite), kg</t>
  </si>
  <si>
    <t>Positive terminal assemblies</t>
  </si>
  <si>
    <t>Negative terminal assemblies</t>
  </si>
  <si>
    <t>Cell Containers</t>
  </si>
  <si>
    <t>Unit Cell Materials Costs</t>
  </si>
  <si>
    <t xml:space="preserve">     Positive terminal assembly</t>
  </si>
  <si>
    <t xml:space="preserve">     Negative terminal assembly</t>
  </si>
  <si>
    <t>Cell Materials Cost, $</t>
  </si>
  <si>
    <t>Positive Electrode (dry)</t>
  </si>
  <si>
    <t>Negative electrode material (dry)</t>
  </si>
  <si>
    <t>Positive current collector (aluminum foil)</t>
  </si>
  <si>
    <t>Negative current collector (copper foil)</t>
  </si>
  <si>
    <t>Separators</t>
  </si>
  <si>
    <t>Electrolyte</t>
  </si>
  <si>
    <t>Positive terminal assembly, $/unit</t>
  </si>
  <si>
    <t>Negative terminal assembly, $/unit</t>
  </si>
  <si>
    <t>Total cost of cell winding materials, $</t>
  </si>
  <si>
    <t>Total cost of cell materials, $</t>
  </si>
  <si>
    <t>Total cost of materials for cells and battery, $</t>
  </si>
  <si>
    <t>Operation (Pertinent rate)</t>
  </si>
  <si>
    <t xml:space="preserve">     Volume ratio (volume/baseline volume)</t>
  </si>
  <si>
    <t xml:space="preserve">     Positive materials (positive mass/yr)</t>
  </si>
  <si>
    <t xml:space="preserve">     Negative materials (negative mass/yr)</t>
  </si>
  <si>
    <t xml:space="preserve">     Positive materials (area/yr)</t>
  </si>
  <si>
    <t xml:space="preserve">     Negative materials area/yr)</t>
  </si>
  <si>
    <t>Electrode Slitting (area/yr)</t>
  </si>
  <si>
    <t>Current collector welding (number of cells/yr)</t>
  </si>
  <si>
    <t>Electrolyte filling, and cell sealing (number of cells/yr)</t>
  </si>
  <si>
    <t>Formation Cycling (number of cells/yr)</t>
  </si>
  <si>
    <t>Module Assembly (number of cells/yr)</t>
  </si>
  <si>
    <t xml:space="preserve">Rejected Cell and Scrap Recycle (number of cells/yr) </t>
  </si>
  <si>
    <t>Shipping (energy/yr)</t>
  </si>
  <si>
    <r>
      <t xml:space="preserve">     Area, m</t>
    </r>
    <r>
      <rPr>
        <vertAlign val="superscript"/>
        <sz val="10"/>
        <rFont val="Arial"/>
        <family val="2"/>
      </rPr>
      <t>2</t>
    </r>
  </si>
  <si>
    <t>Launch Costs</t>
  </si>
  <si>
    <t xml:space="preserve">     Rate: 5% of direct annual materials + 10% of other annual costs</t>
  </si>
  <si>
    <t xml:space="preserve">     Total, million$</t>
  </si>
  <si>
    <t xml:space="preserve">Materials and Purchased Items </t>
  </si>
  <si>
    <t xml:space="preserve">     Cell materials</t>
  </si>
  <si>
    <t xml:space="preserve">     Cell purchased Items</t>
  </si>
  <si>
    <t>Direct Labor</t>
  </si>
  <si>
    <t xml:space="preserve">     Electrode processing</t>
  </si>
  <si>
    <t xml:space="preserve">     Cell assembly</t>
  </si>
  <si>
    <t xml:space="preserve">     Module and battery assembly</t>
  </si>
  <si>
    <t xml:space="preserve">     Rejection and recycling</t>
  </si>
  <si>
    <t xml:space="preserve">     Receiving and shipping</t>
  </si>
  <si>
    <t xml:space="preserve">    Total</t>
  </si>
  <si>
    <t>Variable Overhead</t>
  </si>
  <si>
    <t>Total Variable Cost</t>
  </si>
  <si>
    <t>General, Sales, Administration</t>
  </si>
  <si>
    <t>Research and Development</t>
  </si>
  <si>
    <t>Depreciation</t>
  </si>
  <si>
    <t>Total Fixed Expenses</t>
  </si>
  <si>
    <t>Profits after taxes</t>
  </si>
  <si>
    <t xml:space="preserve">Direct Labor                     </t>
  </si>
  <si>
    <t xml:space="preserve">Variable Overhead  </t>
  </si>
  <si>
    <t xml:space="preserve">Profit     </t>
  </si>
  <si>
    <r>
      <t>Positive current collector foil, $/m</t>
    </r>
    <r>
      <rPr>
        <vertAlign val="superscript"/>
        <sz val="10"/>
        <rFont val="Arial"/>
        <family val="2"/>
      </rPr>
      <t>2</t>
    </r>
  </si>
  <si>
    <r>
      <t>Negative current collector foil, $/m</t>
    </r>
    <r>
      <rPr>
        <vertAlign val="superscript"/>
        <sz val="10"/>
        <rFont val="Arial"/>
        <family val="2"/>
      </rPr>
      <t>2</t>
    </r>
  </si>
  <si>
    <t>Negative Electrode, g</t>
  </si>
  <si>
    <t>Unit Cell Hardware Costs</t>
  </si>
  <si>
    <r>
      <t xml:space="preserve">     Cost, $/m</t>
    </r>
    <r>
      <rPr>
        <vertAlign val="superscript"/>
        <sz val="10"/>
        <rFont val="Arial"/>
        <family val="2"/>
      </rPr>
      <t>2</t>
    </r>
  </si>
  <si>
    <t>Capital equipment cost including installation, mil$</t>
  </si>
  <si>
    <t>Working capital (30% of annual variable costs), mil$</t>
  </si>
  <si>
    <t>Unit Cost of Battery Pack, $</t>
  </si>
  <si>
    <t>Summary of Unit Costs, $</t>
  </si>
  <si>
    <t>Negative-to-positive capacity ratio after formation</t>
  </si>
  <si>
    <t>Summary of Results</t>
  </si>
  <si>
    <t>Manufacturing Cost Calculations</t>
  </si>
  <si>
    <t>Cost Rates for Manufacturing</t>
  </si>
  <si>
    <t>Building, Land and Utilities</t>
  </si>
  <si>
    <t xml:space="preserve">     Building investment, mil$</t>
  </si>
  <si>
    <r>
      <t>Cost of building (including land and utilities), $/m</t>
    </r>
    <r>
      <rPr>
        <vertAlign val="superscript"/>
        <sz val="10"/>
        <rFont val="Arial"/>
        <family val="2"/>
      </rPr>
      <t>2</t>
    </r>
  </si>
  <si>
    <t>Total investment, mil$</t>
  </si>
  <si>
    <t>Nominal battery voltage (OCV at 50% SOC)</t>
  </si>
  <si>
    <t>Target % OCV at full power</t>
  </si>
  <si>
    <t>Maximum current at full power, A</t>
  </si>
  <si>
    <t>% OCV at full power adjusted for thickness limit</t>
  </si>
  <si>
    <t>ASI Calculation</t>
  </si>
  <si>
    <r>
      <t>Cell area based on total ASI for power, cm</t>
    </r>
    <r>
      <rPr>
        <vertAlign val="superscript"/>
        <sz val="10"/>
        <rFont val="Arial"/>
        <family val="2"/>
      </rPr>
      <t>2</t>
    </r>
  </si>
  <si>
    <r>
      <t xml:space="preserve">Positive electrode thickness at adjusted % OCV, </t>
    </r>
    <r>
      <rPr>
        <sz val="10"/>
        <rFont val="Symbol"/>
        <family val="1"/>
        <charset val="2"/>
      </rPr>
      <t>m</t>
    </r>
    <r>
      <rPr>
        <sz val="10"/>
        <rFont val="Arial"/>
        <family val="2"/>
      </rPr>
      <t>m</t>
    </r>
  </si>
  <si>
    <r>
      <t xml:space="preserve">Negative electrode thickness at adjusted % OCV, </t>
    </r>
    <r>
      <rPr>
        <sz val="10"/>
        <rFont val="Symbol"/>
        <family val="1"/>
        <charset val="2"/>
      </rPr>
      <t>m</t>
    </r>
    <r>
      <rPr>
        <sz val="10"/>
        <rFont val="Arial"/>
        <family val="2"/>
      </rPr>
      <t>m</t>
    </r>
  </si>
  <si>
    <t>Calculated Cell Parameters</t>
  </si>
  <si>
    <t>Baseline Manufacturing Rates</t>
  </si>
  <si>
    <t>Balance of module materials, g</t>
  </si>
  <si>
    <t>Cost inputs that vary with cell chemistry</t>
  </si>
  <si>
    <t>Cost inputs that are do not vary with chemistry</t>
  </si>
  <si>
    <t>Area determined at target % OCV</t>
  </si>
  <si>
    <t xml:space="preserve">Area limited by max. allowed electrode thickness, </t>
  </si>
  <si>
    <t>Cell Chemistry Input</t>
  </si>
  <si>
    <t>Battery Performance and Design Input</t>
  </si>
  <si>
    <t>Capacity, Ah</t>
  </si>
  <si>
    <t>Vehicle Electric Range</t>
  </si>
  <si>
    <t>Available battery energy, % of total</t>
  </si>
  <si>
    <t>Vehicle electric range, miles</t>
  </si>
  <si>
    <t>Cell Chemistry</t>
  </si>
  <si>
    <r>
      <t>Density, g/cm</t>
    </r>
    <r>
      <rPr>
        <u/>
        <vertAlign val="superscript"/>
        <sz val="10"/>
        <rFont val="Arial"/>
        <family val="2"/>
      </rPr>
      <t>3</t>
    </r>
  </si>
  <si>
    <t>Negative Electrode</t>
  </si>
  <si>
    <t>Positive Foil</t>
  </si>
  <si>
    <t>Material</t>
  </si>
  <si>
    <t>Negative Foil</t>
  </si>
  <si>
    <r>
      <t xml:space="preserve">Thickness, </t>
    </r>
    <r>
      <rPr>
        <sz val="10"/>
        <rFont val="Symbol"/>
        <family val="1"/>
        <charset val="2"/>
      </rPr>
      <t>m</t>
    </r>
    <r>
      <rPr>
        <sz val="10"/>
        <rFont val="Arial"/>
        <family val="2"/>
      </rPr>
      <t>m</t>
    </r>
  </si>
  <si>
    <t>Separator</t>
  </si>
  <si>
    <t>Aluminum</t>
  </si>
  <si>
    <t>N/P capacity ratio after formation</t>
  </si>
  <si>
    <t>Active material capacity, mAh/g:</t>
  </si>
  <si>
    <r>
      <t xml:space="preserve">Maximum electrode coating thickness, </t>
    </r>
    <r>
      <rPr>
        <sz val="10"/>
        <rFont val="Symbol"/>
        <family val="1"/>
        <charset val="2"/>
      </rPr>
      <t>m</t>
    </r>
    <r>
      <rPr>
        <sz val="10"/>
        <rFont val="Arial"/>
        <family val="2"/>
      </rPr>
      <t>m</t>
    </r>
  </si>
  <si>
    <t>Default Values</t>
  </si>
  <si>
    <t>NCA-G</t>
  </si>
  <si>
    <t>Other</t>
  </si>
  <si>
    <t>LFP-G</t>
  </si>
  <si>
    <t>Values</t>
  </si>
  <si>
    <t>Selected System:</t>
  </si>
  <si>
    <t>Cell Materials Costs</t>
  </si>
  <si>
    <t>Copper</t>
  </si>
  <si>
    <t xml:space="preserve">     Active material</t>
  </si>
  <si>
    <t>Override</t>
  </si>
  <si>
    <t>Override Values</t>
  </si>
  <si>
    <t>LMO-G</t>
  </si>
  <si>
    <t>Material Yields</t>
  </si>
  <si>
    <t>Positive Electrode Materials (dry), g</t>
  </si>
  <si>
    <t>Negative Electrode Materials (dry), g</t>
  </si>
  <si>
    <t>Binder solvent recovery, %</t>
  </si>
  <si>
    <t>Effective full days of operation per year</t>
  </si>
  <si>
    <t>Receiving (Energy/yr)</t>
  </si>
  <si>
    <t>Number of annual 8-h shifts</t>
  </si>
  <si>
    <t xml:space="preserve">     Binder Solvent (NMP) makeup, kg</t>
  </si>
  <si>
    <t>Purchased Items</t>
  </si>
  <si>
    <t>Materials</t>
  </si>
  <si>
    <t>Calendering</t>
  </si>
  <si>
    <t>Slitting</t>
  </si>
  <si>
    <t>Materials preparation and delivery to coating</t>
  </si>
  <si>
    <t>Inserting cell in container</t>
  </si>
  <si>
    <t>Battery Pack Assembly and Testing</t>
  </si>
  <si>
    <t>Inter-process materials handling (area/yr)</t>
  </si>
  <si>
    <t>Inserting cell in container (number of cell/yr)</t>
  </si>
  <si>
    <t xml:space="preserve">        Cell Capacity, Ah</t>
  </si>
  <si>
    <t xml:space="preserve">        Baseline Cell Capacity, Ah</t>
  </si>
  <si>
    <t>Energy, kWh per year</t>
  </si>
  <si>
    <r>
      <t>Electrode area, m</t>
    </r>
    <r>
      <rPr>
        <vertAlign val="superscript"/>
        <sz val="10"/>
        <rFont val="Arial"/>
        <family val="2"/>
      </rPr>
      <t>2</t>
    </r>
    <r>
      <rPr>
        <sz val="10"/>
        <rFont val="Arial"/>
        <family val="2"/>
      </rPr>
      <t xml:space="preserve"> per year</t>
    </r>
  </si>
  <si>
    <t>Positive active material, kg per year</t>
  </si>
  <si>
    <t>Negative active material, kg per year</t>
  </si>
  <si>
    <t>Binder solvent, kg per year</t>
  </si>
  <si>
    <t xml:space="preserve">     Pertinent volume: NMP mass/year</t>
  </si>
  <si>
    <t>Mixing</t>
  </si>
  <si>
    <t>Coating</t>
  </si>
  <si>
    <t>Electrode</t>
  </si>
  <si>
    <t>Filling</t>
  </si>
  <si>
    <t>Materials Yields During Processing</t>
  </si>
  <si>
    <t>Total Cell Materials per Accepted Cell</t>
  </si>
  <si>
    <t>Positive electrode material (dry)</t>
  </si>
  <si>
    <t>Materials yield per accepted cell, %</t>
  </si>
  <si>
    <t>Cost Input</t>
  </si>
  <si>
    <t>Thickness</t>
  </si>
  <si>
    <t>Open circuit voltage average for discharge, V</t>
  </si>
  <si>
    <t>Chart Values</t>
  </si>
  <si>
    <t>Cell thickness, mm</t>
  </si>
  <si>
    <r>
      <t>Electrolyte density, g/cm</t>
    </r>
    <r>
      <rPr>
        <b/>
        <vertAlign val="superscript"/>
        <sz val="10"/>
        <rFont val="Arial"/>
        <family val="2"/>
      </rPr>
      <t>3</t>
    </r>
  </si>
  <si>
    <t>Cell Dimensions</t>
  </si>
  <si>
    <t>Width of cell, mm</t>
  </si>
  <si>
    <t>Length of cell, mm</t>
  </si>
  <si>
    <t>Width of positive electrode, mm</t>
  </si>
  <si>
    <t>Length of positive electrode, mm</t>
  </si>
  <si>
    <t>Required battery power, kW</t>
  </si>
  <si>
    <t>Battery power at 80 % OCV, kW</t>
  </si>
  <si>
    <r>
      <t>Limiting current density, mA/cm</t>
    </r>
    <r>
      <rPr>
        <vertAlign val="superscript"/>
        <sz val="10"/>
        <rFont val="Arial"/>
        <family val="2"/>
      </rPr>
      <t>2</t>
    </r>
  </si>
  <si>
    <t>Limiting C-rate, A/Ah</t>
  </si>
  <si>
    <t>C-rate at full power, A/Ah</t>
  </si>
  <si>
    <r>
      <t>Volume of cell, cm</t>
    </r>
    <r>
      <rPr>
        <vertAlign val="superscript"/>
        <sz val="10"/>
        <rFont val="Arial"/>
        <family val="2"/>
      </rPr>
      <t>3</t>
    </r>
  </si>
  <si>
    <t>Capacity holding</t>
  </si>
  <si>
    <t>Convergence parameter</t>
  </si>
  <si>
    <t>Positive electrode thickness</t>
  </si>
  <si>
    <t>Positive electrode thickness holding</t>
  </si>
  <si>
    <r>
      <t>Negative electrode cm</t>
    </r>
    <r>
      <rPr>
        <vertAlign val="superscript"/>
        <sz val="10"/>
        <rFont val="Arial"/>
        <family val="2"/>
      </rPr>
      <t>2</t>
    </r>
    <r>
      <rPr>
        <sz val="10"/>
        <rFont val="Arial"/>
        <family val="2"/>
      </rPr>
      <t>/cm</t>
    </r>
    <r>
      <rPr>
        <vertAlign val="superscript"/>
        <sz val="10"/>
        <rFont val="Arial"/>
        <family val="2"/>
      </rPr>
      <t>3</t>
    </r>
  </si>
  <si>
    <r>
      <t>Positive electrode cm</t>
    </r>
    <r>
      <rPr>
        <vertAlign val="superscript"/>
        <sz val="10"/>
        <rFont val="Arial"/>
        <family val="2"/>
      </rPr>
      <t>2</t>
    </r>
    <r>
      <rPr>
        <sz val="10"/>
        <rFont val="Arial"/>
        <family val="2"/>
      </rPr>
      <t>/cm</t>
    </r>
    <r>
      <rPr>
        <vertAlign val="superscript"/>
        <sz val="10"/>
        <rFont val="Arial"/>
        <family val="2"/>
      </rPr>
      <t>3</t>
    </r>
  </si>
  <si>
    <t>Width of terminals, mm</t>
  </si>
  <si>
    <t>Open circuit voltage at 50% SOC, V</t>
  </si>
  <si>
    <t>Solid state diffusion limiting C-rate (10-s), A/Ah</t>
  </si>
  <si>
    <t>Duration of power burst (10 or 2), s</t>
  </si>
  <si>
    <t xml:space="preserve">     At 50% SOC, 2-sec burst</t>
  </si>
  <si>
    <t xml:space="preserve">     At 50% SOC, 10-sec burst</t>
  </si>
  <si>
    <r>
      <t>Density, g/cm</t>
    </r>
    <r>
      <rPr>
        <vertAlign val="superscript"/>
        <sz val="10"/>
        <rFont val="Arial"/>
        <family val="2"/>
      </rPr>
      <t>3</t>
    </r>
  </si>
  <si>
    <t>Module length, mm</t>
  </si>
  <si>
    <t>Module width, mm</t>
  </si>
  <si>
    <t>Module height, mm</t>
  </si>
  <si>
    <t xml:space="preserve">     Carbon</t>
  </si>
  <si>
    <t xml:space="preserve">     Carbon, kg</t>
  </si>
  <si>
    <t>Module weight, kg</t>
  </si>
  <si>
    <t xml:space="preserve">Number of cells per module </t>
  </si>
  <si>
    <t>Number of modules in row</t>
  </si>
  <si>
    <t>Battery pack insulation thickness, mm</t>
  </si>
  <si>
    <t>Battery jacket total thickness, mm</t>
  </si>
  <si>
    <r>
      <t>Battery jacket weight parameter, g/cm</t>
    </r>
    <r>
      <rPr>
        <vertAlign val="superscript"/>
        <sz val="10"/>
        <rFont val="Arial"/>
        <family val="2"/>
      </rPr>
      <t>2</t>
    </r>
  </si>
  <si>
    <t>Solvent recovery</t>
  </si>
  <si>
    <t>Binder solvent (NMP) recovery (kg/yr)</t>
  </si>
  <si>
    <t>Binder solvent</t>
  </si>
  <si>
    <t>NMP</t>
  </si>
  <si>
    <t>Water</t>
  </si>
  <si>
    <t>Cell stacking (number of cells)</t>
  </si>
  <si>
    <t xml:space="preserve">     Binder Solvent</t>
  </si>
  <si>
    <t>Cell stacking</t>
  </si>
  <si>
    <t>Positive Active  Material</t>
  </si>
  <si>
    <t>Negative Active  Material</t>
  </si>
  <si>
    <t>Carbon and Binders</t>
  </si>
  <si>
    <t>Positive Current Collector</t>
  </si>
  <si>
    <t>Negative Current Collector</t>
  </si>
  <si>
    <t>Cell Hardware</t>
  </si>
  <si>
    <t>Module Hardware</t>
  </si>
  <si>
    <t xml:space="preserve">     Binder Solvent (water)</t>
  </si>
  <si>
    <r>
      <t>Positive current collector, $/m</t>
    </r>
    <r>
      <rPr>
        <vertAlign val="superscript"/>
        <sz val="10"/>
        <rFont val="Arial"/>
        <family val="2"/>
      </rPr>
      <t>2</t>
    </r>
  </si>
  <si>
    <r>
      <t>Negative current collector, $/m</t>
    </r>
    <r>
      <rPr>
        <vertAlign val="superscript"/>
        <sz val="10"/>
        <rFont val="Arial"/>
        <family val="2"/>
      </rPr>
      <t>2</t>
    </r>
  </si>
  <si>
    <t>Positive current collector</t>
  </si>
  <si>
    <t>Negative current collector</t>
  </si>
  <si>
    <t xml:space="preserve">     Total (dry)</t>
  </si>
  <si>
    <t>Cell Assembly in Dry Room</t>
  </si>
  <si>
    <t xml:space="preserve">     Pertinent volume: dry room operating area, sq. meters</t>
  </si>
  <si>
    <t>Final Cell sealing</t>
  </si>
  <si>
    <t>Charge-Retention Testing</t>
  </si>
  <si>
    <t>Inter-process Materials Handling</t>
  </si>
  <si>
    <t>Electrode Slitting (positive and negative)</t>
  </si>
  <si>
    <t>Vacuum Drying of Electrodes</t>
  </si>
  <si>
    <t>Control Laboratory</t>
  </si>
  <si>
    <r>
      <t>Dry room operating area, m</t>
    </r>
    <r>
      <rPr>
        <vertAlign val="superscript"/>
        <sz val="10"/>
        <rFont val="Arial"/>
        <family val="2"/>
      </rPr>
      <t>2</t>
    </r>
  </si>
  <si>
    <t xml:space="preserve">     Binder</t>
  </si>
  <si>
    <t>Dry Room Control (operating area, sq. meters)</t>
  </si>
  <si>
    <t>Warranty Cost, % added to price</t>
  </si>
  <si>
    <t>Dry room airlocks and management</t>
  </si>
  <si>
    <t>Length of terminal material, mm</t>
  </si>
  <si>
    <t>Thickness of terminal material, mm</t>
  </si>
  <si>
    <t>Length-to-width ratio for positive electrode</t>
  </si>
  <si>
    <r>
      <t>Total cell ASI for power, ohm-cm</t>
    </r>
    <r>
      <rPr>
        <vertAlign val="superscript"/>
        <sz val="10"/>
        <rFont val="Arial"/>
        <family val="2"/>
      </rPr>
      <t>2</t>
    </r>
  </si>
  <si>
    <t>Current collector resistance parameter, ohms</t>
  </si>
  <si>
    <t>Length of current collector tabs, mm</t>
  </si>
  <si>
    <r>
      <t>Current collector ASI, ohms-cm</t>
    </r>
    <r>
      <rPr>
        <vertAlign val="superscript"/>
        <sz val="10"/>
        <rFont val="Arial"/>
        <family val="2"/>
      </rPr>
      <t>2</t>
    </r>
  </si>
  <si>
    <t>Number of bicell layers (97% packing density)</t>
  </si>
  <si>
    <t>Module state-of-charge regulator assembly, g</t>
  </si>
  <si>
    <t>Module volume, L</t>
  </si>
  <si>
    <t>Top of positive electrode to top of terminal, mm</t>
  </si>
  <si>
    <t>OCV at full power (at SOC for power rating), V</t>
  </si>
  <si>
    <t>Warranty</t>
  </si>
  <si>
    <t xml:space="preserve">     At bottom of SOC range, 10-sec burst</t>
  </si>
  <si>
    <t xml:space="preserve">     Selected ASI value</t>
  </si>
  <si>
    <t>Select capacity, battery energy, or vehicle range, but only one.</t>
  </si>
  <si>
    <t>Module Parameters</t>
  </si>
  <si>
    <t>Module terminals, if more than one module (each 2.0-cm long), g</t>
  </si>
  <si>
    <t>Cell terminal contact voltage loss, % of cell OCV</t>
  </si>
  <si>
    <r>
      <t xml:space="preserve">Rate of terminal temperature rise at full power, </t>
    </r>
    <r>
      <rPr>
        <vertAlign val="superscript"/>
        <sz val="10"/>
        <rFont val="Arial"/>
        <family val="2"/>
      </rPr>
      <t>o</t>
    </r>
    <r>
      <rPr>
        <sz val="10"/>
        <rFont val="Arial"/>
        <family val="2"/>
      </rPr>
      <t>C/sec</t>
    </r>
  </si>
  <si>
    <t>Module terminal resistance both terminals, ohms</t>
  </si>
  <si>
    <t>Resistance of module interconnects if more than one module, ohms</t>
  </si>
  <si>
    <t xml:space="preserve">Terminal heating factor, W/g </t>
  </si>
  <si>
    <t xml:space="preserve">   Vehicle range (miles)</t>
  </si>
  <si>
    <t>Program for Calculating Performance and Materials Requirements</t>
  </si>
  <si>
    <t>Restart (0/1)</t>
  </si>
  <si>
    <r>
      <t>Maximum current density at full power, mA/cm</t>
    </r>
    <r>
      <rPr>
        <vertAlign val="superscript"/>
        <sz val="10"/>
        <rFont val="Arial"/>
        <family val="2"/>
      </rPr>
      <t>2</t>
    </r>
  </si>
  <si>
    <r>
      <t>Dry room, enclosed operating area, m</t>
    </r>
    <r>
      <rPr>
        <vertAlign val="subscript"/>
        <sz val="10"/>
        <rFont val="Arial"/>
        <family val="2"/>
      </rPr>
      <t>2</t>
    </r>
  </si>
  <si>
    <t xml:space="preserve">     Formation cycling, testing and sealing</t>
  </si>
  <si>
    <t xml:space="preserve">     Control laboratory</t>
  </si>
  <si>
    <t>Void, Vol% %</t>
  </si>
  <si>
    <t>Total unit cost per battery not including warranty, $</t>
  </si>
  <si>
    <t xml:space="preserve">     PHEV</t>
  </si>
  <si>
    <t xml:space="preserve">     EV</t>
  </si>
  <si>
    <t xml:space="preserve">     Selected % energy</t>
  </si>
  <si>
    <t>Price, $</t>
  </si>
  <si>
    <t>Number of cells in parallel</t>
  </si>
  <si>
    <t>OCV at full power, V</t>
  </si>
  <si>
    <t>Cell capacity</t>
  </si>
  <si>
    <t>Weight of each cell group interconnect (copper), g</t>
  </si>
  <si>
    <t>Module terminals</t>
  </si>
  <si>
    <t>Terminal resistance factor, A-ohms/cm</t>
  </si>
  <si>
    <t xml:space="preserve">        Number of modules per pack</t>
  </si>
  <si>
    <t>Battery jacket weight, kg</t>
  </si>
  <si>
    <t>Cell</t>
  </si>
  <si>
    <t>Stacking</t>
  </si>
  <si>
    <t xml:space="preserve">     Cost per battery jacket weight, $/kg</t>
  </si>
  <si>
    <t xml:space="preserve">        Number of modules per Pack</t>
  </si>
  <si>
    <t>Thickness of module compression plates (steel), mm</t>
  </si>
  <si>
    <t>Weight of module compression plates and steel straps, g</t>
  </si>
  <si>
    <t>Positive binder solvent evaporated, kg</t>
  </si>
  <si>
    <t>Negative binder solvent evaporated, kg</t>
  </si>
  <si>
    <t>Positive binder solvent evaporated, kg per year</t>
  </si>
  <si>
    <t>Negative binder solvent evaporated, kg per year</t>
  </si>
  <si>
    <t xml:space="preserve">     Module</t>
  </si>
  <si>
    <t>Unit Cost of Modules for One Battery Pack, $</t>
  </si>
  <si>
    <t>Battery Pack Assembly and Testing, 100,000 Battery Packs per year</t>
  </si>
  <si>
    <t xml:space="preserve">     Module assembly and testing</t>
  </si>
  <si>
    <t>Summary for Battery Pack</t>
  </si>
  <si>
    <t>Price for Modules Only</t>
  </si>
  <si>
    <t>LMO-LTO</t>
  </si>
  <si>
    <t>Total Direct Labor, hours/year</t>
  </si>
  <si>
    <t>Total Plant Area, square meters</t>
  </si>
  <si>
    <t>Total Capital Equipment, million$</t>
  </si>
  <si>
    <t>Summary for Cost of Modules Only</t>
  </si>
  <si>
    <t>Vehicle type (microHEV, HEV-HP, PHEV, EV)</t>
  </si>
  <si>
    <t xml:space="preserve">     microHEV and HEV-HP</t>
  </si>
  <si>
    <t>Useable battery energy storage, kWh</t>
  </si>
  <si>
    <t>Thickness of cell edge from positive electrode to outside of fold, mm</t>
  </si>
  <si>
    <t>Battery coolant weight within jacket, kg</t>
  </si>
  <si>
    <t>Thermal Modeling</t>
  </si>
  <si>
    <t>Thermal Data Input</t>
  </si>
  <si>
    <t>Layer Thicknesses, microns</t>
  </si>
  <si>
    <t>Positive foil</t>
  </si>
  <si>
    <t>Negative foil</t>
  </si>
  <si>
    <t>Positive electrode</t>
  </si>
  <si>
    <t>Negative electrode</t>
  </si>
  <si>
    <t>Total Bicell Layer</t>
  </si>
  <si>
    <t>Across layers</t>
  </si>
  <si>
    <t>Parallel to layers</t>
  </si>
  <si>
    <t>Mass of battery pack less 50% of jacket mass kg</t>
  </si>
  <si>
    <t>Available energy, kWh</t>
  </si>
  <si>
    <t>Hydraulic diameter, Dh</t>
  </si>
  <si>
    <t>Total flow distance, cm</t>
  </si>
  <si>
    <t>Reynolds number</t>
  </si>
  <si>
    <t>Target pressure drop, bars</t>
  </si>
  <si>
    <t>Graetz number, Gz</t>
  </si>
  <si>
    <t>Mean Nusselt number, Nu</t>
  </si>
  <si>
    <r>
      <t>h = Nu*k/Dh, W/cm</t>
    </r>
    <r>
      <rPr>
        <vertAlign val="superscript"/>
        <sz val="10"/>
        <rFont val="Arial"/>
        <family val="2"/>
      </rPr>
      <t>2</t>
    </r>
    <r>
      <rPr>
        <sz val="10"/>
        <rFont val="Arial"/>
        <family val="2"/>
      </rPr>
      <t>-</t>
    </r>
    <r>
      <rPr>
        <vertAlign val="superscript"/>
        <sz val="10"/>
        <rFont val="Arial"/>
        <family val="2"/>
      </rPr>
      <t>o</t>
    </r>
    <r>
      <rPr>
        <sz val="10"/>
        <rFont val="Arial"/>
        <family val="2"/>
      </rPr>
      <t>C</t>
    </r>
  </si>
  <si>
    <r>
      <t>Effective area, cm</t>
    </r>
    <r>
      <rPr>
        <vertAlign val="superscript"/>
        <sz val="10"/>
        <rFont val="Arial"/>
        <family val="2"/>
      </rPr>
      <t>2</t>
    </r>
  </si>
  <si>
    <r>
      <t xml:space="preserve">Total rise in fluid temperature, </t>
    </r>
    <r>
      <rPr>
        <vertAlign val="superscript"/>
        <sz val="10"/>
        <rFont val="Arial"/>
        <family val="2"/>
      </rPr>
      <t>o</t>
    </r>
    <r>
      <rPr>
        <sz val="10"/>
        <rFont val="Arial"/>
        <family val="2"/>
      </rPr>
      <t>C</t>
    </r>
  </si>
  <si>
    <t>Required rate of fluid flow, mL/sec</t>
  </si>
  <si>
    <r>
      <t>Fluid mass rate (G), g/sec-cm</t>
    </r>
    <r>
      <rPr>
        <vertAlign val="superscript"/>
        <sz val="10"/>
        <rFont val="Arial"/>
        <family val="2"/>
      </rPr>
      <t>2</t>
    </r>
  </si>
  <si>
    <t>Flow passage thickness, cm</t>
  </si>
  <si>
    <r>
      <t>Fluid flow cross-section through battery pack jacket, cm</t>
    </r>
    <r>
      <rPr>
        <vertAlign val="superscript"/>
        <sz val="10"/>
        <rFont val="Arial"/>
        <family val="2"/>
      </rPr>
      <t>2</t>
    </r>
  </si>
  <si>
    <t>Fluid flow velocity, cm/sec</t>
  </si>
  <si>
    <t>Total efficiency of pump and motor, %</t>
  </si>
  <si>
    <t>Heat rejection per cell, W</t>
  </si>
  <si>
    <t>Length of aluminum conductor, cm</t>
  </si>
  <si>
    <t>Total conduction thickness including pouch aluminum, cm</t>
  </si>
  <si>
    <t>Thickness of cell, cm</t>
  </si>
  <si>
    <t>Width of cell, cm</t>
  </si>
  <si>
    <t>Thickness of cell edge, cm</t>
  </si>
  <si>
    <r>
      <t xml:space="preserve">Temperature drop from cell center to module wall, </t>
    </r>
    <r>
      <rPr>
        <vertAlign val="superscript"/>
        <sz val="10"/>
        <rFont val="Arial"/>
        <family val="2"/>
      </rPr>
      <t>o</t>
    </r>
    <r>
      <rPr>
        <sz val="10"/>
        <rFont val="Arial"/>
        <family val="2"/>
      </rPr>
      <t>C</t>
    </r>
  </si>
  <si>
    <t>Battery Cooling System</t>
  </si>
  <si>
    <t xml:space="preserve">     Weight, kg</t>
  </si>
  <si>
    <t xml:space="preserve">     Volume, L</t>
  </si>
  <si>
    <t>Volume, L</t>
  </si>
  <si>
    <t>System</t>
  </si>
  <si>
    <t>Cell container (PET-Al-PP), g</t>
  </si>
  <si>
    <t>Density of cell container, g/cm3</t>
  </si>
  <si>
    <t>Thickness of cell container aluminum layer, µm</t>
  </si>
  <si>
    <t>Thickness of cell container (PET-Al-PP), µm</t>
  </si>
  <si>
    <t>Refrig 1</t>
  </si>
  <si>
    <t>Refrig 2</t>
  </si>
  <si>
    <t>Refrig 3</t>
  </si>
  <si>
    <t>Refrig 4</t>
  </si>
  <si>
    <t>Cooling System</t>
  </si>
  <si>
    <t>Ethylene glycol-50% water solution</t>
  </si>
  <si>
    <t>Volume of ethylene glycol-50% water solution within battery, L</t>
  </si>
  <si>
    <t>Mass of ethylene glycol-50% water solution within battery, kg</t>
  </si>
  <si>
    <t>Cooling system power requirement, W</t>
  </si>
  <si>
    <t>Performance</t>
  </si>
  <si>
    <t>Coefficient</t>
  </si>
  <si>
    <t>Cell container, $/unit</t>
  </si>
  <si>
    <t xml:space="preserve">     Cell container</t>
  </si>
  <si>
    <t xml:space="preserve">Aluminum thermal conductor </t>
  </si>
  <si>
    <t>Materials and Purchased Items Summary</t>
  </si>
  <si>
    <t>Number of cells/pack</t>
  </si>
  <si>
    <t>Number of modules/pack</t>
  </si>
  <si>
    <t>Override heat generation, W</t>
  </si>
  <si>
    <t>HEV-HP Battery Packs</t>
  </si>
  <si>
    <r>
      <t>Estimated heat capacity of battery, J/g-</t>
    </r>
    <r>
      <rPr>
        <vertAlign val="superscript"/>
        <sz val="10"/>
        <rFont val="Arial"/>
        <family val="2"/>
      </rPr>
      <t>o</t>
    </r>
    <r>
      <rPr>
        <sz val="10"/>
        <rFont val="Arial"/>
        <family val="2"/>
      </rPr>
      <t>C</t>
    </r>
  </si>
  <si>
    <t>Heating Under Adiabatic Conditions for Discharge of Available Energy for PHEV or EV Battery Packs</t>
  </si>
  <si>
    <t>$/kWh</t>
  </si>
  <si>
    <t>Insulation thickness, cm</t>
  </si>
  <si>
    <r>
      <t>Insulation area, cm</t>
    </r>
    <r>
      <rPr>
        <vertAlign val="superscript"/>
        <sz val="10"/>
        <rFont val="Arial"/>
        <family val="2"/>
      </rPr>
      <t>2</t>
    </r>
  </si>
  <si>
    <r>
      <t xml:space="preserve">Ambient temperature, </t>
    </r>
    <r>
      <rPr>
        <vertAlign val="superscript"/>
        <sz val="10"/>
        <rFont val="Arial"/>
        <family val="2"/>
      </rPr>
      <t>o</t>
    </r>
    <r>
      <rPr>
        <sz val="10"/>
        <rFont val="Arial"/>
        <family val="2"/>
      </rPr>
      <t>C</t>
    </r>
  </si>
  <si>
    <t>Cooling</t>
  </si>
  <si>
    <t>Capacity, W</t>
  </si>
  <si>
    <t>PHEV</t>
  </si>
  <si>
    <r>
      <t xml:space="preserve">Battery temperature at startup, </t>
    </r>
    <r>
      <rPr>
        <vertAlign val="superscript"/>
        <sz val="10"/>
        <rFont val="Arial"/>
        <family val="2"/>
      </rPr>
      <t>o</t>
    </r>
    <r>
      <rPr>
        <sz val="10"/>
        <rFont val="Arial"/>
        <family val="2"/>
      </rPr>
      <t>C</t>
    </r>
  </si>
  <si>
    <r>
      <t xml:space="preserve">Battery temperature after heating, </t>
    </r>
    <r>
      <rPr>
        <vertAlign val="superscript"/>
        <sz val="10"/>
        <rFont val="Arial"/>
        <family val="2"/>
      </rPr>
      <t>o</t>
    </r>
    <r>
      <rPr>
        <sz val="10"/>
        <rFont val="Arial"/>
        <family val="2"/>
      </rPr>
      <t>C</t>
    </r>
  </si>
  <si>
    <t xml:space="preserve">     Cost per battery, $</t>
  </si>
  <si>
    <t>Added</t>
  </si>
  <si>
    <t>Power of battery heaters, kW</t>
  </si>
  <si>
    <t>Cost of Module Materials and Purchased Items, $</t>
  </si>
  <si>
    <t xml:space="preserve">Aluminum thermal conductors (each) </t>
  </si>
  <si>
    <t xml:space="preserve">Aluminum thermal conductors/module </t>
  </si>
  <si>
    <t>Cell group interconnects (copper)</t>
  </si>
  <si>
    <t>Total cost per module</t>
  </si>
  <si>
    <t>Cost of Battery Pack Materials and Purchased Items, $</t>
  </si>
  <si>
    <t>Battery Jacket</t>
  </si>
  <si>
    <t>Battery jacket</t>
  </si>
  <si>
    <t>Total cost per battery</t>
  </si>
  <si>
    <r>
      <t xml:space="preserve">Battery temperature target, </t>
    </r>
    <r>
      <rPr>
        <vertAlign val="superscript"/>
        <sz val="10"/>
        <rFont val="Arial"/>
        <family val="2"/>
      </rPr>
      <t>o</t>
    </r>
    <r>
      <rPr>
        <sz val="10"/>
        <rFont val="Arial"/>
        <family val="2"/>
      </rPr>
      <t>C</t>
    </r>
  </si>
  <si>
    <t>Heating and Cooling  Required for Maintaining Pack Temperature</t>
  </si>
  <si>
    <t>Heating during cold ambient conditions</t>
  </si>
  <si>
    <t>Cooling during hot ambient conditions</t>
  </si>
  <si>
    <r>
      <t xml:space="preserve">Effective ambient temperature, </t>
    </r>
    <r>
      <rPr>
        <vertAlign val="superscript"/>
        <sz val="10"/>
        <rFont val="Arial"/>
        <family val="2"/>
      </rPr>
      <t>o</t>
    </r>
    <r>
      <rPr>
        <sz val="10"/>
        <rFont val="Arial"/>
        <family val="2"/>
      </rPr>
      <t>C</t>
    </r>
  </si>
  <si>
    <t>Time required for heat up, min</t>
  </si>
  <si>
    <t>Weight, kg</t>
  </si>
  <si>
    <t>Thermal conductivity of aluminum, W/cm-K</t>
  </si>
  <si>
    <r>
      <t>Thermal conductivity across cell layers, W/cm-</t>
    </r>
    <r>
      <rPr>
        <sz val="10"/>
        <rFont val="Arial"/>
        <family val="2"/>
      </rPr>
      <t>K</t>
    </r>
  </si>
  <si>
    <r>
      <t>Thermal conductivity parallel to cell layers, W/cm-</t>
    </r>
    <r>
      <rPr>
        <sz val="10"/>
        <rFont val="Arial"/>
        <family val="2"/>
      </rPr>
      <t>K</t>
    </r>
  </si>
  <si>
    <r>
      <t>Thermal conductivity of pack jacket insulation, W/cm-</t>
    </r>
    <r>
      <rPr>
        <sz val="10"/>
        <rFont val="Arial"/>
        <family val="2"/>
      </rPr>
      <t>K</t>
    </r>
  </si>
  <si>
    <t>Cooling System Parameters for Use of Vehicle Air Conditioner</t>
  </si>
  <si>
    <t>Purchased Items not including cooling system</t>
  </si>
  <si>
    <t xml:space="preserve">     Percent of capital equipment investment (6-year rate), %</t>
  </si>
  <si>
    <t xml:space="preserve">     Percent of building investment (20-year rate), % </t>
  </si>
  <si>
    <t>State-of-charge regulator and safety monitors</t>
  </si>
  <si>
    <t>Module Purchased Materials Cost</t>
  </si>
  <si>
    <t>Battery Purchased Materials Cost</t>
  </si>
  <si>
    <t>Module compression plates and steel straps, $,kg</t>
  </si>
  <si>
    <t xml:space="preserve">     Plus cost per capacity, $/A (rounded up)</t>
  </si>
  <si>
    <t>Module Inter-connectors and signal wiring</t>
  </si>
  <si>
    <t>Alum. heat conductor</t>
  </si>
  <si>
    <t>MicroHEV</t>
  </si>
  <si>
    <t>HEV-HP</t>
  </si>
  <si>
    <t>and EV</t>
  </si>
  <si>
    <t>Battery Management System</t>
  </si>
  <si>
    <t>Thermal Controls</t>
  </si>
  <si>
    <t>Module controls, $/module</t>
  </si>
  <si>
    <t>Current and voltage sensing, $</t>
  </si>
  <si>
    <t>Battery terminals</t>
  </si>
  <si>
    <t>Module compression plates and steel straps</t>
  </si>
  <si>
    <t>Electrode Coating Thickness Calculation</t>
  </si>
  <si>
    <t>Auto. battery disconnect, $</t>
  </si>
  <si>
    <t>Manual disconnect, $</t>
  </si>
  <si>
    <t>Weight of each module inter-connect (5-cm long), g</t>
  </si>
  <si>
    <t xml:space="preserve">     Plus cost per interconnect, $</t>
  </si>
  <si>
    <t>Battery current and voltage sensing, $</t>
  </si>
  <si>
    <t>Module controls</t>
  </si>
  <si>
    <t>Automatic battery disconnect, $</t>
  </si>
  <si>
    <t>Total cost of battery management system</t>
  </si>
  <si>
    <t>Additions to AC system</t>
  </si>
  <si>
    <t>Heating system</t>
  </si>
  <si>
    <t xml:space="preserve">     Battery pack</t>
  </si>
  <si>
    <t>Warranty (includes battery pack only)</t>
  </si>
  <si>
    <t>Total cost to OEM for thermal management system</t>
  </si>
  <si>
    <t>Price to OEM for battery pack, $</t>
  </si>
  <si>
    <t>Total cost to OEM for complete battery system, $</t>
  </si>
  <si>
    <t>Estimated cost to OEM for thermal management, $</t>
  </si>
  <si>
    <t>Price to OEM for modules for one pack, $</t>
  </si>
  <si>
    <t xml:space="preserve">Carbon </t>
  </si>
  <si>
    <t xml:space="preserve">     % of direct labor</t>
  </si>
  <si>
    <t>Variable overhead rate</t>
  </si>
  <si>
    <t>Battery Pack Total</t>
  </si>
  <si>
    <t>Electrode processing</t>
  </si>
  <si>
    <t>Cell assembly</t>
  </si>
  <si>
    <t>Formation cycling, testing and sealing</t>
  </si>
  <si>
    <t>Module and battery assembly</t>
  </si>
  <si>
    <t>Receiving and shipping</t>
  </si>
  <si>
    <t>Control laboratory</t>
  </si>
  <si>
    <t>Direct Labor Summary, hours/year</t>
  </si>
  <si>
    <t xml:space="preserve">     Cell and materials rejection and recycling</t>
  </si>
  <si>
    <t>Cell and materials rejection and recycling</t>
  </si>
  <si>
    <t xml:space="preserve">     % of depreciation</t>
  </si>
  <si>
    <r>
      <t xml:space="preserve">Positive electrode thickness parameter, </t>
    </r>
    <r>
      <rPr>
        <sz val="10"/>
        <rFont val="Symbol"/>
        <family val="1"/>
        <charset val="2"/>
      </rPr>
      <t>m</t>
    </r>
    <r>
      <rPr>
        <sz val="10"/>
        <rFont val="Arial"/>
        <family val="2"/>
      </rPr>
      <t>m</t>
    </r>
  </si>
  <si>
    <r>
      <t xml:space="preserve">Negative electrode thickness parameter, </t>
    </r>
    <r>
      <rPr>
        <sz val="10"/>
        <rFont val="Symbol"/>
        <family val="1"/>
        <charset val="2"/>
      </rPr>
      <t>m</t>
    </r>
    <r>
      <rPr>
        <sz val="10"/>
        <rFont val="Arial"/>
        <family val="2"/>
      </rPr>
      <t>m</t>
    </r>
  </si>
  <si>
    <t>Pack integration (BMS &amp; Disconnects), $</t>
  </si>
  <si>
    <t>Cost of Pack Integration (BMS &amp; Disconnects)</t>
  </si>
  <si>
    <t>Cost to OEM for Materials and Purchased Items for Thermal Management System, $</t>
  </si>
  <si>
    <t>Baseline thermal system</t>
  </si>
  <si>
    <t>Pack integration (BMS &amp; disconnects), kg</t>
  </si>
  <si>
    <t>Pack integration (BMS &amp; disconnects), L</t>
  </si>
  <si>
    <t>Weight and Volume of Components Exterior to Battery</t>
  </si>
  <si>
    <t>Default thickness of aluminum conductors, cm</t>
  </si>
  <si>
    <t>Override thickness of aluminum conductors, cm</t>
  </si>
  <si>
    <t>Power of heating elements, W</t>
  </si>
  <si>
    <r>
      <t xml:space="preserve">Temperature difference at steady state, </t>
    </r>
    <r>
      <rPr>
        <vertAlign val="superscript"/>
        <sz val="10"/>
        <rFont val="Arial"/>
        <family val="2"/>
      </rPr>
      <t>o</t>
    </r>
    <r>
      <rPr>
        <sz val="10"/>
        <rFont val="Arial"/>
        <family val="2"/>
      </rPr>
      <t>C</t>
    </r>
  </si>
  <si>
    <t>microHEV battery packs, default heat generation</t>
  </si>
  <si>
    <t>Thermal Conductivities</t>
  </si>
  <si>
    <t>Adjustable parameters</t>
  </si>
  <si>
    <t>Constant parameters</t>
  </si>
  <si>
    <t>Battery power at target % OCV and SOC, kW</t>
  </si>
  <si>
    <t>Weight of bus bar for packs with one row of modules, g</t>
  </si>
  <si>
    <t>Voltage drop for bus bar for packs with one row of modules, V</t>
  </si>
  <si>
    <t>Bus bar for batteries with one row of modules</t>
  </si>
  <si>
    <t>Thermal Conductivities, W/cm-K</t>
  </si>
  <si>
    <t>Thermal conductivity through folded cell edge</t>
  </si>
  <si>
    <r>
      <t>Heat transfer through cell edges per unit temperature differential, W/</t>
    </r>
    <r>
      <rPr>
        <vertAlign val="superscript"/>
        <sz val="10"/>
        <rFont val="Arial"/>
        <family val="2"/>
      </rPr>
      <t>o</t>
    </r>
    <r>
      <rPr>
        <sz val="10"/>
        <rFont val="Arial"/>
        <family val="2"/>
      </rPr>
      <t>C</t>
    </r>
  </si>
  <si>
    <r>
      <t>Heat transfer through cell sides per unit temperature differential, W/</t>
    </r>
    <r>
      <rPr>
        <vertAlign val="superscript"/>
        <sz val="10"/>
        <rFont val="Arial"/>
        <family val="2"/>
      </rPr>
      <t>o</t>
    </r>
    <r>
      <rPr>
        <sz val="10"/>
        <rFont val="Arial"/>
        <family val="2"/>
      </rPr>
      <t>C</t>
    </r>
  </si>
  <si>
    <t>Thermal Management System</t>
  </si>
  <si>
    <t>Hardware Costs, $/unit</t>
  </si>
  <si>
    <t>Number of 8-hr shifts per day</t>
  </si>
  <si>
    <t>Input required</t>
  </si>
  <si>
    <t>Actual negative to positive capacity ratio</t>
  </si>
  <si>
    <t>Positive</t>
  </si>
  <si>
    <t>Negative</t>
  </si>
  <si>
    <t>To enter into System Selection worksheet</t>
  </si>
  <si>
    <t>First cycle capacity, mAh/g:</t>
  </si>
  <si>
    <t>First cycle efficiency:</t>
  </si>
  <si>
    <t>Half cell reversible capacity, mAh/g:</t>
  </si>
  <si>
    <t>Delivered full cell capacity, mAh/g:</t>
  </si>
  <si>
    <t>Li captured in negative SEI, mAh/g:</t>
  </si>
  <si>
    <t>Cyclable Li left in negative, mAh/g:</t>
  </si>
  <si>
    <t>LMO</t>
  </si>
  <si>
    <t>LTO</t>
  </si>
  <si>
    <t>LFP</t>
  </si>
  <si>
    <t>Graph</t>
  </si>
  <si>
    <t>NCA</t>
  </si>
  <si>
    <t>NMC441</t>
  </si>
  <si>
    <t>Negative to positive capacity ratio parameter</t>
  </si>
  <si>
    <t>Negative to positive mass ratio</t>
  </si>
  <si>
    <t>NMC441-G</t>
  </si>
  <si>
    <t>NMC333-G</t>
  </si>
  <si>
    <t>NMC333</t>
  </si>
  <si>
    <t>Output to model (manually entered)</t>
  </si>
  <si>
    <t xml:space="preserve">Temperature Drop From Module Wall to Bulk Fluid </t>
  </si>
  <si>
    <t xml:space="preserve">ASI correction factor, % </t>
  </si>
  <si>
    <t>Cooling of Modules with Ethylene Glycol-50% Water at Steady State</t>
  </si>
  <si>
    <t>Cooling of Modules</t>
  </si>
  <si>
    <t>Temperature Drop from Cell Center to Cell Wall at Steady State</t>
  </si>
  <si>
    <t>Width of channel, cm</t>
  </si>
  <si>
    <t>Width of channel support, cm</t>
  </si>
  <si>
    <r>
      <t xml:space="preserve">Temperature drop from cell center to cell wall, </t>
    </r>
    <r>
      <rPr>
        <vertAlign val="superscript"/>
        <sz val="10"/>
        <rFont val="Arial"/>
        <family val="2"/>
      </rPr>
      <t>o</t>
    </r>
    <r>
      <rPr>
        <sz val="10"/>
        <rFont val="Arial"/>
        <family val="2"/>
      </rPr>
      <t>C</t>
    </r>
  </si>
  <si>
    <r>
      <t>Fluid flow cross-section per channel, cm</t>
    </r>
    <r>
      <rPr>
        <vertAlign val="superscript"/>
        <sz val="10"/>
        <rFont val="Arial"/>
        <family val="2"/>
      </rPr>
      <t>2</t>
    </r>
  </si>
  <si>
    <t>Heat rejection per channel, W</t>
  </si>
  <si>
    <t>Required rate of fluid flow per flow channel, ml/sec</t>
  </si>
  <si>
    <t>Air</t>
  </si>
  <si>
    <t>Liquid-Cooled Battery Pack</t>
  </si>
  <si>
    <t>Pack Cooled with Cabin Air</t>
  </si>
  <si>
    <t>Total pressure drop through entrance and exit of pack, bar</t>
  </si>
  <si>
    <r>
      <t>Fluid mass rate through pack entrance (Gp), g/sec-cm</t>
    </r>
    <r>
      <rPr>
        <vertAlign val="superscript"/>
        <sz val="10"/>
        <rFont val="Arial"/>
        <family val="2"/>
      </rPr>
      <t>2</t>
    </r>
  </si>
  <si>
    <t>Width of air supply channels through pack, cm</t>
  </si>
  <si>
    <t>Module wall material</t>
  </si>
  <si>
    <t>Module wall thickness, mm</t>
  </si>
  <si>
    <t>Length of cooled section of cell (length of positive electrode), cm</t>
  </si>
  <si>
    <t>Total flow distance (L), cm</t>
  </si>
  <si>
    <t>Number of channels per cell group</t>
  </si>
  <si>
    <t>Thickness of air flow channel, cm</t>
  </si>
  <si>
    <t>Battery pack weight, kg</t>
  </si>
  <si>
    <t>Battery pack volume, L</t>
  </si>
  <si>
    <t>Thickness of air supply channel above and below modules, cm</t>
  </si>
  <si>
    <t>Required rate of air flow through pack, ml/sec</t>
  </si>
  <si>
    <t>Reynolds number, pack channels</t>
  </si>
  <si>
    <t>Target total pressure drop, bar</t>
  </si>
  <si>
    <t>Fraction of pressure drop through passages between cells, %</t>
  </si>
  <si>
    <r>
      <t xml:space="preserve">Total rise in coolant air temperature, </t>
    </r>
    <r>
      <rPr>
        <vertAlign val="superscript"/>
        <sz val="10"/>
        <rFont val="Arial"/>
        <family val="2"/>
      </rPr>
      <t>o</t>
    </r>
    <r>
      <rPr>
        <sz val="10"/>
        <rFont val="Arial"/>
        <family val="2"/>
      </rPr>
      <t>C</t>
    </r>
  </si>
  <si>
    <r>
      <t xml:space="preserve">Maximum temperature of center of cells, </t>
    </r>
    <r>
      <rPr>
        <b/>
        <vertAlign val="superscript"/>
        <sz val="10"/>
        <rFont val="Arial"/>
        <family val="2"/>
      </rPr>
      <t>o</t>
    </r>
    <r>
      <rPr>
        <b/>
        <sz val="10"/>
        <rFont val="Arial"/>
        <family val="2"/>
      </rPr>
      <t>C</t>
    </r>
  </si>
  <si>
    <t>Temperature Drop from Cell Wall to Bulk Air Coolant</t>
  </si>
  <si>
    <t>Coolant space above and below modules, mm</t>
  </si>
  <si>
    <r>
      <t>Effective heat transfer area per channel, cm</t>
    </r>
    <r>
      <rPr>
        <vertAlign val="superscript"/>
        <sz val="10"/>
        <rFont val="Arial"/>
        <family val="2"/>
      </rPr>
      <t>2</t>
    </r>
  </si>
  <si>
    <t xml:space="preserve">     Plus cost per capacity, $/Ah</t>
  </si>
  <si>
    <t xml:space="preserve">     Cost per mass, $/kg</t>
  </si>
  <si>
    <t xml:space="preserve">   (or thermal group enclosure)</t>
  </si>
  <si>
    <t>Total efficiency of fan and motor at maximum flow rate, %</t>
  </si>
  <si>
    <t>Power to fan, W</t>
  </si>
  <si>
    <t xml:space="preserve">Temperature Drop From Cell Wall to Bulk Air Stream </t>
  </si>
  <si>
    <t>Total weight of aluminum conductors or thermal enclosures, g</t>
  </si>
  <si>
    <t>Length of aluminum conductor or thermal enclosures, mm</t>
  </si>
  <si>
    <t>Thickness of aluminum conductor or thermal enclosure, mm</t>
  </si>
  <si>
    <t>Thickness of aluminum in thermal cell wrap, mm</t>
  </si>
  <si>
    <t>Thickness added by cell wrap, mm</t>
  </si>
  <si>
    <t>Total thickness of wrapped cell, mm</t>
  </si>
  <si>
    <t>Positive electrode thickness at target % OCV, microns</t>
  </si>
  <si>
    <t xml:space="preserve">     Minimum</t>
  </si>
  <si>
    <t xml:space="preserve">     Default</t>
  </si>
  <si>
    <t xml:space="preserve">     Maximum</t>
  </si>
  <si>
    <t>Electrode thickness limit, microns</t>
  </si>
  <si>
    <r>
      <t>Cell Area Calculation, cm</t>
    </r>
    <r>
      <rPr>
        <b/>
        <vertAlign val="superscript"/>
        <sz val="10"/>
        <rFont val="Arial"/>
        <family val="2"/>
      </rPr>
      <t>2</t>
    </r>
  </si>
  <si>
    <t xml:space="preserve">Minimum area limited by default electrode thickness </t>
  </si>
  <si>
    <t>Selected area for default limit on thickness</t>
  </si>
  <si>
    <t>Minimum area for maximum thickness limit</t>
  </si>
  <si>
    <t>Minimum area for minimum thickness limit</t>
  </si>
  <si>
    <t>Selected area for minimum limit on thickness</t>
  </si>
  <si>
    <t>Based on Default Limit on Thickness</t>
  </si>
  <si>
    <t>Based on Minimum Thickness Limit</t>
  </si>
  <si>
    <t>Based on Maximum Thickness Limit</t>
  </si>
  <si>
    <t>Total per cell</t>
  </si>
  <si>
    <t>Change in cost of cell materials per battery pack, $</t>
  </si>
  <si>
    <t>Cost of Cell Area-Related Materials, $/Cell</t>
  </si>
  <si>
    <t>Cost of Electrode Processing Affected by Cell Area</t>
  </si>
  <si>
    <t>Area for default limit on thickness</t>
  </si>
  <si>
    <t>Area for minimum limit on thickness</t>
  </si>
  <si>
    <t>Area for maximum limit on thickness</t>
  </si>
  <si>
    <t>Annual Processing Costs Affected by Cell Area</t>
  </si>
  <si>
    <t>Changes in Processing Cost Factors Resulting from Change in Thickness Limits</t>
  </si>
  <si>
    <t>Investment Costs for Minimum Thickness limit</t>
  </si>
  <si>
    <t>Unit Cost of Battery Pack for Minimum Thickness Limit, $</t>
  </si>
  <si>
    <t>Costs for Minimum Thickness Limits</t>
  </si>
  <si>
    <t>Costs for Maximum Thickness Limits</t>
  </si>
  <si>
    <t>Investment Costs for Maximum Thickness limit</t>
  </si>
  <si>
    <t>Unit Cost of Battery Pack for Maximum Thickness Limit, $</t>
  </si>
  <si>
    <t>Error Bars for Cost Calculations</t>
  </si>
  <si>
    <t>Summary</t>
  </si>
  <si>
    <t>Error Bar Calculations</t>
  </si>
  <si>
    <t>Electrode Coating Thicknesses</t>
  </si>
  <si>
    <t>Electrode Coating Thickness Limits, microns</t>
  </si>
  <si>
    <t>Price to OEM for battery pack at default thickness limit, $</t>
  </si>
  <si>
    <t>Error Bar Results</t>
  </si>
  <si>
    <r>
      <t xml:space="preserve">Errors in estimates of unit materials and processing costs, </t>
    </r>
    <r>
      <rPr>
        <sz val="10"/>
        <rFont val="Calibri"/>
        <family val="2"/>
      </rPr>
      <t>±</t>
    </r>
    <r>
      <rPr>
        <sz val="10"/>
        <rFont val="Arial"/>
        <family val="2"/>
      </rPr>
      <t>%</t>
    </r>
  </si>
  <si>
    <t>Errors due to uncertainty in electrode thickness limit</t>
  </si>
  <si>
    <t xml:space="preserve">     Positive error, %</t>
  </si>
  <si>
    <t>Total Error Bars</t>
  </si>
  <si>
    <t xml:space="preserve">     Negative error, %</t>
  </si>
  <si>
    <t>Error due to uncertainty in limit on cell capacity, %</t>
  </si>
  <si>
    <t xml:space="preserve">Error Bar for Uncertainty in Number of Parallel Cells Needed to Limit Cell Capacity </t>
  </si>
  <si>
    <t>Selected area for maximum limit on thickness</t>
  </si>
  <si>
    <t>Selected annual processing costs for default thickness limit</t>
  </si>
  <si>
    <t>Selected annual processing costs for minimum thickness limit</t>
  </si>
  <si>
    <t>Selected annual processing costs for maximum thickness limit</t>
  </si>
  <si>
    <t>Final Cell Sealing (number of cells/yr)</t>
  </si>
  <si>
    <t>Charge Retention Testing (number of cells/yr)</t>
  </si>
  <si>
    <t>Cell capacity, Ah</t>
  </si>
  <si>
    <t>Fraction of additional cell cost added for error bar, %</t>
  </si>
  <si>
    <t>Cell stacking (number of cells/yr)</t>
  </si>
  <si>
    <t>Threshold capacity for consideration of parallel cells, Ah</t>
  </si>
  <si>
    <t>Cost of Materials and Purchased Items</t>
  </si>
  <si>
    <t>Summary of Costs for Batteries with Two Cells in Parallel</t>
  </si>
  <si>
    <t>Additional Costs for Two Cells in Parallel</t>
  </si>
  <si>
    <t xml:space="preserve">     Error bar, %</t>
  </si>
  <si>
    <t>Maximum allowable ASI for limiting capacity</t>
  </si>
  <si>
    <r>
      <t xml:space="preserve">Default maximum allowable electrode coating thickness, </t>
    </r>
    <r>
      <rPr>
        <sz val="10"/>
        <rFont val="Symbol"/>
        <family val="1"/>
        <charset val="2"/>
      </rPr>
      <t>m</t>
    </r>
    <r>
      <rPr>
        <sz val="10"/>
        <rFont val="Arial"/>
        <family val="2"/>
      </rPr>
      <t>m</t>
    </r>
  </si>
  <si>
    <t>Energy</t>
  </si>
  <si>
    <t>Costs for Batteries with Two Cells in Parallel</t>
  </si>
  <si>
    <t>Capacity estimating parameter</t>
  </si>
  <si>
    <t>Wh/kg</t>
  </si>
  <si>
    <t>Sustained battery power, kW</t>
  </si>
  <si>
    <t>Heat generation, W or joules/sec</t>
  </si>
  <si>
    <t>Efficiency for discharge, %</t>
  </si>
  <si>
    <t>Maximum Sustained Heat Generation Rates in Battery Pack</t>
  </si>
  <si>
    <t xml:space="preserve">     Fraction of energy delivered through battery, %</t>
  </si>
  <si>
    <t>Equivalent total length of passages into and out of pack (Lp), cm</t>
  </si>
  <si>
    <t xml:space="preserve">     Power for accessories, kW</t>
  </si>
  <si>
    <t>Vehicle requirements (Note: Not for design ,but for estimating cooling requirements.)</t>
  </si>
  <si>
    <t xml:space="preserve">     Battery resistance for sustained power, ohms</t>
  </si>
  <si>
    <t>Applicable battery resistance, ohms</t>
  </si>
  <si>
    <t>Length of air channel between cells, cm</t>
  </si>
  <si>
    <t>Designated constant speed at energy requirement, mph</t>
  </si>
  <si>
    <t xml:space="preserve">     Total Power at designated speed, kW</t>
  </si>
  <si>
    <t xml:space="preserve">     Power for aerodynamic drag, kW</t>
  </si>
  <si>
    <r>
      <t xml:space="preserve">     Power factor for aerodynamic drag, kW/(mph)</t>
    </r>
    <r>
      <rPr>
        <b/>
        <vertAlign val="superscript"/>
        <sz val="10"/>
        <rFont val="Arial"/>
        <family val="2"/>
      </rPr>
      <t>3</t>
    </r>
  </si>
  <si>
    <t xml:space="preserve">     Power factor for rolling friction, kW/mph</t>
  </si>
  <si>
    <t xml:space="preserve">   EG-W = ethylene glycol - 50% water)</t>
  </si>
  <si>
    <t>Adequacy of Cooling</t>
  </si>
  <si>
    <r>
      <t xml:space="preserve">Assumed initial temperature, </t>
    </r>
    <r>
      <rPr>
        <vertAlign val="superscript"/>
        <sz val="10"/>
        <rFont val="Arial"/>
        <family val="2"/>
      </rPr>
      <t>o</t>
    </r>
    <r>
      <rPr>
        <sz val="10"/>
        <rFont val="Arial"/>
        <family val="2"/>
      </rPr>
      <t>C</t>
    </r>
  </si>
  <si>
    <r>
      <t xml:space="preserve">Average battery temperature at end of discharge, </t>
    </r>
    <r>
      <rPr>
        <vertAlign val="superscript"/>
        <sz val="10"/>
        <rFont val="Arial"/>
        <family val="2"/>
      </rPr>
      <t>o</t>
    </r>
    <r>
      <rPr>
        <sz val="10"/>
        <rFont val="Arial"/>
        <family val="2"/>
      </rPr>
      <t>C</t>
    </r>
  </si>
  <si>
    <t>Voltage on discharge, V</t>
  </si>
  <si>
    <t>Current on discharge, I</t>
  </si>
  <si>
    <t>Constant speed sustained at energy requirement, mph</t>
  </si>
  <si>
    <t xml:space="preserve">     Selected maximum, mph</t>
  </si>
  <si>
    <r>
      <t xml:space="preserve">     Maximum temperature at center of hottest cells, </t>
    </r>
    <r>
      <rPr>
        <vertAlign val="superscript"/>
        <sz val="10"/>
        <rFont val="Arial"/>
        <family val="2"/>
      </rPr>
      <t>o</t>
    </r>
    <r>
      <rPr>
        <sz val="10"/>
        <rFont val="Arial"/>
        <family val="2"/>
      </rPr>
      <t>C</t>
    </r>
  </si>
  <si>
    <r>
      <t xml:space="preserve">     Target temperature at center of hottest cell, </t>
    </r>
    <r>
      <rPr>
        <vertAlign val="superscript"/>
        <sz val="10"/>
        <rFont val="Arial"/>
        <family val="2"/>
      </rPr>
      <t>o</t>
    </r>
    <r>
      <rPr>
        <sz val="10"/>
        <rFont val="Arial"/>
        <family val="2"/>
      </rPr>
      <t>C</t>
    </r>
  </si>
  <si>
    <t>Target width of air flow channel, cm</t>
  </si>
  <si>
    <t>Hydraulic diameter (4*flow area/perimeter), Dh</t>
  </si>
  <si>
    <t xml:space="preserve">     Thickness of air flow channel (holding)</t>
  </si>
  <si>
    <t>Maximum Sustained Vehicle Speed with Electric Power</t>
  </si>
  <si>
    <t>PHEV and EV Battery Packs</t>
  </si>
  <si>
    <t>Coolant Properties</t>
  </si>
  <si>
    <t>Temperature Drop from Cell Center to Module Wall (steady state)</t>
  </si>
  <si>
    <r>
      <t xml:space="preserve">     Heat capacity, J/g-</t>
    </r>
    <r>
      <rPr>
        <vertAlign val="superscript"/>
        <sz val="10"/>
        <rFont val="Arial"/>
        <family val="2"/>
      </rPr>
      <t>o</t>
    </r>
    <r>
      <rPr>
        <sz val="10"/>
        <rFont val="Arial"/>
        <family val="2"/>
      </rPr>
      <t>C</t>
    </r>
  </si>
  <si>
    <r>
      <t>Pressure drop, bars = 48*</t>
    </r>
    <r>
      <rPr>
        <sz val="10"/>
        <rFont val="Arial"/>
        <family val="2"/>
      </rPr>
      <t>µ*GL/(</t>
    </r>
    <r>
      <rPr>
        <sz val="10"/>
        <rFont val="Calibri"/>
        <family val="2"/>
      </rPr>
      <t>ρ</t>
    </r>
    <r>
      <rPr>
        <sz val="10"/>
        <rFont val="Arial"/>
        <family val="2"/>
      </rPr>
      <t>Dh^2)/1000000</t>
    </r>
  </si>
  <si>
    <r>
      <t xml:space="preserve">     Density (</t>
    </r>
    <r>
      <rPr>
        <sz val="10"/>
        <rFont val="Calibri"/>
        <family val="2"/>
      </rPr>
      <t>ρ)</t>
    </r>
    <r>
      <rPr>
        <sz val="10"/>
        <rFont val="Arial"/>
        <family val="2"/>
      </rPr>
      <t>, g/mL</t>
    </r>
  </si>
  <si>
    <r>
      <t xml:space="preserve">     Viscosity (</t>
    </r>
    <r>
      <rPr>
        <sz val="10"/>
        <rFont val="Calibri"/>
        <family val="2"/>
      </rPr>
      <t>µ</t>
    </r>
    <r>
      <rPr>
        <sz val="10"/>
        <rFont val="Arial"/>
        <family val="2"/>
      </rPr>
      <t>), poise (g/s-cm)</t>
    </r>
  </si>
  <si>
    <r>
      <t xml:space="preserve">     Conductivity (k), W/cm-</t>
    </r>
    <r>
      <rPr>
        <vertAlign val="superscript"/>
        <sz val="10"/>
        <rFont val="Arial"/>
        <family val="2"/>
      </rPr>
      <t>o</t>
    </r>
    <r>
      <rPr>
        <sz val="10"/>
        <rFont val="Arial"/>
        <family val="2"/>
      </rPr>
      <t>C</t>
    </r>
  </si>
  <si>
    <t xml:space="preserve">     Suggested maximum sustained vehicle speed, mph</t>
  </si>
  <si>
    <t>Length of cell  sleeve, cm</t>
  </si>
  <si>
    <t>Weight of battery pack heaters (0.1 kg/kW), kg</t>
  </si>
  <si>
    <t>Thickness of pack extensions for air-cooled packs, mm</t>
  </si>
  <si>
    <t>Total volume of pack extensions for air-cooled packs, L</t>
  </si>
  <si>
    <t>Total weight of pack extensions for air-cooled packs, kg</t>
  </si>
  <si>
    <t>Battery pack length (A dimension), mm</t>
  </si>
  <si>
    <t>Battery pack width (B dimension), mm</t>
  </si>
  <si>
    <t>Battery pack height (C dimension), mm</t>
  </si>
  <si>
    <t>Pack Cost</t>
  </si>
  <si>
    <t>Thermal Cost</t>
  </si>
  <si>
    <t>Total Cost</t>
  </si>
  <si>
    <t>Positive error, %</t>
  </si>
  <si>
    <t>Negative error, %</t>
  </si>
  <si>
    <t>Coolant</t>
  </si>
  <si>
    <t>Max Temp</t>
  </si>
  <si>
    <t>Max Speed</t>
  </si>
  <si>
    <t>Heat generation</t>
  </si>
  <si>
    <t>Wall to coolant delta T</t>
  </si>
  <si>
    <t>Cooling, hot ambient</t>
  </si>
  <si>
    <t>Heating, cold ambient</t>
  </si>
  <si>
    <t>Cold start power</t>
  </si>
  <si>
    <t>Cold start Time</t>
  </si>
  <si>
    <t>OCV</t>
  </si>
  <si>
    <t>Current at full Power</t>
  </si>
  <si>
    <t>Length-to-width ratio</t>
  </si>
  <si>
    <t>Pack Height</t>
  </si>
  <si>
    <t xml:space="preserve">Cells per module </t>
  </si>
  <si>
    <t>Cells in parallel</t>
  </si>
  <si>
    <t>Modules in row</t>
  </si>
  <si>
    <t>Rows of modules</t>
  </si>
  <si>
    <t>Cooling power</t>
  </si>
  <si>
    <t>Coolant temp rise</t>
  </si>
  <si>
    <t>Power into air to provide flow, W</t>
  </si>
  <si>
    <t>Pressure drop</t>
  </si>
  <si>
    <t>Heat added by air flow</t>
  </si>
  <si>
    <t>Pack Weight</t>
  </si>
  <si>
    <t>Pack Volume</t>
  </si>
  <si>
    <t>Thickness of air channel</t>
  </si>
  <si>
    <r>
      <rPr>
        <b/>
        <sz val="10"/>
        <rFont val="Arial"/>
        <family val="2"/>
      </rPr>
      <t>BatPaC  (Battery Performance and Cost Model) SOFTWARE COPYRIGHT NOTIFICATION</t>
    </r>
    <r>
      <rPr>
        <sz val="10"/>
        <rFont val="Arial"/>
        <family val="2"/>
      </rPr>
      <t xml:space="preserve">
© COPYRIGHT 2011 UCHICAGO ARGONNE, LLC    All rights reserved.  The BatPaC, Version 2.0 and 1.0 software, manual and supporting documentation are protectable under copyright laws of the United States.
NEITHER THE UNITED STATES GOVERNMENT NOR ANY AGENCY THEREOF, NOR THE UCHICAGO ARGONNE, LLC, NOR ANY OF THEIR EMPLOYEES, MAKES ANY WARRANTY, EXPRESS OR IMPLIED, OR ASSUMES ANY LEGAL LIABILITY OR RESPONSIBILITY FOR THE ACCURACY, COMPLETENESS, OR USEFULNESS OF ANY INFORMATION, APPARATUS, PRODUCT, OR PROCESS DISCLOSED, OR REPRESENTS THAT ITS USE WOULD NOT INFRINGE PRIVATELY OWNED RIGHTS.
Paul Nelson, Kevin Gallagher, and Ira Bloom 
Chemical Science and Engineering Division
Argonne National Laboratory
9700 S. Cass Ave, Lemont, IL 60439
www.cse.anl.gov/batpac</t>
    </r>
  </si>
  <si>
    <t>Number of modules in parallel</t>
  </si>
  <si>
    <t>Pressure drop through channels, bars = 48*µ*GL/(RhoDh^2)/1,000,000</t>
  </si>
  <si>
    <t>Number of battery packs manufactured per year</t>
  </si>
  <si>
    <t>Total unit cost per pack not including warranty, $</t>
  </si>
  <si>
    <t>Bus bar for packs with one row of modules or</t>
  </si>
  <si>
    <t xml:space="preserve">     multiple modules or packs in parallel, $ each</t>
  </si>
  <si>
    <t>Bus bar for battery packs with one row of modules</t>
  </si>
  <si>
    <t>Bus bars for interconnecting multiple battery packs</t>
  </si>
  <si>
    <t>Bus bars for battery packs with parallel modules</t>
  </si>
  <si>
    <t>Additional for parallel modules and packs, $ per string</t>
  </si>
  <si>
    <t>Total cost per battery pack</t>
  </si>
  <si>
    <t>Heating system, $/kW/pack</t>
  </si>
  <si>
    <t>Additional for multiple packs, $/additional pack</t>
  </si>
  <si>
    <t>Number of packs per vehicle (parallel or series)</t>
  </si>
  <si>
    <t>Additional for parallel modules and multiple packs, $</t>
  </si>
  <si>
    <t>Error bars on price to OEM for battery pack, %</t>
  </si>
  <si>
    <t xml:space="preserve">     Parallel packs (P) or series (S)</t>
  </si>
  <si>
    <t>Energy requirement of vehicle, Wh/mile</t>
  </si>
  <si>
    <t>Energy requirement of battery pack, Wh/mile</t>
  </si>
  <si>
    <t>Calculated Battery Pack Parameters</t>
  </si>
  <si>
    <t>Total battery pack energy storage, kWh</t>
  </si>
  <si>
    <t>Number of battery packs</t>
  </si>
  <si>
    <t>Battery system total energy storage, kWh</t>
  </si>
  <si>
    <t>Battery system power at target % OCV, kW</t>
  </si>
  <si>
    <t>Required battery system power, kW</t>
  </si>
  <si>
    <t xml:space="preserve">     Packs in series or parallel</t>
  </si>
  <si>
    <t>Nominal battery system voltage (OCV at 50% SOC),V</t>
  </si>
  <si>
    <t>Heat Transfer Fluid (CA = Cabin air, CoolA = Cooled air,</t>
  </si>
  <si>
    <t>Calculated Parameters for Multipack Systems</t>
  </si>
  <si>
    <r>
      <t xml:space="preserve">     Override value, </t>
    </r>
    <r>
      <rPr>
        <vertAlign val="superscript"/>
        <sz val="10"/>
        <rFont val="Arial"/>
        <family val="2"/>
      </rPr>
      <t>o</t>
    </r>
    <r>
      <rPr>
        <sz val="10"/>
        <rFont val="Arial"/>
        <family val="2"/>
      </rPr>
      <t>C</t>
    </r>
  </si>
  <si>
    <r>
      <t xml:space="preserve">     Default value, </t>
    </r>
    <r>
      <rPr>
        <vertAlign val="superscript"/>
        <sz val="10"/>
        <rFont val="Arial"/>
        <family val="2"/>
      </rPr>
      <t>o</t>
    </r>
    <r>
      <rPr>
        <sz val="10"/>
        <rFont val="Arial"/>
        <family val="2"/>
      </rPr>
      <t>C</t>
    </r>
  </si>
  <si>
    <t>Coolant Inlet Temperature</t>
  </si>
  <si>
    <r>
      <t xml:space="preserve">     Selected temperature, </t>
    </r>
    <r>
      <rPr>
        <vertAlign val="superscript"/>
        <sz val="10"/>
        <rFont val="Arial"/>
        <family val="2"/>
      </rPr>
      <t>o</t>
    </r>
    <r>
      <rPr>
        <sz val="10"/>
        <rFont val="Arial"/>
        <family val="2"/>
      </rPr>
      <t>C</t>
    </r>
  </si>
  <si>
    <r>
      <t xml:space="preserve">Coolant temperature at inlet to pack, </t>
    </r>
    <r>
      <rPr>
        <vertAlign val="superscript"/>
        <sz val="10"/>
        <rFont val="Arial"/>
        <family val="2"/>
      </rPr>
      <t>o</t>
    </r>
    <r>
      <rPr>
        <sz val="10"/>
        <rFont val="Arial"/>
        <family val="2"/>
      </rPr>
      <t>C</t>
    </r>
  </si>
  <si>
    <t>Power to compressor, W</t>
  </si>
  <si>
    <t>Pack heat transfer fluid (EG-W, CA, CoolA )</t>
  </si>
  <si>
    <t>Modules per pack</t>
  </si>
  <si>
    <t>Cells per pack</t>
  </si>
  <si>
    <t>Battery system capacity, Ah</t>
  </si>
  <si>
    <t xml:space="preserve">Cell group capacity </t>
  </si>
  <si>
    <t>Pack capacity, Ah</t>
  </si>
  <si>
    <t>Selected heat generation rate for pack, W</t>
  </si>
  <si>
    <t>Cooling system power requirement for entire battery system, W</t>
  </si>
  <si>
    <t>Heat Generation in Pack at Maximum Sustained Speed</t>
  </si>
  <si>
    <t>Cooling required at steady state per Pack, W</t>
  </si>
  <si>
    <t>Heat Input required at steady state per pack, W</t>
  </si>
  <si>
    <t>Cooling of Cells with Air at Steady State</t>
  </si>
  <si>
    <t>Total weight of multiple packs, kg</t>
  </si>
  <si>
    <t>Total volume of multiple packs, L</t>
  </si>
  <si>
    <t>Weight and Volume of Cooling System Exterior to Battery Packs</t>
  </si>
  <si>
    <t>Total weight of battery pack(s), kg</t>
  </si>
  <si>
    <t>Total volume of battery pack(s), L</t>
  </si>
  <si>
    <t xml:space="preserve">     Override maximum sustainable vehicle speed, mph</t>
  </si>
  <si>
    <t>Excessive battery volume, reduce sustainable speed (if X)</t>
  </si>
  <si>
    <t xml:space="preserve">        Suggested maximum (holding)</t>
  </si>
  <si>
    <t>P</t>
  </si>
  <si>
    <r>
      <t>Fluid flow velocity in channel (v</t>
    </r>
    <r>
      <rPr>
        <vertAlign val="subscript"/>
        <sz val="10"/>
        <rFont val="Arial"/>
        <family val="2"/>
      </rPr>
      <t>c</t>
    </r>
    <r>
      <rPr>
        <sz val="10"/>
        <rFont val="Arial"/>
        <family val="2"/>
      </rPr>
      <t>), cm/sec</t>
    </r>
  </si>
  <si>
    <r>
      <t>Fluid flow velocity in pack (v</t>
    </r>
    <r>
      <rPr>
        <vertAlign val="subscript"/>
        <sz val="10"/>
        <rFont val="Arial"/>
        <family val="2"/>
      </rPr>
      <t>p</t>
    </r>
    <r>
      <rPr>
        <sz val="10"/>
        <rFont val="Arial"/>
        <family val="2"/>
      </rPr>
      <t>), cm/sec</t>
    </r>
  </si>
  <si>
    <t>Entrance and exit losses, 2(vp2-vc2)/2*Rho, bar</t>
  </si>
  <si>
    <t>EG-W</t>
  </si>
  <si>
    <t>EV</t>
  </si>
  <si>
    <t>S</t>
  </si>
  <si>
    <t>Number of rows of modules per pack</t>
  </si>
  <si>
    <t>Number of modules per battery pack</t>
  </si>
  <si>
    <t>Cells per battery pack</t>
  </si>
  <si>
    <t>Total cells per battery system</t>
  </si>
  <si>
    <t>Battery pack power, kW</t>
  </si>
  <si>
    <t>Module capacity, Ah</t>
  </si>
  <si>
    <t>Total battery energy storage, kWh</t>
  </si>
  <si>
    <t>Number modules per battery pack</t>
  </si>
  <si>
    <t>Number of battery packs per vehicle</t>
  </si>
  <si>
    <t>Cell group capacity, Ah</t>
  </si>
  <si>
    <t>Battery pack capacity, Ah</t>
  </si>
  <si>
    <t>Number of cells per pack</t>
  </si>
  <si>
    <t xml:space="preserve">     Designed battery pack power for short bursts, kW</t>
  </si>
  <si>
    <t>Energy requirement for pack, Wh/mile</t>
  </si>
  <si>
    <r>
      <t xml:space="preserve">Power Requirement from </t>
    </r>
    <r>
      <rPr>
        <u/>
        <sz val="10"/>
        <rFont val="Arial"/>
        <family val="2"/>
      </rPr>
      <t>Each Pack</t>
    </r>
    <r>
      <rPr>
        <sz val="10"/>
        <rFont val="Arial"/>
        <family val="2"/>
      </rPr>
      <t xml:space="preserve"> for Sedan Including Inefficiencies</t>
    </r>
  </si>
  <si>
    <t>Vehicle Range</t>
  </si>
  <si>
    <t>Power to compressor and pump for battery pack, W</t>
  </si>
  <si>
    <t>Heat required per pack, Wh</t>
  </si>
  <si>
    <t>Heat Required to Heat Battery Pack During Cold Start</t>
  </si>
  <si>
    <t>Additions to AC system**, $/kW</t>
  </si>
  <si>
    <t>**No charge for cabin air cooling</t>
  </si>
  <si>
    <t>Baseline thermal system*, $</t>
  </si>
  <si>
    <t>Heat generation rate for battery system, W</t>
  </si>
  <si>
    <t>Total cost of materials for cells and battery pack, $</t>
  </si>
  <si>
    <t>Manual disconnect per pack, $</t>
  </si>
  <si>
    <t>Warranty (includes battery pack(s) only)</t>
  </si>
  <si>
    <t>Resistance of battery pack terminals</t>
  </si>
  <si>
    <t xml:space="preserve">     Potential positive error, %</t>
  </si>
  <si>
    <t xml:space="preserve">     Potential negative error, %</t>
  </si>
  <si>
    <t>Negative-to-positive electrode thickness ratio</t>
  </si>
  <si>
    <t>Module resistance , ohms</t>
  </si>
  <si>
    <r>
      <t>Total cell hardware and battery ASI, ohm-cm</t>
    </r>
    <r>
      <rPr>
        <vertAlign val="superscript"/>
        <sz val="10"/>
        <rFont val="Arial"/>
        <family val="2"/>
      </rPr>
      <t>2</t>
    </r>
  </si>
  <si>
    <r>
      <t>Cell terminal and connection ASI, ohms-cm</t>
    </r>
    <r>
      <rPr>
        <vertAlign val="superscript"/>
        <sz val="10"/>
        <rFont val="Arial"/>
        <family val="2"/>
      </rPr>
      <t>2</t>
    </r>
  </si>
  <si>
    <t>Resistance of module and pack hardware per cell, ohms</t>
  </si>
  <si>
    <t>Resistance of module and pack per module, ohms</t>
  </si>
  <si>
    <t>Pack Capacity Calculation</t>
  </si>
  <si>
    <t xml:space="preserve">   Pack capacity (Ah)</t>
  </si>
  <si>
    <t xml:space="preserve">   Pack energy (kWh)</t>
  </si>
  <si>
    <r>
      <t xml:space="preserve">Positive electrode thickness, if at maximum , </t>
    </r>
    <r>
      <rPr>
        <sz val="10"/>
        <rFont val="Symbol"/>
        <family val="1"/>
        <charset val="2"/>
      </rPr>
      <t>m</t>
    </r>
    <r>
      <rPr>
        <sz val="10"/>
        <rFont val="Arial"/>
        <family val="2"/>
      </rPr>
      <t>m</t>
    </r>
  </si>
  <si>
    <r>
      <t xml:space="preserve">Negative electrode thickness, if at maximum , </t>
    </r>
    <r>
      <rPr>
        <sz val="10"/>
        <rFont val="Symbol"/>
        <family val="1"/>
        <charset val="2"/>
      </rPr>
      <t>m</t>
    </r>
    <r>
      <rPr>
        <sz val="10"/>
        <rFont val="Arial"/>
        <family val="2"/>
      </rPr>
      <t>m</t>
    </r>
  </si>
  <si>
    <t>Dow 561</t>
  </si>
  <si>
    <t>Transformer</t>
  </si>
  <si>
    <r>
      <t xml:space="preserve">Thickest electrode, </t>
    </r>
    <r>
      <rPr>
        <sz val="10"/>
        <rFont val="Symbol"/>
        <family val="1"/>
        <charset val="2"/>
      </rPr>
      <t>m</t>
    </r>
    <r>
      <rPr>
        <sz val="10"/>
        <rFont val="Arial"/>
        <family val="2"/>
      </rPr>
      <t>m</t>
    </r>
  </si>
  <si>
    <r>
      <t xml:space="preserve">     Thickest electrode, </t>
    </r>
    <r>
      <rPr>
        <sz val="10"/>
        <rFont val="Symbol"/>
        <family val="1"/>
        <charset val="2"/>
      </rPr>
      <t>m</t>
    </r>
    <r>
      <rPr>
        <sz val="10"/>
        <rFont val="Arial"/>
        <family val="2"/>
      </rPr>
      <t>m</t>
    </r>
  </si>
  <si>
    <t>Length of pack extensions for air cooled packs, mm</t>
  </si>
  <si>
    <t xml:space="preserve">Battery system Power </t>
  </si>
  <si>
    <t>*$60 additional for each added pack</t>
  </si>
  <si>
    <t>Battery System Values</t>
  </si>
  <si>
    <t>Power, kW</t>
  </si>
  <si>
    <t>Energy, kWh</t>
  </si>
  <si>
    <t>Total Cost to OEM, US$</t>
  </si>
  <si>
    <t>Wh/L</t>
  </si>
  <si>
    <r>
      <t xml:space="preserve">     Solvent evaporated, kg/m</t>
    </r>
    <r>
      <rPr>
        <vertAlign val="superscript"/>
        <sz val="10"/>
        <rFont val="Arial"/>
        <family val="2"/>
      </rPr>
      <t>2</t>
    </r>
    <r>
      <rPr>
        <sz val="10"/>
        <rFont val="Arial"/>
        <family val="2"/>
      </rPr>
      <t>yr</t>
    </r>
  </si>
  <si>
    <r>
      <t>Calculation of Annual Cell Area Processed, m</t>
    </r>
    <r>
      <rPr>
        <b/>
        <vertAlign val="superscript"/>
        <sz val="10"/>
        <rFont val="Arial"/>
        <family val="2"/>
      </rPr>
      <t>2</t>
    </r>
    <r>
      <rPr>
        <b/>
        <sz val="10"/>
        <rFont val="Arial"/>
        <family val="2"/>
      </rPr>
      <t>/yr</t>
    </r>
  </si>
  <si>
    <r>
      <t xml:space="preserve">     Solvent evaporated, kg/m</t>
    </r>
    <r>
      <rPr>
        <vertAlign val="superscript"/>
        <sz val="10"/>
        <rFont val="Arial"/>
        <family val="2"/>
      </rPr>
      <t>2</t>
    </r>
    <r>
      <rPr>
        <sz val="10"/>
        <rFont val="Arial"/>
        <family val="2"/>
      </rPr>
      <t>yr</t>
    </r>
  </si>
</sst>
</file>

<file path=xl/styles.xml><?xml version="1.0" encoding="utf-8"?>
<styleSheet xmlns="http://schemas.openxmlformats.org/spreadsheetml/2006/main">
  <numFmts count="21">
    <numFmt numFmtId="41" formatCode="_(* #,##0_);_(* \(#,##0\);_(* &quot;-&quot;_);_(@_)"/>
    <numFmt numFmtId="43" formatCode="_(* #,##0.00_);_(* \(#,##0.00\);_(* &quot;-&quot;??_);_(@_)"/>
    <numFmt numFmtId="164" formatCode="#,##0.0"/>
    <numFmt numFmtId="165" formatCode="0.0"/>
    <numFmt numFmtId="166" formatCode="0.000"/>
    <numFmt numFmtId="167" formatCode="0.0000"/>
    <numFmt numFmtId="168" formatCode="0.00000"/>
    <numFmt numFmtId="169" formatCode="_(* #,##0.0_);_(* \(#,##0.0\);_(* &quot;-&quot;??_);_(@_)"/>
    <numFmt numFmtId="170" formatCode="_(* #,##0_);_(* \(#,##0\);_(* &quot;-&quot;??_);_(@_)"/>
    <numFmt numFmtId="171" formatCode="#,##0.000_);[Red]\(#,##0.000\)"/>
    <numFmt numFmtId="172" formatCode="_(* #,##0.000_);_(* \(#,##0.000\);_(* &quot;-&quot;??_);_(@_)"/>
    <numFmt numFmtId="173" formatCode="_(* #,##0.0000_);_(* \(#,##0.0000\);_(* &quot;-&quot;??_);_(@_)"/>
    <numFmt numFmtId="174" formatCode="#,##0.0_);[Red]\(#,##0.0\)"/>
    <numFmt numFmtId="175" formatCode="0.0000000"/>
    <numFmt numFmtId="176" formatCode="0.000000"/>
    <numFmt numFmtId="177" formatCode="0.0E+00"/>
    <numFmt numFmtId="178" formatCode="#,##0.000"/>
    <numFmt numFmtId="179" formatCode="#,##0.0000000"/>
    <numFmt numFmtId="180" formatCode="#,##0.000000_);[Red]\(#,##0.000000\)"/>
    <numFmt numFmtId="181" formatCode="#,##0.0000_);[Red]\(#,##0.0000\)"/>
    <numFmt numFmtId="182" formatCode="#,##0.000_);\(#,##0.000\)"/>
  </numFmts>
  <fonts count="43">
    <font>
      <sz val="10"/>
      <name val="Arial"/>
    </font>
    <font>
      <sz val="10"/>
      <name val="Arial"/>
      <family val="2"/>
    </font>
    <font>
      <b/>
      <sz val="12"/>
      <name val="Arial"/>
      <family val="2"/>
    </font>
    <font>
      <vertAlign val="superscript"/>
      <sz val="10"/>
      <name val="Arial"/>
      <family val="2"/>
    </font>
    <font>
      <sz val="10"/>
      <name val="Arial"/>
      <family val="2"/>
    </font>
    <font>
      <sz val="8"/>
      <name val="Arial"/>
      <family val="2"/>
    </font>
    <font>
      <b/>
      <sz val="10"/>
      <name val="Arial"/>
      <family val="2"/>
    </font>
    <font>
      <sz val="10"/>
      <name val="Symbol"/>
      <family val="1"/>
      <charset val="2"/>
    </font>
    <font>
      <sz val="9"/>
      <name val="Arial"/>
      <family val="2"/>
    </font>
    <font>
      <sz val="12"/>
      <name val="Arial"/>
      <family val="2"/>
    </font>
    <font>
      <u/>
      <sz val="10"/>
      <name val="Arial"/>
      <family val="2"/>
    </font>
    <font>
      <sz val="8"/>
      <color indexed="81"/>
      <name val="Tahoma"/>
      <family val="2"/>
    </font>
    <font>
      <b/>
      <sz val="8"/>
      <color indexed="81"/>
      <name val="Tahoma"/>
      <family val="2"/>
    </font>
    <font>
      <u/>
      <vertAlign val="superscript"/>
      <sz val="10"/>
      <name val="Arial"/>
      <family val="2"/>
    </font>
    <font>
      <b/>
      <sz val="14"/>
      <name val="Arial"/>
      <family val="2"/>
    </font>
    <font>
      <u/>
      <sz val="10"/>
      <name val="Arial"/>
      <family val="2"/>
    </font>
    <font>
      <b/>
      <sz val="10"/>
      <color indexed="10"/>
      <name val="Arial"/>
      <family val="2"/>
    </font>
    <font>
      <b/>
      <vertAlign val="superscript"/>
      <sz val="10"/>
      <name val="Arial"/>
      <family val="2"/>
    </font>
    <font>
      <b/>
      <sz val="10"/>
      <color indexed="12"/>
      <name val="Arial"/>
      <family val="2"/>
    </font>
    <font>
      <b/>
      <sz val="10"/>
      <color indexed="21"/>
      <name val="Arial"/>
      <family val="2"/>
    </font>
    <font>
      <vertAlign val="subscript"/>
      <sz val="10"/>
      <name val="Arial"/>
      <family val="2"/>
    </font>
    <font>
      <b/>
      <sz val="10"/>
      <color indexed="17"/>
      <name val="Arial"/>
      <family val="2"/>
    </font>
    <font>
      <b/>
      <sz val="10"/>
      <color indexed="61"/>
      <name val="Arial"/>
      <family val="2"/>
    </font>
    <font>
      <b/>
      <sz val="10"/>
      <color indexed="48"/>
      <name val="Arial"/>
      <family val="2"/>
    </font>
    <font>
      <b/>
      <sz val="10"/>
      <color indexed="14"/>
      <name val="Arial"/>
      <family val="2"/>
    </font>
    <font>
      <b/>
      <sz val="10"/>
      <name val="Arial"/>
      <family val="2"/>
    </font>
    <font>
      <sz val="10"/>
      <name val="Arial"/>
      <family val="2"/>
    </font>
    <font>
      <b/>
      <sz val="12"/>
      <name val="Arial"/>
      <family val="2"/>
    </font>
    <font>
      <b/>
      <sz val="10"/>
      <color indexed="10"/>
      <name val="Arial"/>
      <family val="2"/>
    </font>
    <font>
      <sz val="18"/>
      <name val="Arial"/>
      <family val="2"/>
    </font>
    <font>
      <b/>
      <sz val="22"/>
      <name val="Arial"/>
      <family val="2"/>
    </font>
    <font>
      <b/>
      <sz val="12"/>
      <color indexed="10"/>
      <name val="Arial"/>
      <family val="2"/>
    </font>
    <font>
      <b/>
      <sz val="10"/>
      <color indexed="10"/>
      <name val="Arial"/>
      <family val="2"/>
    </font>
    <font>
      <b/>
      <sz val="10"/>
      <color indexed="10"/>
      <name val="Arial"/>
      <family val="2"/>
    </font>
    <font>
      <sz val="8"/>
      <name val="Arial"/>
      <family val="2"/>
    </font>
    <font>
      <b/>
      <sz val="11"/>
      <name val="Arial"/>
      <family val="2"/>
    </font>
    <font>
      <b/>
      <u/>
      <sz val="10"/>
      <name val="Arial"/>
      <family val="2"/>
    </font>
    <font>
      <sz val="10"/>
      <name val="Calibri"/>
      <family val="2"/>
    </font>
    <font>
      <b/>
      <sz val="10"/>
      <color rgb="FFFF0000"/>
      <name val="Arial"/>
      <family val="2"/>
    </font>
    <font>
      <u/>
      <sz val="10"/>
      <color indexed="10"/>
      <name val="Arial"/>
      <family val="2"/>
    </font>
    <font>
      <sz val="10"/>
      <color rgb="FFFF0000"/>
      <name val="Arial"/>
      <family val="2"/>
    </font>
    <font>
      <sz val="11"/>
      <name val="Arial"/>
      <family val="2"/>
    </font>
    <font>
      <b/>
      <sz val="11"/>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gray0625">
        <bgColor indexed="42"/>
      </patternFill>
    </fill>
    <fill>
      <patternFill patternType="solid">
        <fgColor indexed="41"/>
        <bgColor indexed="64"/>
      </patternFill>
    </fill>
    <fill>
      <patternFill patternType="solid">
        <fgColor indexed="40"/>
        <bgColor indexed="64"/>
      </patternFill>
    </fill>
    <fill>
      <patternFill patternType="solid">
        <fgColor indexed="15"/>
        <bgColor indexed="64"/>
      </patternFill>
    </fill>
    <fill>
      <patternFill patternType="solid">
        <fgColor indexed="42"/>
        <bgColor indexed="64"/>
      </patternFill>
    </fill>
    <fill>
      <patternFill patternType="solid">
        <fgColor indexed="46"/>
        <bgColor indexed="64"/>
      </patternFill>
    </fill>
    <fill>
      <patternFill patternType="solid">
        <fgColor rgb="FF66FFFF"/>
        <bgColor indexed="64"/>
      </patternFill>
    </fill>
    <fill>
      <patternFill patternType="solid">
        <fgColor rgb="FFFFFF00"/>
        <bgColor indexed="64"/>
      </patternFill>
    </fill>
    <fill>
      <patternFill patternType="solid">
        <fgColor rgb="FFFFFF99"/>
        <bgColor indexed="64"/>
      </patternFill>
    </fill>
  </fills>
  <borders count="8">
    <border>
      <left/>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2">
    <xf numFmtId="0" fontId="0" fillId="0" borderId="0" xfId="0"/>
    <xf numFmtId="0" fontId="2" fillId="0" borderId="0" xfId="0" applyFont="1" applyAlignment="1">
      <alignment horizontal="center"/>
    </xf>
    <xf numFmtId="0" fontId="0" fillId="0" borderId="0" xfId="0" applyAlignment="1">
      <alignment horizontal="left"/>
    </xf>
    <xf numFmtId="0" fontId="0" fillId="0" borderId="0" xfId="0" applyAlignment="1">
      <alignment horizontal="center"/>
    </xf>
    <xf numFmtId="1" fontId="0" fillId="0" borderId="0" xfId="0" applyNumberFormat="1" applyAlignment="1">
      <alignment horizontal="center"/>
    </xf>
    <xf numFmtId="0" fontId="6" fillId="0" borderId="0" xfId="0" applyFont="1"/>
    <xf numFmtId="165" fontId="0" fillId="0" borderId="0" xfId="0" applyNumberFormat="1" applyAlignment="1">
      <alignment horizontal="center"/>
    </xf>
    <xf numFmtId="0" fontId="4" fillId="0" borderId="0" xfId="0" applyFont="1"/>
    <xf numFmtId="0" fontId="6"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2" fontId="8" fillId="0" borderId="0" xfId="0" applyNumberFormat="1" applyFont="1" applyBorder="1" applyAlignment="1">
      <alignment horizontal="center"/>
    </xf>
    <xf numFmtId="2" fontId="4" fillId="0" borderId="0" xfId="0" applyNumberFormat="1" applyFont="1" applyBorder="1" applyAlignment="1">
      <alignment horizontal="left"/>
    </xf>
    <xf numFmtId="0" fontId="4" fillId="0" borderId="1" xfId="0" applyFont="1" applyBorder="1" applyAlignment="1">
      <alignment horizontal="center"/>
    </xf>
    <xf numFmtId="166" fontId="4" fillId="0" borderId="0" xfId="0" applyNumberFormat="1" applyFont="1" applyAlignment="1">
      <alignment horizontal="center"/>
    </xf>
    <xf numFmtId="1" fontId="4" fillId="0" borderId="0" xfId="2" applyNumberFormat="1" applyFont="1" applyAlignment="1">
      <alignment horizontal="right"/>
    </xf>
    <xf numFmtId="0" fontId="2" fillId="0" borderId="0" xfId="0" applyFont="1" applyAlignment="1">
      <alignment horizontal="left"/>
    </xf>
    <xf numFmtId="0" fontId="0" fillId="0" borderId="1" xfId="0" applyBorder="1"/>
    <xf numFmtId="0" fontId="0" fillId="0" borderId="0" xfId="0" applyBorder="1"/>
    <xf numFmtId="0" fontId="2" fillId="0" borderId="0" xfId="0" applyFont="1"/>
    <xf numFmtId="0" fontId="9" fillId="0" borderId="0" xfId="0" applyFont="1"/>
    <xf numFmtId="2" fontId="0" fillId="0" borderId="0" xfId="0" applyNumberFormat="1" applyAlignment="1">
      <alignment horizontal="center"/>
    </xf>
    <xf numFmtId="166" fontId="0" fillId="0" borderId="0" xfId="0" applyNumberFormat="1" applyBorder="1" applyAlignment="1">
      <alignment horizontal="center"/>
    </xf>
    <xf numFmtId="0" fontId="4" fillId="0" borderId="0" xfId="0" applyFont="1" applyBorder="1" applyAlignment="1">
      <alignment horizontal="left"/>
    </xf>
    <xf numFmtId="0" fontId="4" fillId="0" borderId="0" xfId="0" applyFont="1" applyFill="1" applyBorder="1" applyAlignment="1">
      <alignment horizontal="left"/>
    </xf>
    <xf numFmtId="0" fontId="4" fillId="0" borderId="0" xfId="0" applyFont="1" applyAlignment="1">
      <alignment horizontal="right"/>
    </xf>
    <xf numFmtId="3" fontId="0" fillId="0" borderId="0" xfId="0" applyNumberFormat="1" applyAlignment="1">
      <alignment horizontal="center"/>
    </xf>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left"/>
    </xf>
    <xf numFmtId="166" fontId="1" fillId="0" borderId="0" xfId="0" applyNumberFormat="1" applyFont="1" applyBorder="1" applyAlignment="1">
      <alignment horizontal="center"/>
    </xf>
    <xf numFmtId="1" fontId="1" fillId="0" borderId="0" xfId="0" applyNumberFormat="1" applyFont="1" applyBorder="1" applyAlignment="1">
      <alignment horizontal="center"/>
    </xf>
    <xf numFmtId="1" fontId="1" fillId="0" borderId="0" xfId="2" applyNumberFormat="1" applyFont="1" applyBorder="1" applyAlignment="1">
      <alignment horizontal="right"/>
    </xf>
    <xf numFmtId="1" fontId="1" fillId="0" borderId="1" xfId="0" applyNumberFormat="1" applyFont="1" applyBorder="1" applyAlignment="1">
      <alignment horizontal="center"/>
    </xf>
    <xf numFmtId="0" fontId="1" fillId="0" borderId="1" xfId="0" applyFont="1" applyBorder="1" applyAlignment="1">
      <alignment horizontal="center"/>
    </xf>
    <xf numFmtId="2" fontId="1" fillId="0" borderId="0" xfId="0" applyNumberFormat="1" applyFont="1" applyBorder="1" applyAlignment="1">
      <alignment horizontal="center"/>
    </xf>
    <xf numFmtId="0" fontId="6" fillId="0" borderId="0" xfId="0" applyFont="1" applyAlignment="1">
      <alignment horizontal="left"/>
    </xf>
    <xf numFmtId="2" fontId="8" fillId="0" borderId="0" xfId="0" applyNumberFormat="1" applyFont="1" applyBorder="1" applyAlignment="1">
      <alignment horizontal="left"/>
    </xf>
    <xf numFmtId="43" fontId="0" fillId="0" borderId="0" xfId="1" applyFont="1"/>
    <xf numFmtId="43" fontId="0" fillId="0" borderId="0" xfId="1" applyFont="1" applyAlignment="1">
      <alignment horizontal="center"/>
    </xf>
    <xf numFmtId="43" fontId="0" fillId="0" borderId="0" xfId="0" applyNumberFormat="1"/>
    <xf numFmtId="43" fontId="0" fillId="0" borderId="1" xfId="0" applyNumberFormat="1" applyBorder="1"/>
    <xf numFmtId="43" fontId="1" fillId="0" borderId="0" xfId="1" applyFont="1" applyBorder="1" applyAlignment="1">
      <alignment horizontal="left"/>
    </xf>
    <xf numFmtId="43" fontId="1" fillId="0" borderId="0" xfId="0" applyNumberFormat="1" applyFont="1" applyBorder="1" applyAlignment="1">
      <alignment horizontal="left"/>
    </xf>
    <xf numFmtId="43" fontId="1" fillId="0" borderId="1" xfId="0" applyNumberFormat="1" applyFont="1" applyBorder="1" applyAlignment="1">
      <alignment horizontal="left"/>
    </xf>
    <xf numFmtId="0" fontId="4" fillId="0" borderId="1" xfId="0" applyFont="1" applyBorder="1" applyAlignment="1">
      <alignment horizontal="left"/>
    </xf>
    <xf numFmtId="0" fontId="1" fillId="0" borderId="1" xfId="0" applyFont="1" applyBorder="1"/>
    <xf numFmtId="0" fontId="4" fillId="0" borderId="0" xfId="0" applyFont="1" applyBorder="1"/>
    <xf numFmtId="0" fontId="1" fillId="0" borderId="1" xfId="0" applyFont="1" applyFill="1" applyBorder="1" applyAlignment="1">
      <alignment horizontal="left"/>
    </xf>
    <xf numFmtId="166" fontId="0" fillId="0" borderId="1" xfId="0" applyNumberFormat="1" applyBorder="1" applyAlignment="1">
      <alignment horizontal="center"/>
    </xf>
    <xf numFmtId="172" fontId="1" fillId="0" borderId="0" xfId="0" applyNumberFormat="1" applyFont="1" applyBorder="1" applyAlignment="1">
      <alignment horizontal="left"/>
    </xf>
    <xf numFmtId="173" fontId="1" fillId="0" borderId="0" xfId="0" applyNumberFormat="1" applyFont="1" applyBorder="1" applyAlignment="1">
      <alignment horizontal="left"/>
    </xf>
    <xf numFmtId="0" fontId="4" fillId="0" borderId="0" xfId="0" applyFont="1" applyFill="1" applyBorder="1"/>
    <xf numFmtId="169" fontId="1" fillId="0" borderId="0" xfId="0" applyNumberFormat="1" applyFont="1" applyBorder="1" applyAlignment="1">
      <alignment horizontal="left"/>
    </xf>
    <xf numFmtId="170" fontId="1" fillId="0" borderId="0" xfId="0" applyNumberFormat="1" applyFont="1" applyBorder="1" applyAlignment="1">
      <alignment horizontal="left"/>
    </xf>
    <xf numFmtId="2" fontId="1" fillId="0" borderId="0" xfId="0" applyNumberFormat="1" applyFont="1" applyBorder="1" applyAlignment="1">
      <alignment horizontal="left"/>
    </xf>
    <xf numFmtId="0" fontId="1" fillId="0" borderId="1" xfId="0" applyFont="1" applyBorder="1" applyAlignment="1">
      <alignment horizontal="left"/>
    </xf>
    <xf numFmtId="0" fontId="0" fillId="0" borderId="0" xfId="0" applyBorder="1" applyAlignment="1">
      <alignment horizontal="center"/>
    </xf>
    <xf numFmtId="2" fontId="0" fillId="0" borderId="0" xfId="0" applyNumberFormat="1" applyBorder="1" applyAlignment="1">
      <alignment horizontal="center"/>
    </xf>
    <xf numFmtId="171" fontId="0" fillId="0" borderId="0" xfId="1" applyNumberFormat="1" applyFont="1"/>
    <xf numFmtId="0" fontId="6" fillId="0" borderId="1" xfId="0" applyFont="1" applyBorder="1"/>
    <xf numFmtId="0" fontId="6" fillId="0" borderId="1" xfId="0" applyFont="1" applyBorder="1" applyAlignment="1">
      <alignment horizontal="center"/>
    </xf>
    <xf numFmtId="0" fontId="2" fillId="0" borderId="0" xfId="0" applyFont="1" applyBorder="1"/>
    <xf numFmtId="0" fontId="6" fillId="0" borderId="0" xfId="0" applyFont="1" applyBorder="1"/>
    <xf numFmtId="0" fontId="6" fillId="0" borderId="0" xfId="0" applyFont="1" applyBorder="1" applyAlignment="1">
      <alignment horizontal="center"/>
    </xf>
    <xf numFmtId="0" fontId="4" fillId="0" borderId="0" xfId="0" applyFont="1" applyBorder="1" applyAlignment="1">
      <alignment horizontal="center"/>
    </xf>
    <xf numFmtId="38" fontId="4" fillId="0" borderId="0" xfId="1" applyNumberFormat="1" applyFont="1" applyBorder="1" applyAlignment="1">
      <alignment horizontal="center"/>
    </xf>
    <xf numFmtId="38" fontId="4" fillId="0" borderId="0" xfId="1" applyNumberFormat="1" applyFont="1" applyBorder="1" applyAlignment="1">
      <alignment horizontal="right"/>
    </xf>
    <xf numFmtId="0" fontId="6" fillId="0" borderId="0" xfId="0" applyFont="1" applyFill="1" applyBorder="1" applyAlignment="1">
      <alignment horizontal="center"/>
    </xf>
    <xf numFmtId="2" fontId="0" fillId="0" borderId="0" xfId="0" applyNumberFormat="1" applyAlignment="1"/>
    <xf numFmtId="0" fontId="9" fillId="0" borderId="0" xfId="0" applyFont="1" applyAlignment="1">
      <alignment horizontal="center"/>
    </xf>
    <xf numFmtId="166" fontId="0" fillId="0" borderId="0" xfId="0" applyNumberFormat="1" applyAlignment="1">
      <alignment horizontal="center"/>
    </xf>
    <xf numFmtId="170" fontId="6" fillId="0" borderId="0" xfId="1" applyNumberFormat="1" applyFont="1" applyAlignment="1">
      <alignment horizontal="center"/>
    </xf>
    <xf numFmtId="0" fontId="6" fillId="0" borderId="0" xfId="0" applyFont="1" applyBorder="1" applyAlignment="1"/>
    <xf numFmtId="0" fontId="6" fillId="0" borderId="1" xfId="0" applyFont="1" applyBorder="1" applyAlignment="1">
      <alignment horizontal="left"/>
    </xf>
    <xf numFmtId="170" fontId="6" fillId="0" borderId="1" xfId="1" applyNumberFormat="1" applyFont="1" applyBorder="1" applyAlignment="1">
      <alignment horizontal="center"/>
    </xf>
    <xf numFmtId="170" fontId="4" fillId="0" borderId="0" xfId="1" applyNumberFormat="1" applyFont="1" applyBorder="1" applyAlignment="1">
      <alignment horizontal="center"/>
    </xf>
    <xf numFmtId="170" fontId="4" fillId="0" borderId="0" xfId="1" applyNumberFormat="1" applyFont="1" applyAlignment="1">
      <alignment horizontal="center"/>
    </xf>
    <xf numFmtId="38" fontId="4" fillId="0" borderId="0" xfId="1" applyNumberFormat="1" applyFont="1" applyAlignment="1">
      <alignment horizontal="right"/>
    </xf>
    <xf numFmtId="174" fontId="4" fillId="0" borderId="0" xfId="1" applyNumberFormat="1" applyFont="1" applyAlignment="1">
      <alignment horizontal="right"/>
    </xf>
    <xf numFmtId="0" fontId="10" fillId="0" borderId="0" xfId="0" applyFont="1"/>
    <xf numFmtId="0" fontId="6" fillId="0" borderId="0" xfId="0" applyFont="1" applyFill="1" applyBorder="1"/>
    <xf numFmtId="174" fontId="0" fillId="0" borderId="0" xfId="1" applyNumberFormat="1" applyFont="1"/>
    <xf numFmtId="166" fontId="0" fillId="0" borderId="0" xfId="0" applyNumberFormat="1"/>
    <xf numFmtId="38" fontId="0" fillId="0" borderId="0" xfId="1" applyNumberFormat="1" applyFont="1" applyAlignment="1">
      <alignment horizontal="right"/>
    </xf>
    <xf numFmtId="38" fontId="0" fillId="0" borderId="0" xfId="1" applyNumberFormat="1" applyFont="1" applyAlignment="1">
      <alignment horizontal="center"/>
    </xf>
    <xf numFmtId="40" fontId="0" fillId="0" borderId="0" xfId="1" applyNumberFormat="1" applyFont="1" applyAlignment="1">
      <alignment horizontal="right"/>
    </xf>
    <xf numFmtId="40" fontId="0" fillId="0" borderId="0" xfId="1" applyNumberFormat="1" applyFont="1" applyAlignment="1">
      <alignment horizontal="center"/>
    </xf>
    <xf numFmtId="2" fontId="6" fillId="0" borderId="0" xfId="0" applyNumberFormat="1" applyFont="1" applyBorder="1" applyAlignment="1">
      <alignment horizontal="center"/>
    </xf>
    <xf numFmtId="174" fontId="4" fillId="2" borderId="0" xfId="1" applyNumberFormat="1" applyFont="1" applyFill="1" applyAlignment="1">
      <alignment horizontal="right"/>
    </xf>
    <xf numFmtId="169" fontId="4" fillId="0" borderId="0" xfId="1" applyNumberFormat="1" applyFont="1" applyBorder="1" applyAlignment="1">
      <alignment horizontal="center"/>
    </xf>
    <xf numFmtId="172" fontId="4" fillId="0" borderId="0" xfId="1" applyNumberFormat="1" applyFont="1" applyBorder="1" applyAlignment="1">
      <alignment horizontal="center"/>
    </xf>
    <xf numFmtId="172" fontId="0" fillId="0" borderId="0" xfId="0" applyNumberFormat="1"/>
    <xf numFmtId="172" fontId="4" fillId="0" borderId="0" xfId="1" applyNumberFormat="1" applyFont="1" applyAlignment="1">
      <alignment horizontal="center"/>
    </xf>
    <xf numFmtId="2" fontId="0" fillId="0" borderId="0" xfId="0" applyNumberFormat="1"/>
    <xf numFmtId="43" fontId="4" fillId="0" borderId="0" xfId="1" applyFont="1" applyBorder="1" applyAlignment="1">
      <alignment horizontal="center"/>
    </xf>
    <xf numFmtId="170" fontId="4" fillId="0" borderId="0" xfId="1" applyNumberFormat="1" applyFont="1" applyBorder="1" applyAlignment="1">
      <alignment horizontal="left"/>
    </xf>
    <xf numFmtId="0" fontId="4" fillId="0" borderId="0" xfId="1" applyNumberFormat="1" applyFont="1" applyBorder="1" applyAlignment="1">
      <alignment horizontal="center"/>
    </xf>
    <xf numFmtId="38" fontId="0" fillId="0" borderId="0" xfId="1" applyNumberFormat="1" applyFont="1"/>
    <xf numFmtId="38" fontId="0" fillId="0" borderId="0" xfId="0" applyNumberFormat="1"/>
    <xf numFmtId="170" fontId="0" fillId="0" borderId="0" xfId="0" applyNumberFormat="1"/>
    <xf numFmtId="170" fontId="0" fillId="0" borderId="1" xfId="0" applyNumberFormat="1" applyBorder="1"/>
    <xf numFmtId="40" fontId="0" fillId="0" borderId="0" xfId="0" applyNumberFormat="1"/>
    <xf numFmtId="1" fontId="4" fillId="2" borderId="0" xfId="0" applyNumberFormat="1" applyFont="1" applyFill="1" applyBorder="1" applyAlignment="1">
      <alignment horizontal="center"/>
    </xf>
    <xf numFmtId="2" fontId="0" fillId="2" borderId="0" xfId="0" applyNumberFormat="1" applyFill="1" applyAlignment="1">
      <alignment horizontal="center"/>
    </xf>
    <xf numFmtId="166" fontId="0" fillId="2" borderId="0" xfId="0" applyNumberFormat="1" applyFill="1" applyAlignment="1">
      <alignment horizontal="center"/>
    </xf>
    <xf numFmtId="0" fontId="0" fillId="2" borderId="0" xfId="0" applyFill="1" applyAlignment="1">
      <alignment horizontal="center"/>
    </xf>
    <xf numFmtId="38" fontId="4" fillId="2" borderId="0" xfId="1" applyNumberFormat="1" applyFont="1" applyFill="1" applyAlignment="1">
      <alignment horizontal="right"/>
    </xf>
    <xf numFmtId="170" fontId="4" fillId="2" borderId="0" xfId="1" applyNumberFormat="1" applyFont="1" applyFill="1" applyBorder="1" applyAlignment="1">
      <alignment horizontal="center"/>
    </xf>
    <xf numFmtId="2" fontId="0" fillId="0" borderId="0" xfId="0" applyNumberFormat="1" applyFill="1" applyAlignment="1">
      <alignment horizontal="center"/>
    </xf>
    <xf numFmtId="165" fontId="4" fillId="0" borderId="0" xfId="0" applyNumberFormat="1" applyFont="1" applyAlignment="1">
      <alignment horizontal="center"/>
    </xf>
    <xf numFmtId="0" fontId="0" fillId="3" borderId="0" xfId="0" applyFill="1" applyAlignment="1">
      <alignment horizontal="center"/>
    </xf>
    <xf numFmtId="0" fontId="4" fillId="3" borderId="0" xfId="0" applyFont="1" applyFill="1" applyAlignment="1">
      <alignment horizontal="center"/>
    </xf>
    <xf numFmtId="0" fontId="0" fillId="0" borderId="0" xfId="0" applyFill="1"/>
    <xf numFmtId="1" fontId="4" fillId="3" borderId="0" xfId="2" applyNumberFormat="1" applyFont="1" applyFill="1" applyAlignment="1">
      <alignment horizontal="center"/>
    </xf>
    <xf numFmtId="1" fontId="1" fillId="3" borderId="0" xfId="0" applyNumberFormat="1" applyFont="1" applyFill="1" applyBorder="1" applyAlignment="1">
      <alignment horizontal="center"/>
    </xf>
    <xf numFmtId="0" fontId="1" fillId="3" borderId="0" xfId="0" applyFont="1" applyFill="1" applyBorder="1" applyAlignment="1">
      <alignment horizontal="center"/>
    </xf>
    <xf numFmtId="2" fontId="1" fillId="3" borderId="0" xfId="0" applyNumberFormat="1" applyFont="1" applyFill="1" applyBorder="1" applyAlignment="1">
      <alignment horizontal="center"/>
    </xf>
    <xf numFmtId="2" fontId="1" fillId="3" borderId="0" xfId="2" applyNumberFormat="1" applyFont="1" applyFill="1" applyBorder="1" applyAlignment="1">
      <alignment horizontal="center"/>
    </xf>
    <xf numFmtId="165" fontId="0" fillId="3" borderId="0" xfId="0" applyNumberFormat="1" applyFill="1" applyAlignment="1">
      <alignment horizontal="center"/>
    </xf>
    <xf numFmtId="0" fontId="4" fillId="0" borderId="2" xfId="0" applyFont="1" applyFill="1" applyBorder="1"/>
    <xf numFmtId="0" fontId="0" fillId="0" borderId="2" xfId="0" applyFill="1" applyBorder="1"/>
    <xf numFmtId="0" fontId="4" fillId="0" borderId="3" xfId="0" applyFont="1" applyBorder="1"/>
    <xf numFmtId="0" fontId="0" fillId="0" borderId="3" xfId="0" applyBorder="1"/>
    <xf numFmtId="0" fontId="0" fillId="2" borderId="4" xfId="0" applyFill="1" applyBorder="1"/>
    <xf numFmtId="0" fontId="6" fillId="0" borderId="5" xfId="0" applyFont="1" applyFill="1" applyBorder="1"/>
    <xf numFmtId="0" fontId="6" fillId="0" borderId="6" xfId="0" applyFont="1" applyFill="1" applyBorder="1"/>
    <xf numFmtId="2" fontId="1" fillId="0" borderId="0" xfId="0" applyNumberFormat="1" applyFont="1" applyFill="1" applyBorder="1" applyAlignment="1">
      <alignment horizontal="center"/>
    </xf>
    <xf numFmtId="172" fontId="4" fillId="0" borderId="0" xfId="1" applyNumberFormat="1" applyFont="1" applyAlignment="1">
      <alignment horizontal="right"/>
    </xf>
    <xf numFmtId="2" fontId="0" fillId="4" borderId="0" xfId="0" applyNumberFormat="1" applyFill="1" applyAlignment="1"/>
    <xf numFmtId="2" fontId="0" fillId="4" borderId="0" xfId="0" applyNumberFormat="1" applyFill="1" applyAlignment="1">
      <alignment horizontal="center"/>
    </xf>
    <xf numFmtId="0" fontId="0" fillId="4" borderId="7" xfId="0" applyFill="1" applyBorder="1"/>
    <xf numFmtId="170" fontId="0" fillId="0" borderId="0" xfId="1" applyNumberFormat="1" applyFont="1"/>
    <xf numFmtId="40" fontId="4" fillId="0" borderId="0" xfId="1" applyNumberFormat="1" applyFont="1" applyAlignment="1">
      <alignment horizontal="right"/>
    </xf>
    <xf numFmtId="169" fontId="0" fillId="0" borderId="0" xfId="1" applyNumberFormat="1" applyFont="1" applyAlignment="1">
      <alignment horizontal="right"/>
    </xf>
    <xf numFmtId="170" fontId="0" fillId="0" borderId="0" xfId="1" applyNumberFormat="1" applyFont="1" applyAlignment="1">
      <alignment horizontal="right"/>
    </xf>
    <xf numFmtId="169" fontId="0" fillId="0" borderId="0" xfId="0" applyNumberFormat="1"/>
    <xf numFmtId="171" fontId="0" fillId="0" borderId="0" xfId="0" applyNumberFormat="1"/>
    <xf numFmtId="3" fontId="0" fillId="0" borderId="0" xfId="0" applyNumberFormat="1"/>
    <xf numFmtId="169" fontId="4" fillId="2" borderId="0" xfId="1" applyNumberFormat="1" applyFont="1" applyFill="1" applyBorder="1" applyAlignment="1">
      <alignment horizontal="center"/>
    </xf>
    <xf numFmtId="0" fontId="0" fillId="0" borderId="0" xfId="0" applyFill="1" applyAlignment="1">
      <alignment horizontal="center"/>
    </xf>
    <xf numFmtId="0" fontId="1" fillId="0" borderId="0" xfId="0" applyFont="1" applyFill="1" applyBorder="1" applyAlignment="1">
      <alignment horizontal="center"/>
    </xf>
    <xf numFmtId="165" fontId="0" fillId="0" borderId="0" xfId="0" applyNumberFormat="1" applyFill="1" applyAlignment="1">
      <alignment horizontal="center"/>
    </xf>
    <xf numFmtId="165" fontId="0" fillId="0" borderId="0" xfId="0" applyNumberFormat="1"/>
    <xf numFmtId="2" fontId="6" fillId="0" borderId="0" xfId="0" applyNumberFormat="1" applyFont="1" applyFill="1" applyBorder="1" applyAlignment="1">
      <alignment horizontal="center"/>
    </xf>
    <xf numFmtId="1" fontId="0" fillId="0" borderId="0" xfId="0" applyNumberFormat="1" applyFill="1" applyAlignment="1">
      <alignment horizontal="center"/>
    </xf>
    <xf numFmtId="3" fontId="4" fillId="0" borderId="0" xfId="0" applyNumberFormat="1" applyFont="1" applyFill="1" applyBorder="1" applyAlignment="1">
      <alignment horizontal="center"/>
    </xf>
    <xf numFmtId="1" fontId="6" fillId="0" borderId="0" xfId="0" applyNumberFormat="1" applyFont="1" applyAlignment="1">
      <alignment horizontal="center"/>
    </xf>
    <xf numFmtId="0" fontId="0" fillId="5" borderId="0" xfId="0" applyFill="1" applyAlignment="1">
      <alignment horizontal="center"/>
    </xf>
    <xf numFmtId="0" fontId="6" fillId="0" borderId="6" xfId="0" applyFont="1" applyBorder="1"/>
    <xf numFmtId="0" fontId="0" fillId="5" borderId="4" xfId="0" applyFill="1" applyBorder="1"/>
    <xf numFmtId="0" fontId="6" fillId="0" borderId="5" xfId="0" applyFont="1" applyBorder="1"/>
    <xf numFmtId="0" fontId="0" fillId="0" borderId="2" xfId="0" applyBorder="1"/>
    <xf numFmtId="0" fontId="0" fillId="0" borderId="3" xfId="0" applyFill="1" applyBorder="1"/>
    <xf numFmtId="1" fontId="4" fillId="5" borderId="0" xfId="0" applyNumberFormat="1" applyFont="1" applyFill="1" applyAlignment="1">
      <alignment horizontal="center"/>
    </xf>
    <xf numFmtId="0" fontId="0" fillId="0" borderId="0" xfId="0" applyAlignment="1">
      <alignment horizontal="right"/>
    </xf>
    <xf numFmtId="0" fontId="6" fillId="0" borderId="0" xfId="0" applyFont="1" applyBorder="1" applyAlignment="1">
      <alignment horizontal="left"/>
    </xf>
    <xf numFmtId="0" fontId="10" fillId="0" borderId="0" xfId="0" applyFont="1" applyAlignment="1">
      <alignment horizontal="left"/>
    </xf>
    <xf numFmtId="0" fontId="1" fillId="0" borderId="0" xfId="0" applyFont="1" applyFill="1" applyBorder="1" applyAlignment="1">
      <alignment horizontal="left"/>
    </xf>
    <xf numFmtId="0" fontId="6" fillId="0" borderId="0" xfId="0" applyFont="1" applyFill="1" applyBorder="1" applyAlignment="1">
      <alignment horizontal="left"/>
    </xf>
    <xf numFmtId="0" fontId="2" fillId="0" borderId="0" xfId="0" applyFont="1" applyAlignment="1">
      <alignment horizontal="right"/>
    </xf>
    <xf numFmtId="0" fontId="4" fillId="0" borderId="0" xfId="0" applyFont="1" applyFill="1" applyAlignment="1">
      <alignment horizontal="left"/>
    </xf>
    <xf numFmtId="0" fontId="4" fillId="0" borderId="0" xfId="0" applyFont="1" applyFill="1" applyAlignment="1">
      <alignment horizontal="center"/>
    </xf>
    <xf numFmtId="1" fontId="4" fillId="0" borderId="0" xfId="2" applyNumberFormat="1" applyFont="1" applyFill="1" applyAlignment="1">
      <alignment horizontal="center"/>
    </xf>
    <xf numFmtId="0" fontId="1" fillId="0" borderId="0" xfId="0" applyFont="1" applyFill="1" applyBorder="1"/>
    <xf numFmtId="2" fontId="4" fillId="0" borderId="0" xfId="0" applyNumberFormat="1" applyFont="1" applyFill="1" applyBorder="1" applyAlignment="1">
      <alignment horizontal="center"/>
    </xf>
    <xf numFmtId="1" fontId="1" fillId="0" borderId="0" xfId="0" applyNumberFormat="1" applyFont="1" applyFill="1" applyBorder="1" applyAlignment="1">
      <alignment horizontal="center"/>
    </xf>
    <xf numFmtId="0" fontId="0" fillId="0" borderId="0" xfId="0" applyFill="1" applyBorder="1"/>
    <xf numFmtId="2" fontId="0" fillId="0" borderId="0" xfId="0" applyNumberFormat="1" applyFill="1" applyAlignment="1"/>
    <xf numFmtId="2" fontId="0" fillId="0" borderId="0" xfId="1" applyNumberFormat="1" applyFont="1" applyFill="1" applyAlignment="1"/>
    <xf numFmtId="2" fontId="4" fillId="0" borderId="0" xfId="0" applyNumberFormat="1" applyFont="1" applyFill="1" applyAlignment="1"/>
    <xf numFmtId="2" fontId="0" fillId="0" borderId="0" xfId="0" applyNumberFormat="1" applyFill="1" applyAlignment="1">
      <alignment horizontal="right"/>
    </xf>
    <xf numFmtId="1" fontId="4" fillId="3" borderId="0" xfId="0" applyNumberFormat="1" applyFont="1" applyFill="1" applyAlignment="1">
      <alignment horizontal="center"/>
    </xf>
    <xf numFmtId="0" fontId="10" fillId="0" borderId="0" xfId="0" applyFont="1" applyBorder="1" applyAlignment="1">
      <alignment horizontal="right"/>
    </xf>
    <xf numFmtId="0" fontId="15" fillId="0" borderId="0" xfId="0" applyFont="1" applyBorder="1" applyAlignment="1">
      <alignment horizontal="center"/>
    </xf>
    <xf numFmtId="0" fontId="14" fillId="0" borderId="0" xfId="0" applyFont="1" applyAlignment="1"/>
    <xf numFmtId="170" fontId="4" fillId="2" borderId="0" xfId="1" applyNumberFormat="1" applyFont="1" applyFill="1" applyAlignment="1">
      <alignment horizontal="left"/>
    </xf>
    <xf numFmtId="2" fontId="4" fillId="2" borderId="0" xfId="1" applyNumberFormat="1" applyFont="1" applyFill="1" applyBorder="1" applyAlignment="1">
      <alignment horizontal="center"/>
    </xf>
    <xf numFmtId="170" fontId="4" fillId="0" borderId="0" xfId="1" applyNumberFormat="1" applyFont="1" applyFill="1" applyBorder="1" applyAlignment="1">
      <alignment horizontal="center"/>
    </xf>
    <xf numFmtId="38" fontId="6" fillId="0" borderId="0" xfId="1" applyNumberFormat="1" applyFont="1" applyBorder="1" applyAlignment="1">
      <alignment horizontal="center"/>
    </xf>
    <xf numFmtId="0" fontId="4" fillId="0" borderId="0" xfId="0" applyFont="1" applyFill="1" applyBorder="1" applyAlignment="1">
      <alignment horizontal="center"/>
    </xf>
    <xf numFmtId="1" fontId="4" fillId="0" borderId="0" xfId="1" applyNumberFormat="1" applyFont="1" applyBorder="1" applyAlignment="1">
      <alignment horizontal="center"/>
    </xf>
    <xf numFmtId="165" fontId="0" fillId="2" borderId="0" xfId="0" applyNumberFormat="1" applyFill="1" applyAlignment="1">
      <alignment horizontal="center"/>
    </xf>
    <xf numFmtId="165" fontId="4" fillId="0" borderId="0" xfId="1" applyNumberFormat="1" applyFont="1" applyBorder="1" applyAlignment="1">
      <alignment horizontal="center"/>
    </xf>
    <xf numFmtId="1" fontId="0" fillId="0" borderId="0" xfId="0" applyNumberFormat="1" applyFill="1" applyAlignment="1">
      <alignment horizontal="right"/>
    </xf>
    <xf numFmtId="166" fontId="0" fillId="0" borderId="0" xfId="0" applyNumberFormat="1" applyFill="1" applyAlignment="1">
      <alignment horizontal="center"/>
    </xf>
    <xf numFmtId="166" fontId="0" fillId="3" borderId="0" xfId="0" applyNumberFormat="1" applyFill="1" applyAlignment="1">
      <alignment horizontal="center"/>
    </xf>
    <xf numFmtId="0" fontId="0" fillId="0" borderId="0" xfId="0" applyFill="1" applyAlignment="1">
      <alignment horizontal="right"/>
    </xf>
    <xf numFmtId="165" fontId="0" fillId="0" borderId="0" xfId="0" applyNumberFormat="1" applyAlignment="1">
      <alignment horizontal="right"/>
    </xf>
    <xf numFmtId="1" fontId="16" fillId="0" borderId="0" xfId="0" applyNumberFormat="1" applyFont="1" applyBorder="1" applyAlignment="1">
      <alignment horizontal="center"/>
    </xf>
    <xf numFmtId="0" fontId="0" fillId="3" borderId="0" xfId="0" applyFill="1"/>
    <xf numFmtId="1" fontId="0" fillId="5" borderId="0" xfId="0" applyNumberFormat="1" applyFill="1" applyAlignment="1">
      <alignment horizontal="center"/>
    </xf>
    <xf numFmtId="1" fontId="0" fillId="0" borderId="0" xfId="1" applyNumberFormat="1" applyFont="1" applyAlignment="1">
      <alignment horizontal="center"/>
    </xf>
    <xf numFmtId="1" fontId="0" fillId="0" borderId="0" xfId="0" applyNumberFormat="1"/>
    <xf numFmtId="165" fontId="16" fillId="0" borderId="0" xfId="0" applyNumberFormat="1" applyFont="1" applyAlignment="1">
      <alignment horizontal="center"/>
    </xf>
    <xf numFmtId="177" fontId="0" fillId="0" borderId="0" xfId="0" applyNumberFormat="1"/>
    <xf numFmtId="165" fontId="0" fillId="0" borderId="0" xfId="0" applyNumberFormat="1" applyFill="1" applyAlignment="1">
      <alignment horizontal="right"/>
    </xf>
    <xf numFmtId="4" fontId="0" fillId="0" borderId="0" xfId="0" applyNumberFormat="1" applyAlignment="1">
      <alignment horizontal="center"/>
    </xf>
    <xf numFmtId="1" fontId="0" fillId="0" borderId="0" xfId="0" applyNumberFormat="1" applyFill="1" applyBorder="1" applyAlignment="1">
      <alignment horizontal="center"/>
    </xf>
    <xf numFmtId="43" fontId="4" fillId="0" borderId="0" xfId="1" applyNumberFormat="1" applyFont="1" applyBorder="1" applyAlignment="1">
      <alignment horizontal="center"/>
    </xf>
    <xf numFmtId="40" fontId="4" fillId="2" borderId="0" xfId="1" applyNumberFormat="1" applyFont="1" applyFill="1" applyAlignment="1">
      <alignment horizontal="center"/>
    </xf>
    <xf numFmtId="43" fontId="4" fillId="2" borderId="0" xfId="1" applyNumberFormat="1" applyFont="1" applyFill="1" applyBorder="1" applyAlignment="1">
      <alignment horizontal="center"/>
    </xf>
    <xf numFmtId="169" fontId="1" fillId="5" borderId="0" xfId="1" applyNumberFormat="1" applyFont="1" applyFill="1" applyBorder="1" applyAlignment="1">
      <alignment horizontal="right"/>
    </xf>
    <xf numFmtId="43" fontId="1" fillId="5" borderId="0" xfId="1" applyFont="1" applyFill="1" applyBorder="1" applyAlignment="1">
      <alignment horizontal="left"/>
    </xf>
    <xf numFmtId="43" fontId="0" fillId="5" borderId="0" xfId="1" applyFont="1" applyFill="1" applyAlignment="1">
      <alignment horizontal="center"/>
    </xf>
    <xf numFmtId="176" fontId="4" fillId="0" borderId="0" xfId="0" applyNumberFormat="1" applyFont="1" applyAlignment="1">
      <alignment horizontal="center"/>
    </xf>
    <xf numFmtId="166" fontId="4" fillId="0" borderId="0" xfId="1" applyNumberFormat="1" applyFont="1" applyAlignment="1">
      <alignment horizontal="center"/>
    </xf>
    <xf numFmtId="0" fontId="16" fillId="0" borderId="0" xfId="0" applyFont="1"/>
    <xf numFmtId="170" fontId="0" fillId="5" borderId="0" xfId="1" applyNumberFormat="1" applyFont="1" applyFill="1" applyAlignment="1">
      <alignment horizontal="center"/>
    </xf>
    <xf numFmtId="170" fontId="0" fillId="0" borderId="0" xfId="0" applyNumberFormat="1" applyBorder="1"/>
    <xf numFmtId="0" fontId="6" fillId="0" borderId="0" xfId="0" applyFont="1" applyAlignment="1">
      <alignment horizontal="right"/>
    </xf>
    <xf numFmtId="1" fontId="4" fillId="0" borderId="0" xfId="0" applyNumberFormat="1" applyFont="1" applyAlignment="1">
      <alignment horizontal="center"/>
    </xf>
    <xf numFmtId="178" fontId="0" fillId="0" borderId="0" xfId="0" applyNumberFormat="1" applyAlignment="1">
      <alignment horizontal="center"/>
    </xf>
    <xf numFmtId="179" fontId="0" fillId="0" borderId="0" xfId="0" applyNumberFormat="1" applyAlignment="1">
      <alignment horizontal="center"/>
    </xf>
    <xf numFmtId="175" fontId="0" fillId="0" borderId="0" xfId="0" applyNumberFormat="1" applyAlignment="1">
      <alignment horizontal="center"/>
    </xf>
    <xf numFmtId="168" fontId="0" fillId="0" borderId="0" xfId="0" applyNumberFormat="1" applyAlignment="1">
      <alignment horizontal="center"/>
    </xf>
    <xf numFmtId="0" fontId="2" fillId="0" borderId="0" xfId="0" applyFont="1" applyBorder="1" applyAlignment="1">
      <alignment horizontal="center"/>
    </xf>
    <xf numFmtId="170" fontId="4" fillId="0" borderId="0" xfId="1" applyNumberFormat="1" applyFont="1" applyBorder="1"/>
    <xf numFmtId="165" fontId="19" fillId="5" borderId="0" xfId="0" applyNumberFormat="1" applyFont="1" applyFill="1" applyAlignment="1">
      <alignment horizontal="center"/>
    </xf>
    <xf numFmtId="165" fontId="18" fillId="5" borderId="0" xfId="0" applyNumberFormat="1" applyFont="1" applyFill="1" applyAlignment="1">
      <alignment horizontal="center"/>
    </xf>
    <xf numFmtId="165" fontId="16" fillId="5" borderId="0" xfId="0" applyNumberFormat="1" applyFont="1" applyFill="1" applyAlignment="1">
      <alignment horizontal="center"/>
    </xf>
    <xf numFmtId="38" fontId="0" fillId="0" borderId="0" xfId="0" applyNumberFormat="1" applyAlignment="1">
      <alignment horizontal="center"/>
    </xf>
    <xf numFmtId="38" fontId="0" fillId="2" borderId="0" xfId="0" applyNumberFormat="1" applyFill="1"/>
    <xf numFmtId="0" fontId="16" fillId="0" borderId="0" xfId="0" applyFont="1" applyBorder="1"/>
    <xf numFmtId="170" fontId="0" fillId="2" borderId="0" xfId="0" applyNumberFormat="1" applyFill="1"/>
    <xf numFmtId="38" fontId="16" fillId="0" borderId="0" xfId="1" applyNumberFormat="1" applyFont="1" applyAlignment="1">
      <alignment horizontal="right"/>
    </xf>
    <xf numFmtId="0" fontId="21" fillId="0" borderId="0" xfId="0" applyFont="1"/>
    <xf numFmtId="38" fontId="21" fillId="0" borderId="0" xfId="0" applyNumberFormat="1" applyFont="1"/>
    <xf numFmtId="164" fontId="4" fillId="2" borderId="0" xfId="0" applyNumberFormat="1" applyFont="1" applyFill="1" applyBorder="1" applyAlignment="1">
      <alignment horizontal="center"/>
    </xf>
    <xf numFmtId="38" fontId="6" fillId="0" borderId="0" xfId="0" applyNumberFormat="1" applyFont="1"/>
    <xf numFmtId="40" fontId="6" fillId="0" borderId="0" xfId="0" applyNumberFormat="1" applyFont="1"/>
    <xf numFmtId="0" fontId="0" fillId="0" borderId="0" xfId="0" applyAlignment="1">
      <alignment vertical="top" wrapText="1"/>
    </xf>
    <xf numFmtId="0" fontId="15" fillId="0" borderId="0" xfId="0" applyFont="1"/>
    <xf numFmtId="0" fontId="10" fillId="0" borderId="0" xfId="0" applyFont="1" applyBorder="1"/>
    <xf numFmtId="168" fontId="4" fillId="0" borderId="0" xfId="0" applyNumberFormat="1" applyFont="1" applyAlignment="1">
      <alignment horizontal="center"/>
    </xf>
    <xf numFmtId="166" fontId="0" fillId="5" borderId="0" xfId="0" applyNumberFormat="1" applyFill="1" applyAlignment="1">
      <alignment horizontal="center"/>
    </xf>
    <xf numFmtId="167" fontId="0" fillId="0" borderId="0" xfId="0" applyNumberFormat="1" applyAlignment="1">
      <alignment horizontal="center"/>
    </xf>
    <xf numFmtId="176" fontId="0" fillId="0" borderId="0" xfId="0" applyNumberFormat="1" applyAlignment="1">
      <alignment horizontal="center"/>
    </xf>
    <xf numFmtId="165" fontId="0" fillId="5" borderId="0" xfId="0" applyNumberFormat="1" applyFill="1" applyAlignment="1">
      <alignment horizontal="center"/>
    </xf>
    <xf numFmtId="167" fontId="0" fillId="0" borderId="0" xfId="0" applyNumberFormat="1"/>
    <xf numFmtId="176" fontId="0" fillId="0" borderId="0" xfId="0" applyNumberFormat="1"/>
    <xf numFmtId="4" fontId="0" fillId="0" borderId="0" xfId="0" applyNumberFormat="1"/>
    <xf numFmtId="168" fontId="0" fillId="0" borderId="0" xfId="0" applyNumberFormat="1"/>
    <xf numFmtId="170" fontId="1" fillId="5" borderId="0" xfId="0" applyNumberFormat="1" applyFont="1" applyFill="1" applyBorder="1" applyAlignment="1">
      <alignment horizontal="left"/>
    </xf>
    <xf numFmtId="170" fontId="1" fillId="0" borderId="0" xfId="0" applyNumberFormat="1" applyFont="1" applyFill="1" applyBorder="1" applyAlignment="1">
      <alignment horizontal="left"/>
    </xf>
    <xf numFmtId="0" fontId="15" fillId="0" borderId="0" xfId="0" applyFont="1" applyAlignment="1">
      <alignment horizontal="center"/>
    </xf>
    <xf numFmtId="2" fontId="15" fillId="0" borderId="0" xfId="0" applyNumberFormat="1" applyFont="1" applyFill="1" applyAlignment="1">
      <alignment horizontal="center"/>
    </xf>
    <xf numFmtId="0" fontId="2" fillId="0" borderId="0" xfId="0" applyFont="1" applyFill="1" applyBorder="1"/>
    <xf numFmtId="2" fontId="0" fillId="0" borderId="0" xfId="0" applyNumberFormat="1" applyFill="1" applyBorder="1" applyAlignment="1">
      <alignment horizontal="center"/>
    </xf>
    <xf numFmtId="0" fontId="9" fillId="0" borderId="0" xfId="0" applyFont="1" applyFill="1" applyBorder="1" applyAlignment="1">
      <alignment horizontal="center"/>
    </xf>
    <xf numFmtId="4" fontId="0" fillId="5" borderId="0" xfId="0" applyNumberFormat="1" applyFill="1" applyAlignment="1">
      <alignment horizontal="center"/>
    </xf>
    <xf numFmtId="2" fontId="15" fillId="0" borderId="0" xfId="0" applyNumberFormat="1" applyFont="1" applyFill="1" applyBorder="1" applyAlignment="1">
      <alignment horizontal="center"/>
    </xf>
    <xf numFmtId="4" fontId="0" fillId="0" borderId="0" xfId="0" applyNumberFormat="1" applyFill="1" applyAlignment="1">
      <alignment horizontal="center"/>
    </xf>
    <xf numFmtId="43" fontId="0" fillId="0" borderId="1" xfId="1" applyFont="1" applyBorder="1" applyAlignment="1">
      <alignment horizontal="center"/>
    </xf>
    <xf numFmtId="43" fontId="0" fillId="0" borderId="1" xfId="1" applyFont="1" applyBorder="1"/>
    <xf numFmtId="1" fontId="4" fillId="0" borderId="0" xfId="0" applyNumberFormat="1" applyFont="1" applyBorder="1" applyAlignment="1">
      <alignment horizontal="center"/>
    </xf>
    <xf numFmtId="0" fontId="16" fillId="0" borderId="0" xfId="0" applyFont="1" applyFill="1" applyBorder="1"/>
    <xf numFmtId="40" fontId="0" fillId="2" borderId="0" xfId="0" applyNumberFormat="1" applyFill="1" applyAlignment="1">
      <alignment horizontal="center"/>
    </xf>
    <xf numFmtId="170" fontId="0" fillId="0" borderId="0" xfId="1" applyNumberFormat="1" applyFont="1" applyAlignment="1">
      <alignment horizontal="center"/>
    </xf>
    <xf numFmtId="0" fontId="22" fillId="0" borderId="0" xfId="0" applyFont="1" applyFill="1"/>
    <xf numFmtId="38" fontId="4" fillId="2" borderId="0" xfId="1" applyNumberFormat="1" applyFont="1" applyFill="1" applyBorder="1" applyAlignment="1">
      <alignment horizontal="right"/>
    </xf>
    <xf numFmtId="170" fontId="0" fillId="0" borderId="0" xfId="0" applyNumberFormat="1" applyAlignment="1">
      <alignment horizontal="center"/>
    </xf>
    <xf numFmtId="0" fontId="6" fillId="0" borderId="0" xfId="0" applyFont="1" applyFill="1"/>
    <xf numFmtId="0" fontId="4" fillId="0" borderId="0" xfId="0" applyFont="1" applyFill="1"/>
    <xf numFmtId="0" fontId="2" fillId="0" borderId="0" xfId="0" applyFont="1" applyFill="1" applyAlignment="1">
      <alignment horizontal="center"/>
    </xf>
    <xf numFmtId="0" fontId="10" fillId="0" borderId="0" xfId="0" applyFont="1" applyFill="1"/>
    <xf numFmtId="40" fontId="0" fillId="0" borderId="0" xfId="0" applyNumberFormat="1" applyFill="1"/>
    <xf numFmtId="170" fontId="0" fillId="0" borderId="0" xfId="0" applyNumberFormat="1" applyFill="1"/>
    <xf numFmtId="165" fontId="0" fillId="0" borderId="0" xfId="0" applyNumberFormat="1" applyFill="1"/>
    <xf numFmtId="1" fontId="0" fillId="0" borderId="0" xfId="1" applyNumberFormat="1" applyFont="1" applyAlignment="1">
      <alignment horizontal="right"/>
    </xf>
    <xf numFmtId="180" fontId="6" fillId="0" borderId="0" xfId="0" applyNumberFormat="1" applyFont="1" applyBorder="1"/>
    <xf numFmtId="2" fontId="16" fillId="0" borderId="0" xfId="0" applyNumberFormat="1" applyFont="1" applyAlignment="1">
      <alignment horizontal="center"/>
    </xf>
    <xf numFmtId="1" fontId="23" fillId="0" borderId="0" xfId="0" applyNumberFormat="1" applyFont="1" applyAlignment="1">
      <alignment horizontal="center"/>
    </xf>
    <xf numFmtId="1" fontId="24" fillId="0" borderId="0" xfId="0" applyNumberFormat="1" applyFont="1" applyAlignment="1">
      <alignment horizontal="center"/>
    </xf>
    <xf numFmtId="0" fontId="16" fillId="0" borderId="0" xfId="0" applyFont="1" applyBorder="1" applyAlignment="1">
      <alignment horizontal="center"/>
    </xf>
    <xf numFmtId="170" fontId="4" fillId="0" borderId="0" xfId="1" applyNumberFormat="1" applyFont="1" applyFill="1" applyBorder="1" applyAlignment="1">
      <alignment horizontal="right"/>
    </xf>
    <xf numFmtId="170" fontId="0" fillId="0" borderId="0" xfId="1" applyNumberFormat="1" applyFont="1" applyFill="1"/>
    <xf numFmtId="164" fontId="0" fillId="5" borderId="0" xfId="0" applyNumberFormat="1" applyFill="1" applyAlignment="1">
      <alignment horizontal="center"/>
    </xf>
    <xf numFmtId="170" fontId="6" fillId="6" borderId="0" xfId="1" applyNumberFormat="1" applyFont="1" applyFill="1" applyBorder="1" applyAlignment="1">
      <alignment horizontal="right"/>
    </xf>
    <xf numFmtId="0" fontId="4" fillId="2" borderId="0" xfId="0" applyFont="1" applyFill="1" applyBorder="1" applyAlignment="1">
      <alignment horizontal="center"/>
    </xf>
    <xf numFmtId="165" fontId="4" fillId="2" borderId="0" xfId="0" applyNumberFormat="1" applyFont="1" applyFill="1" applyAlignment="1">
      <alignment horizontal="center"/>
    </xf>
    <xf numFmtId="166" fontId="4" fillId="2" borderId="0" xfId="0" applyNumberFormat="1" applyFont="1" applyFill="1" applyAlignment="1">
      <alignment horizontal="center"/>
    </xf>
    <xf numFmtId="167" fontId="4" fillId="2" borderId="0" xfId="0" applyNumberFormat="1" applyFont="1" applyFill="1" applyAlignment="1">
      <alignment horizontal="center"/>
    </xf>
    <xf numFmtId="0" fontId="0" fillId="2" borderId="0" xfId="0" applyFill="1"/>
    <xf numFmtId="0" fontId="0" fillId="5" borderId="0" xfId="0" applyFill="1"/>
    <xf numFmtId="0" fontId="1" fillId="0" borderId="0" xfId="0" applyFont="1" applyAlignment="1">
      <alignment horizontal="center"/>
    </xf>
    <xf numFmtId="0" fontId="25" fillId="0" borderId="0" xfId="0" applyFont="1" applyAlignment="1">
      <alignment horizontal="center"/>
    </xf>
    <xf numFmtId="0" fontId="25" fillId="0" borderId="0" xfId="0" applyFont="1" applyBorder="1" applyAlignment="1">
      <alignment horizontal="center"/>
    </xf>
    <xf numFmtId="0" fontId="26" fillId="0" borderId="0" xfId="0" applyFont="1" applyBorder="1" applyAlignment="1">
      <alignment horizontal="center"/>
    </xf>
    <xf numFmtId="0" fontId="26" fillId="0" borderId="0" xfId="0" applyFont="1" applyAlignment="1">
      <alignment horizontal="center"/>
    </xf>
    <xf numFmtId="1" fontId="26" fillId="0" borderId="0" xfId="2" applyNumberFormat="1" applyFont="1" applyAlignment="1">
      <alignment horizontal="center"/>
    </xf>
    <xf numFmtId="0" fontId="26" fillId="0" borderId="0" xfId="2" applyNumberFormat="1" applyFont="1" applyAlignment="1">
      <alignment horizontal="center"/>
    </xf>
    <xf numFmtId="1" fontId="26" fillId="0" borderId="0" xfId="0" applyNumberFormat="1" applyFont="1" applyBorder="1" applyAlignment="1">
      <alignment horizontal="center"/>
    </xf>
    <xf numFmtId="0" fontId="26" fillId="0" borderId="0" xfId="2" applyNumberFormat="1" applyFont="1" applyBorder="1" applyAlignment="1">
      <alignment horizontal="center"/>
    </xf>
    <xf numFmtId="2" fontId="26" fillId="0" borderId="0" xfId="2" applyNumberFormat="1" applyFont="1" applyBorder="1" applyAlignment="1">
      <alignment horizontal="center"/>
    </xf>
    <xf numFmtId="2" fontId="26" fillId="0" borderId="0" xfId="0" applyNumberFormat="1" applyFont="1" applyBorder="1" applyAlignment="1">
      <alignment horizontal="center"/>
    </xf>
    <xf numFmtId="0" fontId="26" fillId="0" borderId="0" xfId="0" applyFont="1" applyFill="1" applyAlignment="1">
      <alignment horizontal="center"/>
    </xf>
    <xf numFmtId="166" fontId="26" fillId="0" borderId="0" xfId="0" applyNumberFormat="1" applyFont="1" applyFill="1" applyAlignment="1">
      <alignment horizontal="center"/>
    </xf>
    <xf numFmtId="1" fontId="26" fillId="0" borderId="0" xfId="0" applyNumberFormat="1" applyFont="1" applyFill="1" applyAlignment="1">
      <alignment horizontal="center"/>
    </xf>
    <xf numFmtId="165" fontId="26" fillId="0" borderId="0" xfId="0" applyNumberFormat="1" applyFont="1" applyAlignment="1">
      <alignment horizontal="center"/>
    </xf>
    <xf numFmtId="2" fontId="26" fillId="0" borderId="0" xfId="0" applyNumberFormat="1" applyFont="1" applyAlignment="1">
      <alignment horizontal="center"/>
    </xf>
    <xf numFmtId="0" fontId="27" fillId="0" borderId="0" xfId="0" applyFont="1" applyAlignment="1">
      <alignment horizontal="center"/>
    </xf>
    <xf numFmtId="2" fontId="0" fillId="7" borderId="0" xfId="0" applyNumberFormat="1" applyFill="1" applyAlignment="1">
      <alignment horizontal="center"/>
    </xf>
    <xf numFmtId="0" fontId="0" fillId="7" borderId="0" xfId="0" applyFill="1"/>
    <xf numFmtId="0" fontId="0" fillId="7" borderId="0" xfId="0" applyFill="1" applyAlignment="1">
      <alignment horizontal="center"/>
    </xf>
    <xf numFmtId="1" fontId="0" fillId="8" borderId="0" xfId="0" applyNumberFormat="1" applyFill="1" applyAlignment="1">
      <alignment horizontal="center"/>
    </xf>
    <xf numFmtId="0" fontId="0" fillId="8" borderId="0" xfId="0" applyFill="1" applyAlignment="1">
      <alignment horizontal="center"/>
    </xf>
    <xf numFmtId="0" fontId="0" fillId="8" borderId="0" xfId="0" applyFill="1"/>
    <xf numFmtId="2" fontId="0" fillId="8" borderId="0" xfId="0" applyNumberFormat="1" applyFill="1" applyAlignment="1">
      <alignment horizontal="center"/>
    </xf>
    <xf numFmtId="0" fontId="6" fillId="0" borderId="0" xfId="0" applyFont="1" applyFill="1" applyAlignment="1">
      <alignment horizontal="center"/>
    </xf>
    <xf numFmtId="0" fontId="28" fillId="0" borderId="0" xfId="0" applyFont="1"/>
    <xf numFmtId="0" fontId="31" fillId="0" borderId="0" xfId="0" applyFont="1" applyAlignment="1">
      <alignment horizontal="center"/>
    </xf>
    <xf numFmtId="0" fontId="29" fillId="0" borderId="0" xfId="0" applyFont="1"/>
    <xf numFmtId="168" fontId="0" fillId="2" borderId="0" xfId="0" applyNumberFormat="1" applyFill="1" applyAlignment="1">
      <alignment horizontal="center"/>
    </xf>
    <xf numFmtId="0" fontId="32" fillId="0" borderId="0" xfId="0" applyFont="1" applyAlignment="1">
      <alignment horizontal="center"/>
    </xf>
    <xf numFmtId="3" fontId="0" fillId="0" borderId="0" xfId="0" applyNumberFormat="1" applyFill="1" applyAlignment="1">
      <alignment horizontal="center"/>
    </xf>
    <xf numFmtId="167" fontId="0" fillId="0" borderId="0" xfId="0" applyNumberFormat="1" applyFill="1" applyAlignment="1">
      <alignment horizontal="center"/>
    </xf>
    <xf numFmtId="176" fontId="0" fillId="0" borderId="0" xfId="0" applyNumberFormat="1" applyFill="1" applyAlignment="1">
      <alignment horizontal="center"/>
    </xf>
    <xf numFmtId="1" fontId="0" fillId="2" borderId="0" xfId="0" applyNumberFormat="1" applyFill="1" applyAlignment="1">
      <alignment horizontal="center"/>
    </xf>
    <xf numFmtId="0" fontId="33" fillId="0" borderId="0" xfId="0" applyFont="1" applyAlignment="1">
      <alignment horizontal="center"/>
    </xf>
    <xf numFmtId="167" fontId="33" fillId="0" borderId="0" xfId="0" applyNumberFormat="1" applyFont="1" applyAlignment="1">
      <alignment horizontal="center"/>
    </xf>
    <xf numFmtId="0" fontId="1" fillId="0" borderId="0" xfId="0" applyFont="1"/>
    <xf numFmtId="0" fontId="0" fillId="9" borderId="7" xfId="0" applyFill="1" applyBorder="1"/>
    <xf numFmtId="0" fontId="0" fillId="9" borderId="0" xfId="0" applyFill="1" applyAlignment="1">
      <alignment horizontal="center"/>
    </xf>
    <xf numFmtId="1" fontId="0" fillId="10" borderId="0" xfId="0" applyNumberFormat="1" applyFill="1" applyAlignment="1">
      <alignment horizontal="center"/>
    </xf>
    <xf numFmtId="165" fontId="1" fillId="0" borderId="0" xfId="0" applyNumberFormat="1" applyFon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6" fillId="0" borderId="1" xfId="0" applyFont="1" applyBorder="1" applyAlignment="1">
      <alignment horizontal="center"/>
    </xf>
    <xf numFmtId="43" fontId="0" fillId="0" borderId="0" xfId="0" applyNumberFormat="1" applyAlignment="1">
      <alignment horizontal="center"/>
    </xf>
    <xf numFmtId="0" fontId="6" fillId="0" borderId="0" xfId="0" applyFont="1" applyAlignment="1"/>
    <xf numFmtId="38" fontId="1" fillId="0" borderId="0" xfId="0" applyNumberFormat="1" applyFont="1" applyAlignment="1">
      <alignment horizontal="right"/>
    </xf>
    <xf numFmtId="40" fontId="1" fillId="0" borderId="0" xfId="0" applyNumberFormat="1" applyFont="1" applyAlignment="1">
      <alignment horizontal="right"/>
    </xf>
    <xf numFmtId="174" fontId="1" fillId="0" borderId="0" xfId="0" applyNumberFormat="1" applyFont="1" applyAlignment="1">
      <alignment horizontal="right"/>
    </xf>
    <xf numFmtId="0" fontId="1" fillId="0" borderId="0" xfId="0" applyFont="1" applyAlignment="1">
      <alignment horizontal="right"/>
    </xf>
    <xf numFmtId="170" fontId="1" fillId="0" borderId="0" xfId="0" applyNumberFormat="1" applyFont="1" applyAlignment="1">
      <alignment horizontal="right"/>
    </xf>
    <xf numFmtId="169" fontId="1" fillId="0" borderId="0" xfId="0" applyNumberFormat="1" applyFont="1" applyAlignment="1">
      <alignment horizontal="right"/>
    </xf>
    <xf numFmtId="0" fontId="35" fillId="0" borderId="0" xfId="0" applyFont="1"/>
    <xf numFmtId="170" fontId="6" fillId="0" borderId="0" xfId="1" applyNumberFormat="1" applyFont="1" applyBorder="1" applyAlignment="1">
      <alignment horizontal="center"/>
    </xf>
    <xf numFmtId="0" fontId="36" fillId="0" borderId="0" xfId="0" applyFont="1" applyAlignment="1"/>
    <xf numFmtId="0" fontId="6" fillId="0" borderId="0" xfId="0" applyFont="1" applyAlignment="1">
      <alignment horizontal="center"/>
    </xf>
    <xf numFmtId="0" fontId="6" fillId="0" borderId="1" xfId="0" applyFont="1" applyBorder="1" applyAlignment="1">
      <alignment horizontal="center"/>
    </xf>
    <xf numFmtId="0" fontId="6" fillId="0" borderId="0" xfId="0" applyFont="1" applyFill="1" applyBorder="1" applyAlignment="1">
      <alignment horizontal="center"/>
    </xf>
    <xf numFmtId="0" fontId="6" fillId="0" borderId="0" xfId="0" applyFont="1" applyAlignment="1">
      <alignment horizontal="center"/>
    </xf>
    <xf numFmtId="41" fontId="0" fillId="0" borderId="0" xfId="0" applyNumberFormat="1"/>
    <xf numFmtId="1" fontId="1" fillId="0" borderId="0" xfId="0" applyNumberFormat="1" applyFont="1" applyAlignment="1">
      <alignment horizontal="center"/>
    </xf>
    <xf numFmtId="0" fontId="1" fillId="0" borderId="0" xfId="0" applyFont="1" applyAlignment="1">
      <alignment horizontal="left"/>
    </xf>
    <xf numFmtId="0" fontId="0" fillId="11" borderId="0" xfId="0" applyFill="1" applyAlignment="1">
      <alignment horizontal="center"/>
    </xf>
    <xf numFmtId="40" fontId="6" fillId="0" borderId="0" xfId="0" applyNumberFormat="1" applyFont="1" applyAlignment="1"/>
    <xf numFmtId="0" fontId="38" fillId="0" borderId="0" xfId="0" applyFont="1"/>
    <xf numFmtId="0" fontId="38" fillId="0" borderId="0" xfId="0" applyFont="1" applyAlignment="1">
      <alignment horizontal="center"/>
    </xf>
    <xf numFmtId="0" fontId="6" fillId="0" borderId="0" xfId="0" applyFont="1" applyAlignment="1">
      <alignment horizontal="center"/>
    </xf>
    <xf numFmtId="165" fontId="1" fillId="0" borderId="0" xfId="0" applyNumberFormat="1" applyFont="1" applyFill="1" applyAlignment="1">
      <alignment horizontal="center"/>
    </xf>
    <xf numFmtId="3" fontId="0" fillId="0" borderId="0" xfId="0" applyNumberFormat="1" applyAlignment="1">
      <alignment horizontal="right"/>
    </xf>
    <xf numFmtId="170" fontId="38" fillId="0" borderId="0" xfId="0" applyNumberFormat="1" applyFont="1" applyAlignment="1">
      <alignment horizontal="center"/>
    </xf>
    <xf numFmtId="0" fontId="1" fillId="0" borderId="0" xfId="0" applyFont="1" applyFill="1"/>
    <xf numFmtId="0" fontId="10" fillId="0" borderId="0" xfId="0" applyFont="1" applyBorder="1" applyAlignment="1">
      <alignment horizontal="center"/>
    </xf>
    <xf numFmtId="0" fontId="39" fillId="0" borderId="0" xfId="0" applyFont="1"/>
    <xf numFmtId="1" fontId="10" fillId="0" borderId="0" xfId="0" applyNumberFormat="1" applyFont="1" applyBorder="1" applyAlignment="1">
      <alignment horizontal="center"/>
    </xf>
    <xf numFmtId="165" fontId="4" fillId="0" borderId="0" xfId="0" applyNumberFormat="1" applyFont="1" applyFill="1" applyBorder="1" applyAlignment="1">
      <alignment horizontal="center"/>
    </xf>
    <xf numFmtId="165" fontId="1" fillId="10" borderId="0" xfId="0" applyNumberFormat="1" applyFont="1" applyFill="1" applyAlignment="1">
      <alignment horizontal="center"/>
    </xf>
    <xf numFmtId="0" fontId="1" fillId="10" borderId="0" xfId="0" applyFont="1" applyFill="1" applyAlignment="1">
      <alignment horizontal="center"/>
    </xf>
    <xf numFmtId="166" fontId="4" fillId="0" borderId="0" xfId="0" applyNumberFormat="1" applyFont="1" applyFill="1" applyBorder="1" applyAlignment="1">
      <alignment horizontal="center"/>
    </xf>
    <xf numFmtId="176" fontId="4" fillId="0" borderId="0" xfId="0" applyNumberFormat="1" applyFont="1" applyFill="1" applyBorder="1" applyAlignment="1">
      <alignment horizontal="center"/>
    </xf>
    <xf numFmtId="164" fontId="0" fillId="10" borderId="0" xfId="0" applyNumberFormat="1" applyFill="1" applyAlignment="1">
      <alignment horizontal="center"/>
    </xf>
    <xf numFmtId="0" fontId="0" fillId="10" borderId="0" xfId="0" applyFill="1" applyAlignment="1">
      <alignment horizontal="center"/>
    </xf>
    <xf numFmtId="165" fontId="0" fillId="10" borderId="0" xfId="0" applyNumberFormat="1" applyFill="1" applyAlignment="1">
      <alignment horizontal="center"/>
    </xf>
    <xf numFmtId="0" fontId="6" fillId="0" borderId="0" xfId="0" applyFont="1" applyAlignment="1">
      <alignment horizontal="center"/>
    </xf>
    <xf numFmtId="2" fontId="4" fillId="0" borderId="0" xfId="0" applyNumberFormat="1" applyFont="1" applyBorder="1" applyAlignment="1">
      <alignment horizontal="center"/>
    </xf>
    <xf numFmtId="37" fontId="0" fillId="0" borderId="0" xfId="0" applyNumberFormat="1" applyAlignment="1">
      <alignment horizontal="right"/>
    </xf>
    <xf numFmtId="2" fontId="0" fillId="10" borderId="0" xfId="0" applyNumberFormat="1" applyFill="1" applyAlignment="1">
      <alignment horizontal="center"/>
    </xf>
    <xf numFmtId="0" fontId="0" fillId="0" borderId="0" xfId="0" applyAlignment="1">
      <alignment vertical="center"/>
    </xf>
    <xf numFmtId="167" fontId="0" fillId="12" borderId="0" xfId="0" applyNumberFormat="1" applyFill="1" applyAlignment="1">
      <alignment horizontal="center"/>
    </xf>
    <xf numFmtId="168" fontId="0" fillId="12" borderId="0" xfId="0" applyNumberFormat="1" applyFill="1" applyAlignment="1">
      <alignment horizontal="center"/>
    </xf>
    <xf numFmtId="37" fontId="0" fillId="0" borderId="0" xfId="0" applyNumberFormat="1"/>
    <xf numFmtId="170" fontId="0" fillId="0" borderId="0" xfId="0" applyNumberFormat="1" applyAlignment="1">
      <alignment horizontal="right"/>
    </xf>
    <xf numFmtId="169" fontId="0" fillId="0" borderId="0" xfId="1" applyNumberFormat="1" applyFont="1"/>
    <xf numFmtId="170" fontId="6" fillId="0" borderId="0" xfId="0" applyNumberFormat="1" applyFont="1" applyAlignment="1">
      <alignment horizontal="center"/>
    </xf>
    <xf numFmtId="0" fontId="1" fillId="0" borderId="0" xfId="0" applyFont="1" applyFill="1" applyBorder="1" applyAlignment="1">
      <alignment horizontal="right"/>
    </xf>
    <xf numFmtId="1" fontId="0" fillId="0" borderId="0" xfId="0" applyNumberFormat="1" applyAlignment="1">
      <alignment horizontal="right"/>
    </xf>
    <xf numFmtId="169" fontId="0" fillId="0" borderId="0" xfId="0" applyNumberFormat="1" applyAlignment="1">
      <alignment horizontal="right"/>
    </xf>
    <xf numFmtId="0" fontId="16" fillId="0" borderId="0" xfId="0" applyFont="1" applyFill="1" applyBorder="1" applyAlignment="1">
      <alignment horizontal="center"/>
    </xf>
    <xf numFmtId="1" fontId="4" fillId="0" borderId="0" xfId="0" applyNumberFormat="1" applyFont="1" applyFill="1" applyBorder="1" applyAlignment="1">
      <alignment horizontal="center"/>
    </xf>
    <xf numFmtId="0" fontId="1" fillId="10" borderId="0" xfId="0" applyFont="1" applyFill="1" applyBorder="1" applyAlignment="1">
      <alignment horizontal="center"/>
    </xf>
    <xf numFmtId="0" fontId="1" fillId="0" borderId="0" xfId="0" applyFont="1" applyFill="1" applyAlignment="1">
      <alignment horizontal="center"/>
    </xf>
    <xf numFmtId="2" fontId="1" fillId="0" borderId="0" xfId="0" applyNumberFormat="1" applyFont="1" applyAlignment="1">
      <alignment horizontal="center"/>
    </xf>
    <xf numFmtId="43" fontId="0" fillId="0" borderId="0" xfId="1" applyFont="1" applyBorder="1" applyAlignment="1">
      <alignment horizontal="center"/>
    </xf>
    <xf numFmtId="0" fontId="6" fillId="0" borderId="0" xfId="0" applyFont="1" applyFill="1" applyBorder="1" applyAlignment="1">
      <alignment horizontal="center"/>
    </xf>
    <xf numFmtId="0" fontId="6" fillId="0" borderId="0" xfId="0" applyFont="1" applyAlignment="1">
      <alignment horizontal="center"/>
    </xf>
    <xf numFmtId="1" fontId="4" fillId="0" borderId="0" xfId="0" applyNumberFormat="1" applyFont="1" applyFill="1" applyAlignment="1">
      <alignment horizontal="center"/>
    </xf>
    <xf numFmtId="43" fontId="0" fillId="0" borderId="0" xfId="1" applyFont="1" applyAlignment="1">
      <alignment horizontal="right"/>
    </xf>
    <xf numFmtId="0" fontId="40" fillId="0" borderId="0" xfId="0" applyFont="1"/>
    <xf numFmtId="0" fontId="0" fillId="12" borderId="0" xfId="0" applyFill="1" applyAlignment="1">
      <alignment horizontal="center"/>
    </xf>
    <xf numFmtId="164" fontId="0" fillId="0" borderId="0" xfId="0" applyNumberFormat="1" applyFill="1" applyAlignment="1">
      <alignment horizontal="center"/>
    </xf>
    <xf numFmtId="0" fontId="41" fillId="0" borderId="0" xfId="0" applyFont="1"/>
    <xf numFmtId="0" fontId="42" fillId="0" borderId="0" xfId="0" applyFont="1"/>
    <xf numFmtId="0" fontId="42" fillId="0" borderId="0" xfId="0" applyFont="1" applyFill="1" applyAlignment="1">
      <alignment horizontal="center"/>
    </xf>
    <xf numFmtId="1" fontId="42" fillId="0" borderId="0" xfId="0" applyNumberFormat="1" applyFont="1" applyBorder="1" applyAlignment="1">
      <alignment horizontal="center"/>
    </xf>
    <xf numFmtId="0" fontId="2" fillId="0" borderId="0" xfId="0" applyFont="1" applyAlignment="1">
      <alignment horizontal="center"/>
    </xf>
    <xf numFmtId="168" fontId="0" fillId="0" borderId="0" xfId="0" applyNumberFormat="1" applyFill="1" applyAlignment="1">
      <alignment horizontal="center"/>
    </xf>
    <xf numFmtId="0" fontId="0" fillId="12" borderId="0" xfId="0" applyFill="1"/>
    <xf numFmtId="0" fontId="1" fillId="12" borderId="0" xfId="0" applyFont="1" applyFill="1" applyAlignment="1">
      <alignment horizontal="left"/>
    </xf>
    <xf numFmtId="0" fontId="1" fillId="0" borderId="0" xfId="0" applyFont="1" applyFill="1" applyAlignment="1">
      <alignment horizontal="left"/>
    </xf>
    <xf numFmtId="181" fontId="4" fillId="2" borderId="0" xfId="1" applyNumberFormat="1" applyFont="1" applyFill="1" applyAlignment="1">
      <alignment horizontal="right"/>
    </xf>
    <xf numFmtId="181" fontId="4" fillId="0" borderId="0" xfId="1" applyNumberFormat="1" applyFont="1" applyAlignment="1">
      <alignment horizontal="right"/>
    </xf>
    <xf numFmtId="173" fontId="4" fillId="0" borderId="0" xfId="1" applyNumberFormat="1" applyFont="1" applyBorder="1" applyAlignment="1">
      <alignment horizontal="center"/>
    </xf>
    <xf numFmtId="175" fontId="4" fillId="0" borderId="0" xfId="0" applyNumberFormat="1" applyFont="1" applyAlignment="1">
      <alignment horizontal="center"/>
    </xf>
    <xf numFmtId="0" fontId="6" fillId="0" borderId="0" xfId="0" applyFont="1" applyAlignment="1">
      <alignment horizontal="center"/>
    </xf>
    <xf numFmtId="172" fontId="0" fillId="0" borderId="0" xfId="0" applyNumberFormat="1" applyFill="1" applyAlignment="1">
      <alignment horizontal="right"/>
    </xf>
    <xf numFmtId="166" fontId="1" fillId="0" borderId="0" xfId="0" applyNumberFormat="1" applyFont="1" applyAlignment="1">
      <alignment horizontal="center"/>
    </xf>
    <xf numFmtId="182" fontId="4" fillId="0" borderId="0" xfId="1" applyNumberFormat="1" applyFont="1" applyBorder="1" applyAlignment="1">
      <alignment horizontal="right"/>
    </xf>
    <xf numFmtId="1" fontId="1" fillId="0" borderId="0" xfId="0" applyNumberFormat="1" applyFont="1"/>
    <xf numFmtId="1" fontId="1" fillId="0" borderId="0" xfId="0" applyNumberFormat="1" applyFont="1" applyAlignment="1">
      <alignment horizontal="right"/>
    </xf>
    <xf numFmtId="172" fontId="1" fillId="0" borderId="0" xfId="0" applyNumberFormat="1" applyFont="1"/>
    <xf numFmtId="172" fontId="1" fillId="0" borderId="0" xfId="0" applyNumberFormat="1" applyFont="1" applyAlignment="1">
      <alignment horizontal="right"/>
    </xf>
    <xf numFmtId="173" fontId="1" fillId="0" borderId="0" xfId="0" applyNumberFormat="1" applyFont="1"/>
    <xf numFmtId="173" fontId="1" fillId="0" borderId="0" xfId="0" applyNumberFormat="1" applyFont="1" applyAlignment="1">
      <alignment horizontal="right"/>
    </xf>
    <xf numFmtId="170" fontId="1" fillId="0" borderId="0" xfId="0" applyNumberFormat="1" applyFont="1"/>
    <xf numFmtId="169" fontId="1" fillId="0" borderId="0" xfId="0" applyNumberFormat="1" applyFont="1"/>
    <xf numFmtId="0" fontId="1" fillId="0" borderId="0" xfId="0" applyFont="1" applyAlignment="1">
      <alignment horizontal="left" vertical="top" wrapText="1"/>
    </xf>
    <xf numFmtId="0" fontId="0" fillId="0" borderId="0" xfId="0" applyAlignment="1">
      <alignment horizontal="left" vertical="top"/>
    </xf>
    <xf numFmtId="0" fontId="2" fillId="0" borderId="3" xfId="0" applyFont="1" applyBorder="1" applyAlignment="1">
      <alignment horizontal="center"/>
    </xf>
    <xf numFmtId="0" fontId="14" fillId="0" borderId="0" xfId="0" applyFont="1" applyAlignment="1">
      <alignment horizontal="center"/>
    </xf>
    <xf numFmtId="0" fontId="6" fillId="0" borderId="3" xfId="0" applyFont="1" applyBorder="1" applyAlignment="1">
      <alignment horizontal="center"/>
    </xf>
    <xf numFmtId="0" fontId="2" fillId="0" borderId="0" xfId="0" applyFont="1" applyAlignment="1">
      <alignment horizontal="center"/>
    </xf>
    <xf numFmtId="2" fontId="2" fillId="3" borderId="0" xfId="0" applyNumberFormat="1" applyFont="1" applyFill="1" applyBorder="1" applyAlignment="1">
      <alignment horizontal="center"/>
    </xf>
    <xf numFmtId="2" fontId="2" fillId="0" borderId="0" xfId="0" applyNumberFormat="1" applyFont="1" applyAlignment="1">
      <alignment horizontal="center"/>
    </xf>
    <xf numFmtId="0" fontId="6" fillId="0" borderId="1" xfId="0" applyFont="1" applyBorder="1" applyAlignment="1">
      <alignment horizontal="center"/>
    </xf>
    <xf numFmtId="0" fontId="6" fillId="0" borderId="0" xfId="0" applyFont="1" applyFill="1" applyBorder="1" applyAlignment="1">
      <alignment horizontal="center"/>
    </xf>
    <xf numFmtId="0" fontId="6" fillId="0" borderId="0" xfId="0" applyFont="1" applyAlignment="1">
      <alignment horizontal="center"/>
    </xf>
    <xf numFmtId="0" fontId="30"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66FF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820262769045136"/>
          <c:y val="0.19626227932206286"/>
          <c:w val="0.34031471612319381"/>
          <c:h val="0.60747848361590862"/>
        </c:manualLayout>
      </c:layout>
      <c:pieChart>
        <c:varyColors val="1"/>
        <c:ser>
          <c:idx val="0"/>
          <c:order val="0"/>
          <c:spPr>
            <a:solidFill>
              <a:srgbClr val="8080FF"/>
            </a:solidFill>
            <a:ln w="12700">
              <a:solidFill>
                <a:srgbClr val="000000"/>
              </a:solidFill>
              <a:prstDash val="solid"/>
            </a:ln>
          </c:spPr>
          <c:dPt>
            <c:idx val="1"/>
            <c:spPr>
              <a:solidFill>
                <a:srgbClr val="802060"/>
              </a:solidFill>
              <a:ln w="12700">
                <a:solidFill>
                  <a:srgbClr val="000000"/>
                </a:solidFill>
                <a:prstDash val="solid"/>
              </a:ln>
            </c:spPr>
          </c:dPt>
          <c:dPt>
            <c:idx val="2"/>
            <c:spPr>
              <a:solidFill>
                <a:srgbClr val="FFFFC0"/>
              </a:solidFill>
              <a:ln w="12700">
                <a:solidFill>
                  <a:srgbClr val="000000"/>
                </a:solidFill>
                <a:prstDash val="solid"/>
              </a:ln>
            </c:spPr>
          </c:dPt>
          <c:dPt>
            <c:idx val="3"/>
            <c:spPr>
              <a:solidFill>
                <a:srgbClr val="A0E0E0"/>
              </a:solidFill>
              <a:ln w="12700">
                <a:solidFill>
                  <a:srgbClr val="000000"/>
                </a:solidFill>
                <a:prstDash val="solid"/>
              </a:ln>
            </c:spPr>
          </c:dPt>
          <c:dPt>
            <c:idx val="4"/>
            <c:spPr>
              <a:solidFill>
                <a:srgbClr val="60008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80C0"/>
              </a:solidFill>
              <a:ln w="12700">
                <a:solidFill>
                  <a:srgbClr val="000000"/>
                </a:solidFill>
                <a:prstDash val="solid"/>
              </a:ln>
            </c:spPr>
          </c:dPt>
          <c:dPt>
            <c:idx val="7"/>
            <c:spPr>
              <a:solidFill>
                <a:srgbClr val="C0C0FF"/>
              </a:solidFill>
              <a:ln w="12700">
                <a:solidFill>
                  <a:srgbClr val="000000"/>
                </a:solidFill>
                <a:prstDash val="solid"/>
              </a:ln>
            </c:spPr>
          </c:dPt>
          <c:dPt>
            <c:idx val="8"/>
            <c:spPr>
              <a:solidFill>
                <a:srgbClr val="000080"/>
              </a:solidFill>
              <a:ln w="12700">
                <a:solidFill>
                  <a:srgbClr val="000000"/>
                </a:solidFill>
                <a:prstDash val="solid"/>
              </a:ln>
            </c:spPr>
          </c:dPt>
          <c:dLbls>
            <c:numFmt formatCode="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showPercent val="1"/>
          </c:dLbls>
          <c:cat>
            <c:strRef>
              <c:f>'Summary of Results'!$A$62:$A$70</c:f>
              <c:strCache>
                <c:ptCount val="9"/>
                <c:pt idx="0">
                  <c:v>Materials</c:v>
                </c:pt>
                <c:pt idx="1">
                  <c:v>Purchased Items not including cooling system</c:v>
                </c:pt>
                <c:pt idx="2">
                  <c:v>Direct Labor                     </c:v>
                </c:pt>
                <c:pt idx="3">
                  <c:v>Variable Overhead  </c:v>
                </c:pt>
                <c:pt idx="4">
                  <c:v>General, Sales, Administration</c:v>
                </c:pt>
                <c:pt idx="5">
                  <c:v>Research and Development</c:v>
                </c:pt>
                <c:pt idx="6">
                  <c:v>Depreciation</c:v>
                </c:pt>
                <c:pt idx="7">
                  <c:v>Profit     </c:v>
                </c:pt>
                <c:pt idx="8">
                  <c:v>Warranty (includes battery pack(s) only)</c:v>
                </c:pt>
              </c:strCache>
            </c:strRef>
          </c:cat>
          <c:val>
            <c:numRef>
              <c:f>'Summary of Results'!$F$62:$F$70</c:f>
              <c:numCache>
                <c:formatCode>_(* #,##0_);_(* \(#,##0\);_(* "-"??_);_(@_)</c:formatCode>
                <c:ptCount val="9"/>
                <c:pt idx="0">
                  <c:v>4126.2502198061547</c:v>
                </c:pt>
                <c:pt idx="1">
                  <c:v>835.92893128993762</c:v>
                </c:pt>
                <c:pt idx="2">
                  <c:v>194.0321227425994</c:v>
                </c:pt>
                <c:pt idx="3">
                  <c:v>175.30714545523827</c:v>
                </c:pt>
                <c:pt idx="4">
                  <c:v>214.45268749720753</c:v>
                </c:pt>
                <c:pt idx="5">
                  <c:v>195.388592716397</c:v>
                </c:pt>
                <c:pt idx="6">
                  <c:v>488.47148179099321</c:v>
                </c:pt>
                <c:pt idx="7">
                  <c:v>233.19838763480689</c:v>
                </c:pt>
                <c:pt idx="8">
                  <c:v>361.92965586026673</c:v>
                </c:pt>
              </c:numCache>
            </c:numRef>
          </c:val>
        </c:ser>
        <c:firstSliceAng val="0"/>
      </c:pieChart>
      <c:spPr>
        <a:noFill/>
        <a:ln w="25400">
          <a:noFill/>
        </a:ln>
      </c:spPr>
    </c:plotArea>
    <c:legend>
      <c:legendPos val="r"/>
      <c:layout>
        <c:manualLayout>
          <c:xMode val="edge"/>
          <c:yMode val="edge"/>
          <c:x val="0.54101313252073868"/>
          <c:y val="1.5576323987538939E-2"/>
          <c:w val="0.44502691090315288"/>
          <c:h val="0.9750808251772265"/>
        </c:manualLayout>
      </c:layout>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Eq val="1"/>
            <c:trendlineLbl>
              <c:numFmt formatCode="0.0000" sourceLinked="0"/>
              <c:spPr>
                <a:noFill/>
                <a:ln w="25400">
                  <a:noFill/>
                </a:ln>
              </c:spPr>
              <c:txPr>
                <a:bodyPr/>
                <a:lstStyle/>
                <a:p>
                  <a:pPr>
                    <a:defRPr sz="100" b="0" i="0" u="none" strike="noStrike" baseline="0">
                      <a:solidFill>
                        <a:srgbClr val="000000"/>
                      </a:solidFill>
                      <a:latin typeface="Arial"/>
                      <a:ea typeface="Arial"/>
                      <a:cs typeface="Arial"/>
                    </a:defRPr>
                  </a:pPr>
                  <a:endParaRPr lang="en-US"/>
                </a:p>
              </c:txPr>
            </c:trendlineLbl>
          </c:trendline>
        </c:ser>
        <c:ser>
          <c:idx val="1"/>
          <c:order val="1"/>
          <c:spPr>
            <a:ln w="28575">
              <a:noFill/>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linear"/>
            <c:dispEq val="1"/>
            <c:trendlineLbl>
              <c:numFmt formatCode="General" sourceLinked="0"/>
              <c:spPr>
                <a:noFill/>
                <a:ln w="25400">
                  <a:noFill/>
                </a:ln>
              </c:spPr>
              <c:txPr>
                <a:bodyPr/>
                <a:lstStyle/>
                <a:p>
                  <a:pPr>
                    <a:defRPr sz="100" b="0" i="0" u="none" strike="noStrike" baseline="0">
                      <a:solidFill>
                        <a:srgbClr val="000000"/>
                      </a:solidFill>
                      <a:latin typeface="Arial"/>
                      <a:ea typeface="Arial"/>
                      <a:cs typeface="Arial"/>
                    </a:defRPr>
                  </a:pPr>
                  <a:endParaRPr lang="en-US"/>
                </a:p>
              </c:txPr>
            </c:trendlineLbl>
          </c:trendline>
        </c:ser>
        <c:axId val="93776512"/>
        <c:axId val="93929856"/>
      </c:scatterChart>
      <c:valAx>
        <c:axId val="93776512"/>
        <c:scaling>
          <c:orientation val="minMax"/>
        </c:scaling>
        <c:axPos val="b"/>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93929856"/>
        <c:crosses val="autoZero"/>
        <c:crossBetween val="midCat"/>
      </c:valAx>
      <c:valAx>
        <c:axId val="9392985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93776512"/>
        <c:crosses val="autoZero"/>
        <c:crossBetween val="midCat"/>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129780780192032"/>
          <c:y val="0.22405686179897297"/>
          <c:w val="0.35725217471685272"/>
          <c:h val="0.55188742801010193"/>
        </c:manualLayout>
      </c:layout>
      <c:pieChart>
        <c:varyColors val="1"/>
        <c:ser>
          <c:idx val="0"/>
          <c:order val="0"/>
          <c:spPr>
            <a:solidFill>
              <a:srgbClr val="8080FF"/>
            </a:solidFill>
            <a:ln w="12700">
              <a:solidFill>
                <a:srgbClr val="000000"/>
              </a:solidFill>
              <a:prstDash val="solid"/>
            </a:ln>
          </c:spPr>
          <c:dPt>
            <c:idx val="1"/>
            <c:spPr>
              <a:solidFill>
                <a:srgbClr val="802060"/>
              </a:solidFill>
              <a:ln w="12700">
                <a:solidFill>
                  <a:srgbClr val="000000"/>
                </a:solidFill>
                <a:prstDash val="solid"/>
              </a:ln>
            </c:spPr>
          </c:dPt>
          <c:dPt>
            <c:idx val="2"/>
            <c:spPr>
              <a:solidFill>
                <a:srgbClr val="FFFFC0"/>
              </a:solidFill>
              <a:ln w="12700">
                <a:solidFill>
                  <a:srgbClr val="000000"/>
                </a:solidFill>
                <a:prstDash val="solid"/>
              </a:ln>
            </c:spPr>
          </c:dPt>
          <c:dPt>
            <c:idx val="3"/>
            <c:spPr>
              <a:solidFill>
                <a:srgbClr val="A0E0E0"/>
              </a:solidFill>
              <a:ln w="12700">
                <a:solidFill>
                  <a:srgbClr val="000000"/>
                </a:solidFill>
                <a:prstDash val="solid"/>
              </a:ln>
            </c:spPr>
          </c:dPt>
          <c:dPt>
            <c:idx val="4"/>
            <c:spPr>
              <a:solidFill>
                <a:srgbClr val="60008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80C0"/>
              </a:solidFill>
              <a:ln w="12700">
                <a:solidFill>
                  <a:srgbClr val="000000"/>
                </a:solidFill>
                <a:prstDash val="solid"/>
              </a:ln>
            </c:spPr>
          </c:dPt>
          <c:dPt>
            <c:idx val="7"/>
            <c:spPr>
              <a:solidFill>
                <a:srgbClr val="C0C0FF"/>
              </a:solidFill>
              <a:ln w="12700">
                <a:solidFill>
                  <a:srgbClr val="000000"/>
                </a:solidFill>
                <a:prstDash val="solid"/>
              </a:ln>
            </c:spPr>
          </c:dPt>
          <c:dPt>
            <c:idx val="8"/>
            <c:spPr>
              <a:solidFill>
                <a:srgbClr val="000080"/>
              </a:solidFill>
              <a:ln w="12700">
                <a:solidFill>
                  <a:srgbClr val="000000"/>
                </a:solidFill>
                <a:prstDash val="solid"/>
              </a:ln>
            </c:spPr>
          </c:dPt>
          <c:dPt>
            <c:idx val="9"/>
            <c:spPr>
              <a:solidFill>
                <a:srgbClr val="FF00FF"/>
              </a:solidFill>
              <a:ln w="12700">
                <a:solidFill>
                  <a:srgbClr val="000000"/>
                </a:solidFill>
                <a:prstDash val="solid"/>
              </a:ln>
            </c:spPr>
          </c:dPt>
          <c:dLbls>
            <c:numFmt formatCode="0%" sourceLinked="0"/>
            <c:spPr>
              <a:noFill/>
              <a:ln w="25400">
                <a:noFill/>
              </a:ln>
            </c:spPr>
            <c:txPr>
              <a:bodyPr/>
              <a:lstStyle/>
              <a:p>
                <a:pPr>
                  <a:defRPr sz="1350" b="0" i="0" u="none" strike="noStrike" baseline="0">
                    <a:solidFill>
                      <a:srgbClr val="000000"/>
                    </a:solidFill>
                    <a:latin typeface="Arial"/>
                    <a:ea typeface="Arial"/>
                    <a:cs typeface="Arial"/>
                  </a:defRPr>
                </a:pPr>
                <a:endParaRPr lang="en-US"/>
              </a:p>
            </c:txPr>
            <c:showPercent val="1"/>
            <c:showLeaderLines val="1"/>
          </c:dLbls>
          <c:cat>
            <c:strRef>
              <c:f>'Manufacturing Cost Calculations'!$A$268:$A$277</c:f>
              <c:strCache>
                <c:ptCount val="10"/>
                <c:pt idx="0">
                  <c:v>Positive Active  Material</c:v>
                </c:pt>
                <c:pt idx="1">
                  <c:v>Negative Active  Material</c:v>
                </c:pt>
                <c:pt idx="2">
                  <c:v>Carbon and Binders</c:v>
                </c:pt>
                <c:pt idx="3">
                  <c:v>Positive Current Collector</c:v>
                </c:pt>
                <c:pt idx="4">
                  <c:v>Negative Current Collector</c:v>
                </c:pt>
                <c:pt idx="5">
                  <c:v>Separators</c:v>
                </c:pt>
                <c:pt idx="6">
                  <c:v>Electrolyte</c:v>
                </c:pt>
                <c:pt idx="7">
                  <c:v>Cell Hardware</c:v>
                </c:pt>
                <c:pt idx="8">
                  <c:v>Module Hardware</c:v>
                </c:pt>
                <c:pt idx="9">
                  <c:v>Battery Jacket</c:v>
                </c:pt>
              </c:strCache>
            </c:strRef>
          </c:cat>
          <c:val>
            <c:numRef>
              <c:f>'Manufacturing Cost Calculations'!$J$268:$J$277</c:f>
              <c:numCache>
                <c:formatCode>_(* #,##0.00_);_(* \(#,##0.00\);_(* "-"??_);_(@_)</c:formatCode>
                <c:ptCount val="10"/>
                <c:pt idx="0">
                  <c:v>850.99050485348357</c:v>
                </c:pt>
                <c:pt idx="1">
                  <c:v>380.78105250466649</c:v>
                </c:pt>
                <c:pt idx="2">
                  <c:v>43.854779702813182</c:v>
                </c:pt>
                <c:pt idx="3">
                  <c:v>70.781531693847754</c:v>
                </c:pt>
                <c:pt idx="4">
                  <c:v>169.96980519427225</c:v>
                </c:pt>
                <c:pt idx="5">
                  <c:v>312.77056095093576</c:v>
                </c:pt>
                <c:pt idx="6">
                  <c:v>254.26505957961245</c:v>
                </c:pt>
                <c:pt idx="7">
                  <c:v>95.552486409003095</c:v>
                </c:pt>
                <c:pt idx="8">
                  <c:v>409.52565748879499</c:v>
                </c:pt>
                <c:pt idx="9">
                  <c:v>207.21218975883602</c:v>
                </c:pt>
              </c:numCache>
            </c:numRef>
          </c:val>
        </c:ser>
        <c:firstSliceAng val="0"/>
      </c:pieChart>
      <c:spPr>
        <a:noFill/>
        <a:ln w="25400">
          <a:noFill/>
        </a:ln>
      </c:spPr>
    </c:plotArea>
    <c:legend>
      <c:legendPos val="r"/>
      <c:layout>
        <c:manualLayout>
          <c:xMode val="edge"/>
          <c:yMode val="edge"/>
          <c:x val="0.60763406864218361"/>
          <c:y val="1.8867924528301886E-2"/>
          <c:w val="0.38625986255534861"/>
          <c:h val="0.97169935126033802"/>
        </c:manualLayout>
      </c:layout>
      <c:spPr>
        <a:solidFill>
          <a:srgbClr val="FFFFFF"/>
        </a:solidFill>
        <a:ln w="3175">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95250</xdr:colOff>
      <xdr:row>118</xdr:row>
      <xdr:rowOff>133350</xdr:rowOff>
    </xdr:from>
    <xdr:to>
      <xdr:col>9</xdr:col>
      <xdr:colOff>314325</xdr:colOff>
      <xdr:row>137</xdr:row>
      <xdr:rowOff>114300</xdr:rowOff>
    </xdr:to>
    <xdr:graphicFrame macro="">
      <xdr:nvGraphicFramePr>
        <xdr:cNvPr id="4112" name="Chart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303</xdr:row>
      <xdr:rowOff>152400</xdr:rowOff>
    </xdr:from>
    <xdr:to>
      <xdr:col>9</xdr:col>
      <xdr:colOff>628650</xdr:colOff>
      <xdr:row>328</xdr:row>
      <xdr:rowOff>142875</xdr:rowOff>
    </xdr:to>
    <xdr:graphicFrame macro="">
      <xdr:nvGraphicFramePr>
        <xdr:cNvPr id="6146" name="Chart 2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0</xdr:row>
      <xdr:rowOff>19050</xdr:rowOff>
    </xdr:from>
    <xdr:to>
      <xdr:col>14</xdr:col>
      <xdr:colOff>390525</xdr:colOff>
      <xdr:row>5</xdr:row>
      <xdr:rowOff>142875</xdr:rowOff>
    </xdr:to>
    <xdr:sp macro="" textlink="">
      <xdr:nvSpPr>
        <xdr:cNvPr id="120942" name="Text Box 110"/>
        <xdr:cNvSpPr txBox="1">
          <a:spLocks noChangeArrowheads="1"/>
        </xdr:cNvSpPr>
      </xdr:nvSpPr>
      <xdr:spPr bwMode="auto">
        <a:xfrm>
          <a:off x="247650" y="19050"/>
          <a:ext cx="8677275" cy="933450"/>
        </a:xfrm>
        <a:prstGeom prst="rect">
          <a:avLst/>
        </a:prstGeom>
        <a:solidFill>
          <a:srgbClr val="FFFFFF"/>
        </a:solidFill>
        <a:ln>
          <a:noFill/>
        </a:ln>
        <a:extLst/>
      </xdr:spPr>
      <xdr:txBody>
        <a:bodyPr vertOverflow="clip" wrap="square" lIns="36576" tIns="32004" rIns="36576" bIns="32004" anchor="ctr" upright="1"/>
        <a:lstStyle/>
        <a:p>
          <a:pPr algn="ctr" rtl="0">
            <a:defRPr sz="1000"/>
          </a:pPr>
          <a:r>
            <a:rPr lang="en-US" sz="1600" b="1" i="0" u="none" strike="noStrike" baseline="0">
              <a:solidFill>
                <a:srgbClr val="000000"/>
              </a:solidFill>
              <a:latin typeface="Arial"/>
              <a:cs typeface="Arial"/>
            </a:rPr>
            <a:t>Baseline Lithium-Ion Battery Manufacturing Plant Schematic Diagram</a:t>
          </a:r>
          <a:endParaRPr lang="en-US" sz="1800" b="1" i="0" u="none" strike="noStrike" baseline="0">
            <a:solidFill>
              <a:srgbClr val="000000"/>
            </a:solidFill>
            <a:latin typeface="Arial"/>
            <a:cs typeface="Arial"/>
          </a:endParaRPr>
        </a:p>
        <a:p>
          <a:pPr algn="ctr" rtl="0">
            <a:defRPr sz="1000"/>
          </a:pPr>
          <a:r>
            <a:rPr lang="en-US" sz="1800" b="1" i="0" u="none" strike="noStrike" baseline="0">
              <a:solidFill>
                <a:srgbClr val="000000"/>
              </a:solidFill>
              <a:latin typeface="Arial"/>
              <a:cs typeface="Arial"/>
            </a:rPr>
            <a:t> </a:t>
          </a:r>
          <a:r>
            <a:rPr lang="en-US" sz="1400" b="1" i="0" u="none" strike="noStrike" baseline="0">
              <a:solidFill>
                <a:srgbClr val="000000"/>
              </a:solidFill>
              <a:latin typeface="Arial"/>
              <a:cs typeface="Arial"/>
            </a:rPr>
            <a:t>100,000 battery NCA-Gr packs per year, 50-kW battery power, 40-Ah capacity, 60 cells per battery</a:t>
          </a:r>
        </a:p>
        <a:p>
          <a:pPr algn="ctr" rtl="0">
            <a:defRPr sz="1000"/>
          </a:pPr>
          <a:r>
            <a:rPr lang="en-US" sz="1400" b="1" i="0" u="none" strike="noStrike" baseline="0">
              <a:solidFill>
                <a:srgbClr val="000000"/>
              </a:solidFill>
              <a:latin typeface="Arial"/>
              <a:cs typeface="Arial"/>
            </a:rPr>
            <a:t>Operating year: 300 days with three 8-hr shifts per day (two shifts for receiving and shipping)</a:t>
          </a:r>
        </a:p>
      </xdr:txBody>
    </xdr:sp>
    <xdr:clientData/>
  </xdr:twoCellAnchor>
  <xdr:twoCellAnchor>
    <xdr:from>
      <xdr:col>0</xdr:col>
      <xdr:colOff>257175</xdr:colOff>
      <xdr:row>6</xdr:row>
      <xdr:rowOff>85725</xdr:rowOff>
    </xdr:from>
    <xdr:to>
      <xdr:col>14</xdr:col>
      <xdr:colOff>295275</xdr:colOff>
      <xdr:row>42</xdr:row>
      <xdr:rowOff>38100</xdr:rowOff>
    </xdr:to>
    <xdr:grpSp>
      <xdr:nvGrpSpPr>
        <xdr:cNvPr id="9218" name="Group 160"/>
        <xdr:cNvGrpSpPr>
          <a:grpSpLocks/>
        </xdr:cNvGrpSpPr>
      </xdr:nvGrpSpPr>
      <xdr:grpSpPr bwMode="auto">
        <a:xfrm>
          <a:off x="257175" y="1057275"/>
          <a:ext cx="8572500" cy="5781675"/>
          <a:chOff x="2" y="118"/>
          <a:chExt cx="900" cy="607"/>
        </a:xfrm>
      </xdr:grpSpPr>
      <xdr:sp macro="" textlink="">
        <xdr:nvSpPr>
          <xdr:cNvPr id="120945" name="Text Box 113"/>
          <xdr:cNvSpPr txBox="1">
            <a:spLocks noChangeArrowheads="1"/>
          </xdr:cNvSpPr>
        </xdr:nvSpPr>
        <xdr:spPr bwMode="auto">
          <a:xfrm>
            <a:off x="28" y="663"/>
            <a:ext cx="865" cy="62"/>
          </a:xfrm>
          <a:prstGeom prst="rect">
            <a:avLst/>
          </a:prstGeom>
          <a:solidFill>
            <a:srgbClr val="FFFFFF"/>
          </a:solidFill>
          <a:ln>
            <a:noFill/>
          </a:ln>
          <a:extLst/>
        </xdr:spPr>
        <xdr:txBody>
          <a:bodyPr vertOverflow="clip" wrap="square" lIns="36576" tIns="32004" rIns="0" bIns="0" anchor="t" upright="1"/>
          <a:lstStyle/>
          <a:p>
            <a:pPr algn="l" rtl="0">
              <a:defRPr sz="1000"/>
            </a:pPr>
            <a:r>
              <a:rPr lang="en-US" sz="1600" b="1" i="0" u="none" strike="noStrike" baseline="0">
                <a:solidFill>
                  <a:srgbClr val="000000"/>
                </a:solidFill>
                <a:latin typeface="Arial"/>
                <a:cs typeface="Arial"/>
              </a:rPr>
              <a:t>The areas in this diagram for each processing step are approximately proportional to the estimated plant areas in the baseline plant.</a:t>
            </a:r>
          </a:p>
          <a:p>
            <a:pPr algn="l" rtl="0">
              <a:defRPr sz="1000"/>
            </a:pPr>
            <a:endParaRPr lang="en-US" sz="1600" b="1" i="0" u="none" strike="noStrike" baseline="0">
              <a:solidFill>
                <a:srgbClr val="000000"/>
              </a:solidFill>
              <a:latin typeface="Arial"/>
              <a:cs typeface="Arial"/>
            </a:endParaRPr>
          </a:p>
        </xdr:txBody>
      </xdr:sp>
      <xdr:sp macro="" textlink="">
        <xdr:nvSpPr>
          <xdr:cNvPr id="120938" name="Text Box 106"/>
          <xdr:cNvSpPr txBox="1">
            <a:spLocks noChangeArrowheads="1"/>
          </xdr:cNvSpPr>
        </xdr:nvSpPr>
        <xdr:spPr bwMode="auto">
          <a:xfrm>
            <a:off x="2" y="272"/>
            <a:ext cx="128" cy="199"/>
          </a:xfrm>
          <a:prstGeom prst="rect">
            <a:avLst/>
          </a:prstGeom>
          <a:solidFill>
            <a:srgbClr val="FFFFFF"/>
          </a:solidFill>
          <a:ln w="9525">
            <a:solidFill>
              <a:srgbClr val="000000"/>
            </a:solidFill>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000000"/>
                </a:solidFill>
                <a:latin typeface="Arial"/>
                <a:cs typeface="Arial"/>
              </a:rPr>
              <a:t>Shipping</a:t>
            </a:r>
          </a:p>
        </xdr:txBody>
      </xdr:sp>
      <xdr:sp macro="" textlink="">
        <xdr:nvSpPr>
          <xdr:cNvPr id="120939" name="Text Box 107"/>
          <xdr:cNvSpPr txBox="1">
            <a:spLocks noChangeArrowheads="1"/>
          </xdr:cNvSpPr>
        </xdr:nvSpPr>
        <xdr:spPr bwMode="auto">
          <a:xfrm>
            <a:off x="2" y="471"/>
            <a:ext cx="128" cy="135"/>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Cell and Scrap Recycling</a:t>
            </a:r>
          </a:p>
        </xdr:txBody>
      </xdr:sp>
      <xdr:sp macro="" textlink="">
        <xdr:nvSpPr>
          <xdr:cNvPr id="120940" name="Text Box 108"/>
          <xdr:cNvSpPr txBox="1">
            <a:spLocks noChangeArrowheads="1"/>
          </xdr:cNvSpPr>
        </xdr:nvSpPr>
        <xdr:spPr bwMode="auto">
          <a:xfrm>
            <a:off x="2" y="118"/>
            <a:ext cx="173" cy="154"/>
          </a:xfrm>
          <a:prstGeom prst="rect">
            <a:avLst/>
          </a:prstGeom>
          <a:solidFill>
            <a:srgbClr val="FFFFFF"/>
          </a:solidFill>
          <a:ln w="9525">
            <a:solidFill>
              <a:srgbClr val="000000"/>
            </a:solidFill>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000000"/>
                </a:solidFill>
                <a:latin typeface="Arial"/>
                <a:cs typeface="Arial"/>
              </a:rPr>
              <a:t>Receiving</a:t>
            </a:r>
          </a:p>
        </xdr:txBody>
      </xdr:sp>
      <xdr:sp macro="" textlink="">
        <xdr:nvSpPr>
          <xdr:cNvPr id="120941" name="Text Box 109"/>
          <xdr:cNvSpPr txBox="1">
            <a:spLocks noChangeArrowheads="1"/>
          </xdr:cNvSpPr>
        </xdr:nvSpPr>
        <xdr:spPr bwMode="auto">
          <a:xfrm>
            <a:off x="263" y="272"/>
            <a:ext cx="135" cy="95"/>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Control Laboratory</a:t>
            </a:r>
          </a:p>
        </xdr:txBody>
      </xdr:sp>
      <xdr:sp macro="" textlink="">
        <xdr:nvSpPr>
          <xdr:cNvPr id="9224" name="AutoShape 111"/>
          <xdr:cNvSpPr>
            <a:spLocks noChangeArrowheads="1"/>
          </xdr:cNvSpPr>
        </xdr:nvSpPr>
        <xdr:spPr bwMode="auto">
          <a:xfrm>
            <a:off x="76" y="626"/>
            <a:ext cx="65" cy="14"/>
          </a:xfrm>
          <a:prstGeom prst="rightArrow">
            <a:avLst>
              <a:gd name="adj1" fmla="val 50000"/>
              <a:gd name="adj2" fmla="val 116071"/>
            </a:avLst>
          </a:prstGeom>
          <a:solidFill>
            <a:srgbClr val="800080">
              <a:alpha val="50195"/>
            </a:srgbClr>
          </a:solidFill>
          <a:ln w="9525">
            <a:solidFill>
              <a:srgbClr val="800080"/>
            </a:solidFill>
            <a:miter lim="800000"/>
            <a:headEnd/>
            <a:tailEnd/>
          </a:ln>
        </xdr:spPr>
      </xdr:sp>
      <xdr:sp macro="" textlink="">
        <xdr:nvSpPr>
          <xdr:cNvPr id="120944" name="Text Box 112"/>
          <xdr:cNvSpPr txBox="1">
            <a:spLocks noChangeArrowheads="1"/>
          </xdr:cNvSpPr>
        </xdr:nvSpPr>
        <xdr:spPr bwMode="auto">
          <a:xfrm>
            <a:off x="150" y="619"/>
            <a:ext cx="181" cy="33"/>
          </a:xfrm>
          <a:prstGeom prst="rect">
            <a:avLst/>
          </a:prstGeom>
          <a:solidFill>
            <a:srgbClr val="FFFFFF"/>
          </a:solidFill>
          <a:ln>
            <a:noFill/>
          </a:ln>
          <a:extLst/>
        </xdr:spPr>
        <xdr:txBody>
          <a:bodyPr vertOverflow="clip" wrap="square" lIns="36576" tIns="32004" rIns="0" bIns="0" anchor="t" upright="1"/>
          <a:lstStyle/>
          <a:p>
            <a:pPr algn="l" rtl="0">
              <a:defRPr sz="1000"/>
            </a:pPr>
            <a:r>
              <a:rPr lang="en-US" sz="1600" b="1" i="0" u="none" strike="noStrike" baseline="0">
                <a:solidFill>
                  <a:srgbClr val="800080"/>
                </a:solidFill>
                <a:latin typeface="Arial"/>
                <a:cs typeface="Arial"/>
              </a:rPr>
              <a:t>Assembly Route</a:t>
            </a:r>
          </a:p>
        </xdr:txBody>
      </xdr:sp>
      <xdr:sp macro="" textlink="">
        <xdr:nvSpPr>
          <xdr:cNvPr id="120946" name="Text Box 114"/>
          <xdr:cNvSpPr txBox="1">
            <a:spLocks noChangeArrowheads="1"/>
          </xdr:cNvSpPr>
        </xdr:nvSpPr>
        <xdr:spPr bwMode="auto">
          <a:xfrm>
            <a:off x="130" y="271"/>
            <a:ext cx="133" cy="193"/>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endParaRPr lang="en-US" sz="1400" b="1"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Battery Pack Assembly and Testing</a:t>
            </a:r>
          </a:p>
          <a:p>
            <a:pPr algn="ctr" rtl="0">
              <a:defRPr sz="1000"/>
            </a:pPr>
            <a:endParaRPr lang="en-US" sz="1400" b="1" i="0" u="none" strike="noStrike" baseline="0">
              <a:solidFill>
                <a:srgbClr val="000000"/>
              </a:solidFill>
              <a:latin typeface="Arial"/>
              <a:cs typeface="Arial"/>
            </a:endParaRPr>
          </a:p>
        </xdr:txBody>
      </xdr:sp>
      <xdr:sp macro="" textlink="">
        <xdr:nvSpPr>
          <xdr:cNvPr id="120947" name="Text Box 115"/>
          <xdr:cNvSpPr txBox="1">
            <a:spLocks noChangeArrowheads="1"/>
          </xdr:cNvSpPr>
        </xdr:nvSpPr>
        <xdr:spPr bwMode="auto">
          <a:xfrm>
            <a:off x="263" y="365"/>
            <a:ext cx="135" cy="101"/>
          </a:xfrm>
          <a:prstGeom prst="rect">
            <a:avLst/>
          </a:prstGeom>
          <a:solidFill>
            <a:srgbClr val="FFFFFF"/>
          </a:solidFill>
          <a:ln w="9525">
            <a:solidFill>
              <a:srgbClr val="000000"/>
            </a:solidFill>
            <a:miter lim="800000"/>
            <a:headEnd/>
            <a:tailEnd/>
          </a:ln>
        </xdr:spPr>
        <xdr:txBody>
          <a:bodyPr vertOverflow="clip" wrap="square" lIns="36576" tIns="32004" rIns="36576" bIns="0" anchor="t" upright="1"/>
          <a:lstStyle/>
          <a:p>
            <a:pPr algn="ctr" rtl="0">
              <a:defRPr sz="1000"/>
            </a:pPr>
            <a:r>
              <a:rPr lang="en-US" sz="1600" b="1" i="0" u="none" strike="noStrike" baseline="0">
                <a:solidFill>
                  <a:srgbClr val="000000"/>
                </a:solidFill>
                <a:latin typeface="Arial"/>
                <a:cs typeface="Arial"/>
              </a:rPr>
              <a:t>Module Assembly</a:t>
            </a:r>
          </a:p>
          <a:p>
            <a:pPr algn="ctr" rtl="0">
              <a:defRPr sz="1000"/>
            </a:pPr>
            <a:endParaRPr lang="en-US" sz="1600" b="1" i="0" u="none" strike="noStrike" baseline="0">
              <a:solidFill>
                <a:srgbClr val="000000"/>
              </a:solidFill>
              <a:latin typeface="Arial"/>
              <a:cs typeface="Arial"/>
            </a:endParaRPr>
          </a:p>
        </xdr:txBody>
      </xdr:sp>
      <xdr:sp macro="" textlink="">
        <xdr:nvSpPr>
          <xdr:cNvPr id="9228" name="AutoShape 116"/>
          <xdr:cNvSpPr>
            <a:spLocks noChangeArrowheads="1"/>
          </xdr:cNvSpPr>
        </xdr:nvSpPr>
        <xdr:spPr bwMode="auto">
          <a:xfrm>
            <a:off x="837" y="267"/>
            <a:ext cx="15" cy="60"/>
          </a:xfrm>
          <a:prstGeom prst="downArrow">
            <a:avLst>
              <a:gd name="adj1" fmla="val 50000"/>
              <a:gd name="adj2" fmla="val 100000"/>
            </a:avLst>
          </a:prstGeom>
          <a:solidFill>
            <a:srgbClr val="800080">
              <a:alpha val="50195"/>
            </a:srgbClr>
          </a:solidFill>
          <a:ln w="9525">
            <a:solidFill>
              <a:srgbClr val="800080"/>
            </a:solidFill>
            <a:miter lim="800000"/>
            <a:headEnd/>
            <a:tailEnd/>
          </a:ln>
        </xdr:spPr>
      </xdr:sp>
      <xdr:sp macro="" textlink="">
        <xdr:nvSpPr>
          <xdr:cNvPr id="9229" name="AutoShape 117"/>
          <xdr:cNvSpPr>
            <a:spLocks noChangeArrowheads="1"/>
          </xdr:cNvSpPr>
        </xdr:nvSpPr>
        <xdr:spPr bwMode="auto">
          <a:xfrm rot="-5400000">
            <a:off x="30" y="451"/>
            <a:ext cx="70" cy="13"/>
          </a:xfrm>
          <a:prstGeom prst="rightArrow">
            <a:avLst>
              <a:gd name="adj1" fmla="val 50000"/>
              <a:gd name="adj2" fmla="val 134615"/>
            </a:avLst>
          </a:prstGeom>
          <a:solidFill>
            <a:srgbClr val="FFFFFF"/>
          </a:solidFill>
          <a:ln w="9525">
            <a:solidFill>
              <a:srgbClr val="000000"/>
            </a:solidFill>
            <a:prstDash val="dash"/>
            <a:miter lim="800000"/>
            <a:headEnd/>
            <a:tailEnd/>
          </a:ln>
        </xdr:spPr>
      </xdr:sp>
      <xdr:sp macro="" textlink="">
        <xdr:nvSpPr>
          <xdr:cNvPr id="120950" name="Text Box 118"/>
          <xdr:cNvSpPr txBox="1">
            <a:spLocks noChangeArrowheads="1"/>
          </xdr:cNvSpPr>
        </xdr:nvSpPr>
        <xdr:spPr bwMode="auto">
          <a:xfrm>
            <a:off x="398" y="272"/>
            <a:ext cx="238" cy="334"/>
          </a:xfrm>
          <a:prstGeom prst="rect">
            <a:avLst/>
          </a:prstGeom>
          <a:solidFill>
            <a:srgbClr val="FFFFFF"/>
          </a:solidFill>
          <a:ln w="9525">
            <a:solidFill>
              <a:srgbClr val="000000"/>
            </a:solidFill>
            <a:miter lim="800000"/>
            <a:headEnd/>
            <a:tailEnd/>
          </a:ln>
        </xdr:spPr>
        <xdr:txBody>
          <a:bodyPr vertOverflow="clip" wrap="square" lIns="36576" tIns="32004" rIns="0" bIns="32004" anchor="ctr" upright="1"/>
          <a:lstStyle/>
          <a:p>
            <a:pPr algn="l" rtl="0">
              <a:defRPr sz="1000"/>
            </a:pPr>
            <a:r>
              <a:rPr lang="en-US" sz="1600" b="1" i="0" u="none" strike="noStrike" baseline="0">
                <a:solidFill>
                  <a:srgbClr val="000000"/>
                </a:solidFill>
                <a:latin typeface="Arial"/>
                <a:cs typeface="Arial"/>
              </a:rPr>
              <a:t>     Formation  </a:t>
            </a:r>
          </a:p>
          <a:p>
            <a:pPr algn="l" rtl="0">
              <a:lnSpc>
                <a:spcPts val="1700"/>
              </a:lnSpc>
              <a:defRPr sz="1000"/>
            </a:pPr>
            <a:r>
              <a:rPr lang="en-US" sz="1600" b="1" i="0" u="none" strike="noStrike" baseline="0">
                <a:solidFill>
                  <a:srgbClr val="000000"/>
                </a:solidFill>
                <a:latin typeface="Arial"/>
                <a:cs typeface="Arial"/>
              </a:rPr>
              <a:t>       Cycling</a:t>
            </a:r>
          </a:p>
        </xdr:txBody>
      </xdr:sp>
      <xdr:sp macro="" textlink="">
        <xdr:nvSpPr>
          <xdr:cNvPr id="120951" name="Text Box 119"/>
          <xdr:cNvSpPr txBox="1">
            <a:spLocks noChangeArrowheads="1"/>
          </xdr:cNvSpPr>
        </xdr:nvSpPr>
        <xdr:spPr bwMode="auto">
          <a:xfrm>
            <a:off x="774" y="344"/>
            <a:ext cx="127" cy="165"/>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Current Collector</a:t>
            </a:r>
          </a:p>
          <a:p>
            <a:pPr algn="ctr" rtl="0">
              <a:defRPr sz="1000"/>
            </a:pPr>
            <a:r>
              <a:rPr lang="en-US" sz="1400" b="1" i="0" u="none" strike="noStrike" baseline="0">
                <a:solidFill>
                  <a:srgbClr val="000000"/>
                </a:solidFill>
                <a:latin typeface="Arial"/>
                <a:cs typeface="Arial"/>
              </a:rPr>
              <a:t> Welding</a:t>
            </a:r>
          </a:p>
        </xdr:txBody>
      </xdr:sp>
      <xdr:sp macro="" textlink="">
        <xdr:nvSpPr>
          <xdr:cNvPr id="120952" name="Text Box 120"/>
          <xdr:cNvSpPr txBox="1">
            <a:spLocks noChangeArrowheads="1"/>
          </xdr:cNvSpPr>
        </xdr:nvSpPr>
        <xdr:spPr bwMode="auto">
          <a:xfrm>
            <a:off x="660" y="343"/>
            <a:ext cx="116" cy="166"/>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Enclosing Cell in Container</a:t>
            </a:r>
          </a:p>
        </xdr:txBody>
      </xdr:sp>
      <xdr:sp macro="" textlink="">
        <xdr:nvSpPr>
          <xdr:cNvPr id="120953" name="Text Box 121"/>
          <xdr:cNvSpPr txBox="1">
            <a:spLocks noChangeArrowheads="1"/>
          </xdr:cNvSpPr>
        </xdr:nvSpPr>
        <xdr:spPr bwMode="auto">
          <a:xfrm>
            <a:off x="637" y="509"/>
            <a:ext cx="263" cy="9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Electrolyte Filling</a:t>
            </a:r>
          </a:p>
          <a:p>
            <a:pPr algn="ctr" rtl="0">
              <a:defRPr sz="1000"/>
            </a:pPr>
            <a:r>
              <a:rPr lang="en-US" sz="1400" b="1" i="0" u="none" strike="noStrike" baseline="0">
                <a:solidFill>
                  <a:srgbClr val="000000"/>
                </a:solidFill>
                <a:latin typeface="Arial"/>
                <a:cs typeface="Arial"/>
              </a:rPr>
              <a:t>and Cell Closing</a:t>
            </a:r>
          </a:p>
        </xdr:txBody>
      </xdr:sp>
      <xdr:sp macro="" textlink="">
        <xdr:nvSpPr>
          <xdr:cNvPr id="120954" name="Text Box 122"/>
          <xdr:cNvSpPr txBox="1">
            <a:spLocks noChangeArrowheads="1"/>
          </xdr:cNvSpPr>
        </xdr:nvSpPr>
        <xdr:spPr bwMode="auto">
          <a:xfrm>
            <a:off x="636" y="272"/>
            <a:ext cx="266" cy="80"/>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Cell Stacking</a:t>
            </a:r>
          </a:p>
        </xdr:txBody>
      </xdr:sp>
      <xdr:sp macro="" textlink="">
        <xdr:nvSpPr>
          <xdr:cNvPr id="9235" name="AutoShape 123"/>
          <xdr:cNvSpPr>
            <a:spLocks noChangeArrowheads="1"/>
          </xdr:cNvSpPr>
        </xdr:nvSpPr>
        <xdr:spPr bwMode="auto">
          <a:xfrm rot="10800000">
            <a:off x="702" y="494"/>
            <a:ext cx="34" cy="39"/>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706 w 21600"/>
              <a:gd name="T13" fmla="*/ 3877 h 21600"/>
              <a:gd name="T14" fmla="*/ 19059 w 21600"/>
              <a:gd name="T15" fmla="*/ 8308 h 21600"/>
            </a:gdLst>
            <a:ahLst/>
            <a:cxnLst>
              <a:cxn ang="T8">
                <a:pos x="T0" y="T1"/>
              </a:cxn>
              <a:cxn ang="T9">
                <a:pos x="T2" y="T3"/>
              </a:cxn>
              <a:cxn ang="T10">
                <a:pos x="T4" y="T5"/>
              </a:cxn>
              <a:cxn ang="T11">
                <a:pos x="T6" y="T7"/>
              </a:cxn>
            </a:cxnLst>
            <a:rect l="T12" t="T13" r="T14" b="T15"/>
            <a:pathLst>
              <a:path w="21600" h="21600">
                <a:moveTo>
                  <a:pt x="21600" y="6079"/>
                </a:moveTo>
                <a:lnTo>
                  <a:pt x="13976" y="0"/>
                </a:lnTo>
                <a:lnTo>
                  <a:pt x="13976" y="3978"/>
                </a:lnTo>
                <a:lnTo>
                  <a:pt x="12427" y="3978"/>
                </a:lnTo>
                <a:cubicBezTo>
                  <a:pt x="5564" y="3978"/>
                  <a:pt x="0" y="7640"/>
                  <a:pt x="0" y="12158"/>
                </a:cubicBezTo>
                <a:lnTo>
                  <a:pt x="0" y="21600"/>
                </a:lnTo>
                <a:lnTo>
                  <a:pt x="4295" y="21600"/>
                </a:lnTo>
                <a:lnTo>
                  <a:pt x="4295" y="12158"/>
                </a:lnTo>
                <a:cubicBezTo>
                  <a:pt x="4295" y="9961"/>
                  <a:pt x="7936" y="8180"/>
                  <a:pt x="12427" y="8180"/>
                </a:cubicBezTo>
                <a:lnTo>
                  <a:pt x="13976" y="8180"/>
                </a:lnTo>
                <a:lnTo>
                  <a:pt x="13976" y="12158"/>
                </a:lnTo>
                <a:lnTo>
                  <a:pt x="21600" y="6079"/>
                </a:lnTo>
                <a:close/>
              </a:path>
            </a:pathLst>
          </a:custGeom>
          <a:solidFill>
            <a:srgbClr val="800080">
              <a:alpha val="50195"/>
            </a:srgbClr>
          </a:solidFill>
          <a:ln w="9525">
            <a:solidFill>
              <a:srgbClr val="800080"/>
            </a:solidFill>
            <a:miter lim="800000"/>
            <a:headEnd/>
            <a:tailEnd/>
          </a:ln>
        </xdr:spPr>
      </xdr:sp>
      <xdr:sp macro="" textlink="">
        <xdr:nvSpPr>
          <xdr:cNvPr id="120956" name="Text Box 124"/>
          <xdr:cNvSpPr txBox="1">
            <a:spLocks noChangeArrowheads="1"/>
          </xdr:cNvSpPr>
        </xdr:nvSpPr>
        <xdr:spPr bwMode="auto">
          <a:xfrm>
            <a:off x="493" y="118"/>
            <a:ext cx="175" cy="154"/>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000000"/>
                </a:solidFill>
                <a:latin typeface="Arial"/>
                <a:cs typeface="Arial"/>
              </a:rPr>
              <a:t>Solvent Evaporation</a:t>
            </a:r>
          </a:p>
          <a:p>
            <a:pPr algn="ctr" rtl="0">
              <a:defRPr sz="1000"/>
            </a:pPr>
            <a:r>
              <a:rPr lang="en-US" sz="1400" b="1" i="0" u="none" strike="noStrike" baseline="0">
                <a:solidFill>
                  <a:srgbClr val="808080"/>
                </a:solidFill>
                <a:latin typeface="Arial"/>
                <a:cs typeface="Arial"/>
              </a:rPr>
              <a:t>Positive</a:t>
            </a:r>
            <a:endParaRPr lang="en-US" sz="1400" b="1" i="0" u="none" strike="noStrike" baseline="0">
              <a:solidFill>
                <a:srgbClr val="000000"/>
              </a:solidFill>
              <a:latin typeface="Arial"/>
              <a:cs typeface="Arial"/>
            </a:endParaRPr>
          </a:p>
          <a:p>
            <a:pPr algn="ctr" rtl="0">
              <a:defRPr sz="1000"/>
            </a:pPr>
            <a:endParaRPr lang="en-US" sz="1400" b="1" i="0" u="none" strike="noStrike" baseline="0">
              <a:solidFill>
                <a:srgbClr val="000000"/>
              </a:solidFill>
              <a:latin typeface="Arial"/>
              <a:cs typeface="Arial"/>
            </a:endParaRPr>
          </a:p>
          <a:p>
            <a:pPr algn="ctr" rtl="0">
              <a:defRPr sz="1000"/>
            </a:pPr>
            <a:r>
              <a:rPr lang="en-US" sz="1400" b="1" i="0" u="none" strike="noStrike" baseline="0">
                <a:solidFill>
                  <a:srgbClr val="808080"/>
                </a:solidFill>
                <a:latin typeface="Arial"/>
                <a:cs typeface="Arial"/>
              </a:rPr>
              <a:t>Negative</a:t>
            </a:r>
            <a:endParaRPr lang="en-US" sz="1400" b="1" i="0" u="none" strike="noStrike" baseline="0">
              <a:solidFill>
                <a:srgbClr val="000000"/>
              </a:solidFill>
              <a:latin typeface="Arial"/>
              <a:cs typeface="Arial"/>
            </a:endParaRPr>
          </a:p>
          <a:p>
            <a:pPr algn="ctr" rtl="0">
              <a:defRPr sz="1000"/>
            </a:pPr>
            <a:endParaRPr lang="en-US" sz="1400" b="1" i="0" u="none" strike="noStrike" baseline="0">
              <a:solidFill>
                <a:srgbClr val="000000"/>
              </a:solidFill>
              <a:latin typeface="Arial"/>
              <a:cs typeface="Arial"/>
            </a:endParaRPr>
          </a:p>
        </xdr:txBody>
      </xdr:sp>
      <xdr:sp macro="" textlink="">
        <xdr:nvSpPr>
          <xdr:cNvPr id="120957" name="Text Box 125"/>
          <xdr:cNvSpPr txBox="1">
            <a:spLocks noChangeArrowheads="1"/>
          </xdr:cNvSpPr>
        </xdr:nvSpPr>
        <xdr:spPr bwMode="auto">
          <a:xfrm>
            <a:off x="394" y="118"/>
            <a:ext cx="100" cy="154"/>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000000"/>
                </a:solidFill>
                <a:latin typeface="Arial"/>
                <a:cs typeface="Arial"/>
              </a:rPr>
              <a:t>Electrode Coating</a:t>
            </a:r>
          </a:p>
          <a:p>
            <a:pPr algn="ctr" rtl="0">
              <a:defRPr sz="1000"/>
            </a:pPr>
            <a:r>
              <a:rPr lang="en-US" sz="1400" b="1" i="0" u="none" strike="noStrike" baseline="0">
                <a:solidFill>
                  <a:srgbClr val="808080"/>
                </a:solidFill>
                <a:latin typeface="Arial"/>
                <a:cs typeface="Arial"/>
              </a:rPr>
              <a:t>Positive</a:t>
            </a:r>
          </a:p>
          <a:p>
            <a:pPr algn="ctr" rtl="0">
              <a:defRPr sz="1000"/>
            </a:pPr>
            <a:endParaRPr lang="en-US" sz="1400" b="1" i="0" u="none" strike="noStrike" baseline="0">
              <a:solidFill>
                <a:srgbClr val="808080"/>
              </a:solidFill>
              <a:latin typeface="Arial"/>
              <a:cs typeface="Arial"/>
            </a:endParaRPr>
          </a:p>
          <a:p>
            <a:pPr algn="ctr" rtl="0">
              <a:defRPr sz="1000"/>
            </a:pPr>
            <a:r>
              <a:rPr lang="en-US" sz="1400" b="1" i="0" u="none" strike="noStrike" baseline="0">
                <a:solidFill>
                  <a:srgbClr val="808080"/>
                </a:solidFill>
                <a:latin typeface="Arial"/>
                <a:cs typeface="Arial"/>
              </a:rPr>
              <a:t>Negative</a:t>
            </a:r>
          </a:p>
        </xdr:txBody>
      </xdr:sp>
      <xdr:sp macro="" textlink="">
        <xdr:nvSpPr>
          <xdr:cNvPr id="120958" name="Text Box 126"/>
          <xdr:cNvSpPr txBox="1">
            <a:spLocks noChangeArrowheads="1"/>
          </xdr:cNvSpPr>
        </xdr:nvSpPr>
        <xdr:spPr bwMode="auto">
          <a:xfrm>
            <a:off x="805" y="118"/>
            <a:ext cx="97" cy="82"/>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Electrode Slitting</a:t>
            </a:r>
          </a:p>
        </xdr:txBody>
      </xdr:sp>
      <xdr:sp macro="" textlink="">
        <xdr:nvSpPr>
          <xdr:cNvPr id="120959" name="Text Box 127"/>
          <xdr:cNvSpPr txBox="1">
            <a:spLocks noChangeArrowheads="1"/>
          </xdr:cNvSpPr>
        </xdr:nvSpPr>
        <xdr:spPr bwMode="auto">
          <a:xfrm>
            <a:off x="805" y="200"/>
            <a:ext cx="97" cy="76"/>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Vacuum Drying</a:t>
            </a:r>
          </a:p>
        </xdr:txBody>
      </xdr:sp>
      <xdr:sp macro="" textlink="">
        <xdr:nvSpPr>
          <xdr:cNvPr id="120960" name="Text Box 128"/>
          <xdr:cNvSpPr txBox="1">
            <a:spLocks noChangeArrowheads="1"/>
          </xdr:cNvSpPr>
        </xdr:nvSpPr>
        <xdr:spPr bwMode="auto">
          <a:xfrm>
            <a:off x="174" y="118"/>
            <a:ext cx="221" cy="154"/>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000000"/>
                </a:solidFill>
                <a:latin typeface="Arial"/>
                <a:cs typeface="Arial"/>
              </a:rPr>
              <a:t>Electrode Materials Preparation</a:t>
            </a:r>
          </a:p>
          <a:p>
            <a:pPr algn="ctr" rtl="0">
              <a:defRPr sz="1000"/>
            </a:pPr>
            <a:r>
              <a:rPr lang="en-US" sz="1400" b="1" i="0" u="none" strike="noStrike" baseline="0">
                <a:solidFill>
                  <a:srgbClr val="808080"/>
                </a:solidFill>
                <a:latin typeface="Arial"/>
                <a:cs typeface="Arial"/>
              </a:rPr>
              <a:t>Positive</a:t>
            </a:r>
          </a:p>
          <a:p>
            <a:pPr algn="ctr" rtl="0">
              <a:defRPr sz="1000"/>
            </a:pPr>
            <a:endParaRPr lang="en-US" sz="1400" b="1" i="0" u="none" strike="noStrike" baseline="0">
              <a:solidFill>
                <a:srgbClr val="000000"/>
              </a:solidFill>
              <a:latin typeface="Arial"/>
              <a:cs typeface="Arial"/>
            </a:endParaRPr>
          </a:p>
          <a:p>
            <a:pPr algn="ctr" rtl="0">
              <a:defRPr sz="1000"/>
            </a:pPr>
            <a:r>
              <a:rPr lang="en-US" sz="1400" b="1" i="0" u="none" strike="noStrike" baseline="0">
                <a:solidFill>
                  <a:srgbClr val="808080"/>
                </a:solidFill>
                <a:latin typeface="Arial"/>
                <a:cs typeface="Arial"/>
              </a:rPr>
              <a:t>Negative</a:t>
            </a:r>
            <a:endParaRPr lang="en-US" sz="1400" b="1" i="0" u="none" strike="noStrike" baseline="0">
              <a:solidFill>
                <a:srgbClr val="000000"/>
              </a:solidFill>
              <a:latin typeface="Arial"/>
              <a:cs typeface="Arial"/>
            </a:endParaRPr>
          </a:p>
          <a:p>
            <a:pPr algn="ctr" rtl="0">
              <a:defRPr sz="1000"/>
            </a:pPr>
            <a:endParaRPr lang="en-US" sz="1400" b="1" i="0" u="none" strike="noStrike" baseline="0">
              <a:solidFill>
                <a:srgbClr val="000000"/>
              </a:solidFill>
              <a:latin typeface="Arial"/>
              <a:cs typeface="Arial"/>
            </a:endParaRPr>
          </a:p>
        </xdr:txBody>
      </xdr:sp>
      <xdr:sp macro="" textlink="">
        <xdr:nvSpPr>
          <xdr:cNvPr id="120961" name="Text Box 129"/>
          <xdr:cNvSpPr txBox="1">
            <a:spLocks noChangeArrowheads="1"/>
          </xdr:cNvSpPr>
        </xdr:nvSpPr>
        <xdr:spPr bwMode="auto">
          <a:xfrm>
            <a:off x="668" y="170"/>
            <a:ext cx="137" cy="102"/>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Calendering</a:t>
            </a:r>
          </a:p>
        </xdr:txBody>
      </xdr:sp>
      <xdr:sp macro="" textlink="">
        <xdr:nvSpPr>
          <xdr:cNvPr id="120962" name="Text Box 130"/>
          <xdr:cNvSpPr txBox="1">
            <a:spLocks noChangeArrowheads="1"/>
          </xdr:cNvSpPr>
        </xdr:nvSpPr>
        <xdr:spPr bwMode="auto">
          <a:xfrm>
            <a:off x="668" y="118"/>
            <a:ext cx="137" cy="52"/>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Solvent Recovery</a:t>
            </a:r>
          </a:p>
        </xdr:txBody>
      </xdr:sp>
      <xdr:sp macro="" textlink="">
        <xdr:nvSpPr>
          <xdr:cNvPr id="9243" name="Line 131"/>
          <xdr:cNvSpPr>
            <a:spLocks noChangeShapeType="1"/>
          </xdr:cNvSpPr>
        </xdr:nvSpPr>
        <xdr:spPr bwMode="auto">
          <a:xfrm flipV="1">
            <a:off x="177" y="197"/>
            <a:ext cx="492" cy="0"/>
          </a:xfrm>
          <a:prstGeom prst="line">
            <a:avLst/>
          </a:prstGeom>
          <a:noFill/>
          <a:ln w="9525">
            <a:solidFill>
              <a:srgbClr val="000000"/>
            </a:solidFill>
            <a:prstDash val="dash"/>
            <a:round/>
            <a:headEnd/>
            <a:tailEnd/>
          </a:ln>
        </xdr:spPr>
      </xdr:sp>
      <xdr:sp macro="" textlink="">
        <xdr:nvSpPr>
          <xdr:cNvPr id="9244" name="AutoShape 132"/>
          <xdr:cNvSpPr>
            <a:spLocks noChangeArrowheads="1"/>
          </xdr:cNvSpPr>
        </xdr:nvSpPr>
        <xdr:spPr bwMode="auto">
          <a:xfrm>
            <a:off x="333" y="175"/>
            <a:ext cx="71" cy="14"/>
          </a:xfrm>
          <a:prstGeom prst="rightArrow">
            <a:avLst>
              <a:gd name="adj1" fmla="val 50000"/>
              <a:gd name="adj2" fmla="val 126786"/>
            </a:avLst>
          </a:prstGeom>
          <a:solidFill>
            <a:srgbClr val="800080">
              <a:alpha val="50195"/>
            </a:srgbClr>
          </a:solidFill>
          <a:ln w="9525">
            <a:solidFill>
              <a:srgbClr val="800080"/>
            </a:solidFill>
            <a:miter lim="800000"/>
            <a:headEnd/>
            <a:tailEnd/>
          </a:ln>
        </xdr:spPr>
      </xdr:sp>
      <xdr:sp macro="" textlink="">
        <xdr:nvSpPr>
          <xdr:cNvPr id="9245" name="AutoShape 133"/>
          <xdr:cNvSpPr>
            <a:spLocks noChangeArrowheads="1"/>
          </xdr:cNvSpPr>
        </xdr:nvSpPr>
        <xdr:spPr bwMode="auto">
          <a:xfrm>
            <a:off x="644" y="177"/>
            <a:ext cx="65" cy="13"/>
          </a:xfrm>
          <a:prstGeom prst="rightArrow">
            <a:avLst>
              <a:gd name="adj1" fmla="val 50000"/>
              <a:gd name="adj2" fmla="val 125000"/>
            </a:avLst>
          </a:prstGeom>
          <a:solidFill>
            <a:srgbClr val="800080">
              <a:alpha val="50195"/>
            </a:srgbClr>
          </a:solidFill>
          <a:ln w="9525">
            <a:solidFill>
              <a:srgbClr val="800080"/>
            </a:solidFill>
            <a:miter lim="800000"/>
            <a:headEnd/>
            <a:tailEnd/>
          </a:ln>
        </xdr:spPr>
      </xdr:sp>
      <xdr:sp macro="" textlink="">
        <xdr:nvSpPr>
          <xdr:cNvPr id="9246" name="AutoShape 134"/>
          <xdr:cNvSpPr>
            <a:spLocks noChangeArrowheads="1"/>
          </xdr:cNvSpPr>
        </xdr:nvSpPr>
        <xdr:spPr bwMode="auto">
          <a:xfrm>
            <a:off x="332" y="247"/>
            <a:ext cx="71" cy="14"/>
          </a:xfrm>
          <a:prstGeom prst="rightArrow">
            <a:avLst>
              <a:gd name="adj1" fmla="val 50000"/>
              <a:gd name="adj2" fmla="val 126786"/>
            </a:avLst>
          </a:prstGeom>
          <a:solidFill>
            <a:srgbClr val="800080">
              <a:alpha val="50195"/>
            </a:srgbClr>
          </a:solidFill>
          <a:ln w="9525">
            <a:solidFill>
              <a:srgbClr val="800080"/>
            </a:solidFill>
            <a:miter lim="800000"/>
            <a:headEnd/>
            <a:tailEnd/>
          </a:ln>
        </xdr:spPr>
      </xdr:sp>
      <xdr:sp macro="" textlink="">
        <xdr:nvSpPr>
          <xdr:cNvPr id="9247" name="AutoShape 135"/>
          <xdr:cNvSpPr>
            <a:spLocks noChangeArrowheads="1"/>
          </xdr:cNvSpPr>
        </xdr:nvSpPr>
        <xdr:spPr bwMode="auto">
          <a:xfrm>
            <a:off x="463" y="247"/>
            <a:ext cx="66" cy="13"/>
          </a:xfrm>
          <a:prstGeom prst="rightArrow">
            <a:avLst>
              <a:gd name="adj1" fmla="val 50000"/>
              <a:gd name="adj2" fmla="val 126923"/>
            </a:avLst>
          </a:prstGeom>
          <a:solidFill>
            <a:srgbClr val="800080">
              <a:alpha val="50195"/>
            </a:srgbClr>
          </a:solidFill>
          <a:ln w="9525">
            <a:solidFill>
              <a:srgbClr val="800080"/>
            </a:solidFill>
            <a:miter lim="800000"/>
            <a:headEnd/>
            <a:tailEnd/>
          </a:ln>
        </xdr:spPr>
      </xdr:sp>
      <xdr:sp macro="" textlink="">
        <xdr:nvSpPr>
          <xdr:cNvPr id="9248" name="AutoShape 136"/>
          <xdr:cNvSpPr>
            <a:spLocks noChangeArrowheads="1"/>
          </xdr:cNvSpPr>
        </xdr:nvSpPr>
        <xdr:spPr bwMode="auto">
          <a:xfrm>
            <a:off x="642" y="248"/>
            <a:ext cx="65" cy="12"/>
          </a:xfrm>
          <a:prstGeom prst="rightArrow">
            <a:avLst>
              <a:gd name="adj1" fmla="val 50000"/>
              <a:gd name="adj2" fmla="val 135417"/>
            </a:avLst>
          </a:prstGeom>
          <a:solidFill>
            <a:srgbClr val="800080">
              <a:alpha val="50195"/>
            </a:srgbClr>
          </a:solidFill>
          <a:ln w="9525">
            <a:solidFill>
              <a:srgbClr val="800080"/>
            </a:solidFill>
            <a:miter lim="800000"/>
            <a:headEnd/>
            <a:tailEnd/>
          </a:ln>
        </xdr:spPr>
      </xdr:sp>
      <xdr:sp macro="" textlink="">
        <xdr:nvSpPr>
          <xdr:cNvPr id="9249" name="AutoShape 137"/>
          <xdr:cNvSpPr>
            <a:spLocks noChangeArrowheads="1"/>
          </xdr:cNvSpPr>
        </xdr:nvSpPr>
        <xdr:spPr bwMode="auto">
          <a:xfrm>
            <a:off x="146" y="174"/>
            <a:ext cx="57" cy="14"/>
          </a:xfrm>
          <a:prstGeom prst="rightArrow">
            <a:avLst>
              <a:gd name="adj1" fmla="val 50000"/>
              <a:gd name="adj2" fmla="val 101786"/>
            </a:avLst>
          </a:prstGeom>
          <a:solidFill>
            <a:srgbClr val="800080">
              <a:alpha val="50195"/>
            </a:srgbClr>
          </a:solidFill>
          <a:ln w="9525">
            <a:solidFill>
              <a:srgbClr val="800080"/>
            </a:solidFill>
            <a:miter lim="800000"/>
            <a:headEnd/>
            <a:tailEnd/>
          </a:ln>
        </xdr:spPr>
      </xdr:sp>
      <xdr:sp macro="" textlink="">
        <xdr:nvSpPr>
          <xdr:cNvPr id="9250" name="AutoShape 138"/>
          <xdr:cNvSpPr>
            <a:spLocks noChangeArrowheads="1"/>
          </xdr:cNvSpPr>
        </xdr:nvSpPr>
        <xdr:spPr bwMode="auto">
          <a:xfrm>
            <a:off x="146" y="246"/>
            <a:ext cx="55" cy="13"/>
          </a:xfrm>
          <a:prstGeom prst="rightArrow">
            <a:avLst>
              <a:gd name="adj1" fmla="val 50000"/>
              <a:gd name="adj2" fmla="val 105769"/>
            </a:avLst>
          </a:prstGeom>
          <a:solidFill>
            <a:srgbClr val="800080">
              <a:alpha val="50195"/>
            </a:srgbClr>
          </a:solidFill>
          <a:ln w="9525">
            <a:solidFill>
              <a:srgbClr val="800080"/>
            </a:solidFill>
            <a:miter lim="800000"/>
            <a:headEnd/>
            <a:tailEnd/>
          </a:ln>
        </xdr:spPr>
      </xdr:sp>
      <xdr:sp macro="" textlink="">
        <xdr:nvSpPr>
          <xdr:cNvPr id="9251" name="AutoShape 139"/>
          <xdr:cNvSpPr>
            <a:spLocks noChangeArrowheads="1"/>
          </xdr:cNvSpPr>
        </xdr:nvSpPr>
        <xdr:spPr bwMode="auto">
          <a:xfrm>
            <a:off x="632" y="126"/>
            <a:ext cx="64" cy="15"/>
          </a:xfrm>
          <a:prstGeom prst="rightArrow">
            <a:avLst>
              <a:gd name="adj1" fmla="val 50000"/>
              <a:gd name="adj2" fmla="val 106667"/>
            </a:avLst>
          </a:prstGeom>
          <a:solidFill>
            <a:srgbClr val="FFFFFF"/>
          </a:solidFill>
          <a:ln w="9525">
            <a:solidFill>
              <a:srgbClr val="000000"/>
            </a:solidFill>
            <a:prstDash val="dash"/>
            <a:miter lim="800000"/>
            <a:headEnd/>
            <a:tailEnd/>
          </a:ln>
        </xdr:spPr>
      </xdr:sp>
      <xdr:sp macro="" textlink="">
        <xdr:nvSpPr>
          <xdr:cNvPr id="120972" name="Text Box 140"/>
          <xdr:cNvSpPr txBox="1">
            <a:spLocks noChangeArrowheads="1"/>
          </xdr:cNvSpPr>
        </xdr:nvSpPr>
        <xdr:spPr bwMode="auto">
          <a:xfrm>
            <a:off x="567" y="272"/>
            <a:ext cx="100" cy="237"/>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endParaRPr lang="en-US" sz="1400" b="1" i="0" u="none" strike="noStrike" baseline="0">
              <a:solidFill>
                <a:srgbClr val="000000"/>
              </a:solidFill>
              <a:latin typeface="Arial"/>
              <a:cs typeface="Arial"/>
            </a:endParaRPr>
          </a:p>
          <a:p>
            <a:pPr algn="ctr" rtl="0">
              <a:defRPr sz="1000"/>
            </a:pPr>
            <a:endParaRPr lang="en-US" sz="1400" b="1" i="0" u="none" strike="noStrike" baseline="0">
              <a:solidFill>
                <a:srgbClr val="000000"/>
              </a:solidFill>
              <a:latin typeface="Arial"/>
              <a:cs typeface="Arial"/>
            </a:endParaRPr>
          </a:p>
        </xdr:txBody>
      </xdr:sp>
      <xdr:sp macro="" textlink="">
        <xdr:nvSpPr>
          <xdr:cNvPr id="120973" name="Text Box 141"/>
          <xdr:cNvSpPr txBox="1">
            <a:spLocks noChangeArrowheads="1"/>
          </xdr:cNvSpPr>
        </xdr:nvSpPr>
        <xdr:spPr bwMode="auto">
          <a:xfrm>
            <a:off x="636" y="274"/>
            <a:ext cx="67" cy="54"/>
          </a:xfrm>
          <a:prstGeom prst="rect">
            <a:avLst/>
          </a:prstGeom>
          <a:solidFill>
            <a:srgbClr val="FFFFFF"/>
          </a:solidFill>
          <a:ln w="28575">
            <a:solidFill>
              <a:srgbClr val="0000FF"/>
            </a:solidFill>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FF"/>
                </a:solidFill>
                <a:latin typeface="Arial"/>
                <a:cs typeface="Arial"/>
              </a:rPr>
              <a:t>Air Locks</a:t>
            </a:r>
          </a:p>
        </xdr:txBody>
      </xdr:sp>
      <xdr:sp macro="" textlink="">
        <xdr:nvSpPr>
          <xdr:cNvPr id="9254" name="AutoShape 142"/>
          <xdr:cNvSpPr>
            <a:spLocks noChangeArrowheads="1"/>
          </xdr:cNvSpPr>
        </xdr:nvSpPr>
        <xdr:spPr bwMode="auto">
          <a:xfrm>
            <a:off x="486" y="175"/>
            <a:ext cx="36" cy="13"/>
          </a:xfrm>
          <a:prstGeom prst="rightArrow">
            <a:avLst>
              <a:gd name="adj1" fmla="val 50000"/>
              <a:gd name="adj2" fmla="val 69231"/>
            </a:avLst>
          </a:prstGeom>
          <a:solidFill>
            <a:srgbClr val="800080">
              <a:alpha val="50195"/>
            </a:srgbClr>
          </a:solidFill>
          <a:ln w="9525">
            <a:solidFill>
              <a:srgbClr val="800080"/>
            </a:solidFill>
            <a:miter lim="800000"/>
            <a:headEnd/>
            <a:tailEnd/>
          </a:ln>
        </xdr:spPr>
      </xdr:sp>
      <xdr:sp macro="" textlink="">
        <xdr:nvSpPr>
          <xdr:cNvPr id="9255" name="AutoShape 143"/>
          <xdr:cNvSpPr>
            <a:spLocks noChangeArrowheads="1"/>
          </xdr:cNvSpPr>
        </xdr:nvSpPr>
        <xdr:spPr bwMode="auto">
          <a:xfrm>
            <a:off x="783" y="183"/>
            <a:ext cx="46" cy="13"/>
          </a:xfrm>
          <a:prstGeom prst="rightArrow">
            <a:avLst>
              <a:gd name="adj1" fmla="val 50000"/>
              <a:gd name="adj2" fmla="val 88462"/>
            </a:avLst>
          </a:prstGeom>
          <a:solidFill>
            <a:srgbClr val="800080">
              <a:alpha val="50195"/>
            </a:srgbClr>
          </a:solidFill>
          <a:ln w="9525">
            <a:solidFill>
              <a:srgbClr val="800080"/>
            </a:solidFill>
            <a:miter lim="800000"/>
            <a:headEnd/>
            <a:tailEnd/>
          </a:ln>
        </xdr:spPr>
      </xdr:sp>
      <xdr:sp macro="" textlink="">
        <xdr:nvSpPr>
          <xdr:cNvPr id="9256" name="AutoShape 144"/>
          <xdr:cNvSpPr>
            <a:spLocks noChangeArrowheads="1"/>
          </xdr:cNvSpPr>
        </xdr:nvSpPr>
        <xdr:spPr bwMode="auto">
          <a:xfrm>
            <a:off x="850" y="265"/>
            <a:ext cx="16" cy="61"/>
          </a:xfrm>
          <a:prstGeom prst="downArrow">
            <a:avLst>
              <a:gd name="adj1" fmla="val 50000"/>
              <a:gd name="adj2" fmla="val 95313"/>
            </a:avLst>
          </a:prstGeom>
          <a:solidFill>
            <a:srgbClr val="800080">
              <a:alpha val="50195"/>
            </a:srgbClr>
          </a:solidFill>
          <a:ln w="9525">
            <a:solidFill>
              <a:srgbClr val="800080"/>
            </a:solidFill>
            <a:miter lim="800000"/>
            <a:headEnd/>
            <a:tailEnd/>
          </a:ln>
        </xdr:spPr>
      </xdr:sp>
      <xdr:sp macro="" textlink="">
        <xdr:nvSpPr>
          <xdr:cNvPr id="9257" name="AutoShape 145"/>
          <xdr:cNvSpPr>
            <a:spLocks noChangeArrowheads="1"/>
          </xdr:cNvSpPr>
        </xdr:nvSpPr>
        <xdr:spPr bwMode="auto">
          <a:xfrm rot="-5400000" flipH="1" flipV="1">
            <a:off x="855" y="181"/>
            <a:ext cx="34" cy="39"/>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706 w 21600"/>
              <a:gd name="T13" fmla="*/ 3877 h 21600"/>
              <a:gd name="T14" fmla="*/ 19059 w 21600"/>
              <a:gd name="T15" fmla="*/ 8308 h 21600"/>
            </a:gdLst>
            <a:ahLst/>
            <a:cxnLst>
              <a:cxn ang="T8">
                <a:pos x="T0" y="T1"/>
              </a:cxn>
              <a:cxn ang="T9">
                <a:pos x="T2" y="T3"/>
              </a:cxn>
              <a:cxn ang="T10">
                <a:pos x="T4" y="T5"/>
              </a:cxn>
              <a:cxn ang="T11">
                <a:pos x="T6" y="T7"/>
              </a:cxn>
            </a:cxnLst>
            <a:rect l="T12" t="T13" r="T14" b="T15"/>
            <a:pathLst>
              <a:path w="21600" h="21600">
                <a:moveTo>
                  <a:pt x="21600" y="6079"/>
                </a:moveTo>
                <a:lnTo>
                  <a:pt x="13976" y="0"/>
                </a:lnTo>
                <a:lnTo>
                  <a:pt x="13976" y="3978"/>
                </a:lnTo>
                <a:lnTo>
                  <a:pt x="12427" y="3978"/>
                </a:lnTo>
                <a:cubicBezTo>
                  <a:pt x="5564" y="3978"/>
                  <a:pt x="0" y="7640"/>
                  <a:pt x="0" y="12158"/>
                </a:cubicBezTo>
                <a:lnTo>
                  <a:pt x="0" y="21600"/>
                </a:lnTo>
                <a:lnTo>
                  <a:pt x="4295" y="21600"/>
                </a:lnTo>
                <a:lnTo>
                  <a:pt x="4295" y="12158"/>
                </a:lnTo>
                <a:cubicBezTo>
                  <a:pt x="4295" y="9961"/>
                  <a:pt x="7936" y="8180"/>
                  <a:pt x="12427" y="8180"/>
                </a:cubicBezTo>
                <a:lnTo>
                  <a:pt x="13976" y="8180"/>
                </a:lnTo>
                <a:lnTo>
                  <a:pt x="13976" y="12158"/>
                </a:lnTo>
                <a:lnTo>
                  <a:pt x="21600" y="6079"/>
                </a:lnTo>
                <a:close/>
              </a:path>
            </a:pathLst>
          </a:custGeom>
          <a:solidFill>
            <a:srgbClr val="800080">
              <a:alpha val="50195"/>
            </a:srgbClr>
          </a:solidFill>
          <a:ln w="9525">
            <a:solidFill>
              <a:srgbClr val="800080"/>
            </a:solidFill>
            <a:miter lim="800000"/>
            <a:headEnd/>
            <a:tailEnd/>
          </a:ln>
        </xdr:spPr>
      </xdr:sp>
      <xdr:sp macro="" textlink="">
        <xdr:nvSpPr>
          <xdr:cNvPr id="9258" name="AutoShape 146"/>
          <xdr:cNvSpPr>
            <a:spLocks noChangeArrowheads="1"/>
          </xdr:cNvSpPr>
        </xdr:nvSpPr>
        <xdr:spPr bwMode="auto">
          <a:xfrm rot="10800000">
            <a:off x="601" y="544"/>
            <a:ext cx="64" cy="13"/>
          </a:xfrm>
          <a:prstGeom prst="rightArrow">
            <a:avLst>
              <a:gd name="adj1" fmla="val 50000"/>
              <a:gd name="adj2" fmla="val 123077"/>
            </a:avLst>
          </a:prstGeom>
          <a:solidFill>
            <a:srgbClr val="800080">
              <a:alpha val="50195"/>
            </a:srgbClr>
          </a:solidFill>
          <a:ln w="9525">
            <a:solidFill>
              <a:srgbClr val="800080"/>
            </a:solidFill>
            <a:miter lim="800000"/>
            <a:headEnd/>
            <a:tailEnd/>
          </a:ln>
        </xdr:spPr>
      </xdr:sp>
      <xdr:sp macro="" textlink="">
        <xdr:nvSpPr>
          <xdr:cNvPr id="9259" name="AutoShape 147"/>
          <xdr:cNvSpPr>
            <a:spLocks noChangeArrowheads="1"/>
          </xdr:cNvSpPr>
        </xdr:nvSpPr>
        <xdr:spPr bwMode="auto">
          <a:xfrm rot="10800000">
            <a:off x="752" y="364"/>
            <a:ext cx="64" cy="13"/>
          </a:xfrm>
          <a:prstGeom prst="rightArrow">
            <a:avLst>
              <a:gd name="adj1" fmla="val 50000"/>
              <a:gd name="adj2" fmla="val 123077"/>
            </a:avLst>
          </a:prstGeom>
          <a:solidFill>
            <a:srgbClr val="800080">
              <a:alpha val="50195"/>
            </a:srgbClr>
          </a:solidFill>
          <a:ln w="9525">
            <a:solidFill>
              <a:srgbClr val="800080"/>
            </a:solidFill>
            <a:miter lim="800000"/>
            <a:headEnd/>
            <a:tailEnd/>
          </a:ln>
        </xdr:spPr>
      </xdr:sp>
      <xdr:sp macro="" textlink="">
        <xdr:nvSpPr>
          <xdr:cNvPr id="9260" name="Freeform 148"/>
          <xdr:cNvSpPr>
            <a:spLocks/>
          </xdr:cNvSpPr>
        </xdr:nvSpPr>
        <xdr:spPr bwMode="auto">
          <a:xfrm>
            <a:off x="636" y="273"/>
            <a:ext cx="265" cy="333"/>
          </a:xfrm>
          <a:custGeom>
            <a:avLst/>
            <a:gdLst>
              <a:gd name="T0" fmla="*/ 0 w 535"/>
              <a:gd name="T1" fmla="*/ 2147483647 h 110"/>
              <a:gd name="T2" fmla="*/ 0 w 535"/>
              <a:gd name="T3" fmla="*/ 0 h 110"/>
              <a:gd name="T4" fmla="*/ 0 w 535"/>
              <a:gd name="T5" fmla="*/ 0 h 110"/>
              <a:gd name="T6" fmla="*/ 0 w 535"/>
              <a:gd name="T7" fmla="*/ 2147483647 h 110"/>
              <a:gd name="T8" fmla="*/ 0 w 535"/>
              <a:gd name="T9" fmla="*/ 2147483647 h 110"/>
              <a:gd name="T10" fmla="*/ 0 60000 65536"/>
              <a:gd name="T11" fmla="*/ 0 60000 65536"/>
              <a:gd name="T12" fmla="*/ 0 60000 65536"/>
              <a:gd name="T13" fmla="*/ 0 60000 65536"/>
              <a:gd name="T14" fmla="*/ 0 60000 65536"/>
              <a:gd name="T15" fmla="*/ 0 w 535"/>
              <a:gd name="T16" fmla="*/ 0 h 110"/>
              <a:gd name="T17" fmla="*/ 535 w 535"/>
              <a:gd name="T18" fmla="*/ 110 h 110"/>
            </a:gdLst>
            <a:ahLst/>
            <a:cxnLst>
              <a:cxn ang="T10">
                <a:pos x="T0" y="T1"/>
              </a:cxn>
              <a:cxn ang="T11">
                <a:pos x="T2" y="T3"/>
              </a:cxn>
              <a:cxn ang="T12">
                <a:pos x="T4" y="T5"/>
              </a:cxn>
              <a:cxn ang="T13">
                <a:pos x="T6" y="T7"/>
              </a:cxn>
              <a:cxn ang="T14">
                <a:pos x="T8" y="T9"/>
              </a:cxn>
            </a:cxnLst>
            <a:rect l="T15" t="T16" r="T17" b="T18"/>
            <a:pathLst>
              <a:path w="535" h="110">
                <a:moveTo>
                  <a:pt x="535" y="110"/>
                </a:moveTo>
                <a:lnTo>
                  <a:pt x="535" y="0"/>
                </a:lnTo>
                <a:lnTo>
                  <a:pt x="0" y="0"/>
                </a:lnTo>
                <a:lnTo>
                  <a:pt x="0" y="110"/>
                </a:lnTo>
                <a:lnTo>
                  <a:pt x="535" y="110"/>
                </a:lnTo>
                <a:close/>
              </a:path>
            </a:pathLst>
          </a:custGeom>
          <a:noFill/>
          <a:ln w="28575" cmpd="sng">
            <a:solidFill>
              <a:srgbClr val="0000FF"/>
            </a:solidFill>
            <a:round/>
            <a:headEnd/>
            <a:tailEnd/>
          </a:ln>
        </xdr:spPr>
      </xdr:sp>
      <xdr:sp macro="" textlink="">
        <xdr:nvSpPr>
          <xdr:cNvPr id="120981" name="Text Box 149"/>
          <xdr:cNvSpPr txBox="1">
            <a:spLocks noChangeArrowheads="1"/>
          </xdr:cNvSpPr>
        </xdr:nvSpPr>
        <xdr:spPr bwMode="auto">
          <a:xfrm>
            <a:off x="130" y="464"/>
            <a:ext cx="176" cy="142"/>
          </a:xfrm>
          <a:prstGeom prst="rect">
            <a:avLst/>
          </a:prstGeom>
          <a:solidFill>
            <a:srgbClr val="FFFFFF"/>
          </a:solidFill>
          <a:ln w="9525">
            <a:solidFill>
              <a:srgbClr val="000000"/>
            </a:solidFill>
            <a:miter lim="800000"/>
            <a:headEnd/>
            <a:tailEnd/>
          </a:ln>
        </xdr:spPr>
        <xdr:txBody>
          <a:bodyPr vertOverflow="clip" wrap="square" lIns="36576" tIns="32004" rIns="36576" bIns="0" anchor="t" upright="1"/>
          <a:lstStyle/>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Charge-Retention    </a:t>
            </a:r>
          </a:p>
          <a:p>
            <a:pPr algn="ctr" rtl="0">
              <a:defRPr sz="1000"/>
            </a:pPr>
            <a:r>
              <a:rPr lang="en-US" sz="1600" b="1" i="0" u="none" strike="noStrike" baseline="0">
                <a:solidFill>
                  <a:srgbClr val="000000"/>
                </a:solidFill>
                <a:latin typeface="Arial"/>
                <a:cs typeface="Arial"/>
              </a:rPr>
              <a:t>Testing </a:t>
            </a:r>
          </a:p>
        </xdr:txBody>
      </xdr:sp>
      <xdr:sp macro="" textlink="">
        <xdr:nvSpPr>
          <xdr:cNvPr id="120982" name="Text Box 150"/>
          <xdr:cNvSpPr txBox="1">
            <a:spLocks noChangeArrowheads="1"/>
          </xdr:cNvSpPr>
        </xdr:nvSpPr>
        <xdr:spPr bwMode="auto">
          <a:xfrm>
            <a:off x="304" y="464"/>
            <a:ext cx="94" cy="142"/>
          </a:xfrm>
          <a:prstGeom prst="rect">
            <a:avLst/>
          </a:prstGeom>
          <a:solidFill>
            <a:srgbClr val="FFFFFF"/>
          </a:solidFill>
          <a:ln w="9525">
            <a:solidFill>
              <a:srgbClr val="000000"/>
            </a:solidFill>
            <a:miter lim="800000"/>
            <a:headEnd/>
            <a:tailEnd/>
          </a:ln>
        </xdr:spPr>
        <xdr:txBody>
          <a:bodyPr vertOverflow="clip" wrap="square" lIns="36576" tIns="32004" rIns="36576" bIns="0" anchor="t" upright="1"/>
          <a:lstStyle/>
          <a:p>
            <a:pPr algn="ctr" rtl="0">
              <a:lnSpc>
                <a:spcPts val="1500"/>
              </a:lnSpc>
              <a:defRPr sz="1000"/>
            </a:pPr>
            <a:endParaRPr lang="en-US" sz="1600" b="1" i="0" u="none" strike="noStrike" baseline="0">
              <a:solidFill>
                <a:srgbClr val="000000"/>
              </a:solidFill>
              <a:latin typeface="Arial"/>
              <a:cs typeface="Arial"/>
            </a:endParaRPr>
          </a:p>
          <a:p>
            <a:pPr algn="ctr" rtl="0">
              <a:lnSpc>
                <a:spcPts val="1400"/>
              </a:lnSpc>
              <a:defRPr sz="1000"/>
            </a:pPr>
            <a:r>
              <a:rPr lang="en-US" sz="1600" b="1" i="0" u="none" strike="noStrike" baseline="0">
                <a:solidFill>
                  <a:srgbClr val="000000"/>
                </a:solidFill>
                <a:latin typeface="Arial"/>
                <a:cs typeface="Arial"/>
              </a:rPr>
              <a:t>Final Cell Sealing</a:t>
            </a:r>
          </a:p>
        </xdr:txBody>
      </xdr:sp>
      <xdr:sp macro="" textlink="">
        <xdr:nvSpPr>
          <xdr:cNvPr id="9263" name="AutoShape 151"/>
          <xdr:cNvSpPr>
            <a:spLocks noChangeArrowheads="1"/>
          </xdr:cNvSpPr>
        </xdr:nvSpPr>
        <xdr:spPr bwMode="auto">
          <a:xfrm rot="10800000">
            <a:off x="369" y="580"/>
            <a:ext cx="58" cy="13"/>
          </a:xfrm>
          <a:prstGeom prst="rightArrow">
            <a:avLst>
              <a:gd name="adj1" fmla="val 50000"/>
              <a:gd name="adj2" fmla="val 111538"/>
            </a:avLst>
          </a:prstGeom>
          <a:solidFill>
            <a:srgbClr val="993366">
              <a:alpha val="50195"/>
            </a:srgbClr>
          </a:solidFill>
          <a:ln w="9525">
            <a:solidFill>
              <a:srgbClr val="800080"/>
            </a:solidFill>
            <a:miter lim="800000"/>
            <a:headEnd/>
            <a:tailEnd/>
          </a:ln>
        </xdr:spPr>
      </xdr:sp>
      <xdr:sp macro="" textlink="">
        <xdr:nvSpPr>
          <xdr:cNvPr id="9264" name="AutoShape 152"/>
          <xdr:cNvSpPr>
            <a:spLocks noChangeArrowheads="1"/>
          </xdr:cNvSpPr>
        </xdr:nvSpPr>
        <xdr:spPr bwMode="auto">
          <a:xfrm rot="10800000">
            <a:off x="219" y="398"/>
            <a:ext cx="55" cy="13"/>
          </a:xfrm>
          <a:prstGeom prst="rightArrow">
            <a:avLst>
              <a:gd name="adj1" fmla="val 50000"/>
              <a:gd name="adj2" fmla="val 105769"/>
            </a:avLst>
          </a:prstGeom>
          <a:solidFill>
            <a:srgbClr val="993366">
              <a:alpha val="50195"/>
            </a:srgbClr>
          </a:solidFill>
          <a:ln w="9525">
            <a:solidFill>
              <a:srgbClr val="800080"/>
            </a:solidFill>
            <a:miter lim="800000"/>
            <a:headEnd/>
            <a:tailEnd/>
          </a:ln>
        </xdr:spPr>
      </xdr:sp>
      <xdr:sp macro="" textlink="">
        <xdr:nvSpPr>
          <xdr:cNvPr id="9265" name="AutoShape 153"/>
          <xdr:cNvSpPr>
            <a:spLocks noChangeArrowheads="1"/>
          </xdr:cNvSpPr>
        </xdr:nvSpPr>
        <xdr:spPr bwMode="auto">
          <a:xfrm rot="10800000">
            <a:off x="275" y="581"/>
            <a:ext cx="58" cy="13"/>
          </a:xfrm>
          <a:prstGeom prst="rightArrow">
            <a:avLst>
              <a:gd name="adj1" fmla="val 50000"/>
              <a:gd name="adj2" fmla="val 111538"/>
            </a:avLst>
          </a:prstGeom>
          <a:solidFill>
            <a:srgbClr val="993366">
              <a:alpha val="50195"/>
            </a:srgbClr>
          </a:solidFill>
          <a:ln w="9525">
            <a:solidFill>
              <a:srgbClr val="800080"/>
            </a:solidFill>
            <a:miter lim="800000"/>
            <a:headEnd/>
            <a:tailEnd/>
          </a:ln>
        </xdr:spPr>
      </xdr:sp>
      <xdr:sp macro="" textlink="">
        <xdr:nvSpPr>
          <xdr:cNvPr id="9266" name="AutoShape 154"/>
          <xdr:cNvSpPr>
            <a:spLocks noChangeArrowheads="1"/>
          </xdr:cNvSpPr>
        </xdr:nvSpPr>
        <xdr:spPr bwMode="auto">
          <a:xfrm rot="10800000">
            <a:off x="99" y="398"/>
            <a:ext cx="55" cy="13"/>
          </a:xfrm>
          <a:prstGeom prst="rightArrow">
            <a:avLst>
              <a:gd name="adj1" fmla="val 50000"/>
              <a:gd name="adj2" fmla="val 105769"/>
            </a:avLst>
          </a:prstGeom>
          <a:solidFill>
            <a:srgbClr val="993366">
              <a:alpha val="50195"/>
            </a:srgbClr>
          </a:solidFill>
          <a:ln w="9525">
            <a:solidFill>
              <a:srgbClr val="800080"/>
            </a:solidFill>
            <a:miter lim="800000"/>
            <a:headEnd/>
            <a:tailEnd/>
          </a:ln>
        </xdr:spPr>
      </xdr:sp>
      <xdr:sp macro="" textlink="">
        <xdr:nvSpPr>
          <xdr:cNvPr id="9267" name="AutoShape 155"/>
          <xdr:cNvSpPr>
            <a:spLocks noChangeArrowheads="1"/>
          </xdr:cNvSpPr>
        </xdr:nvSpPr>
        <xdr:spPr bwMode="auto">
          <a:xfrm rot="-5400000">
            <a:off x="258" y="470"/>
            <a:ext cx="58" cy="13"/>
          </a:xfrm>
          <a:prstGeom prst="rightArrow">
            <a:avLst>
              <a:gd name="adj1" fmla="val 50000"/>
              <a:gd name="adj2" fmla="val 111538"/>
            </a:avLst>
          </a:prstGeom>
          <a:solidFill>
            <a:srgbClr val="993366">
              <a:alpha val="50195"/>
            </a:srgbClr>
          </a:solidFill>
          <a:ln w="9525">
            <a:solidFill>
              <a:srgbClr val="800080"/>
            </a:solidFill>
            <a:miter lim="800000"/>
            <a:headEnd/>
            <a:tailEnd/>
          </a:ln>
        </xdr:spPr>
      </xdr:sp>
      <xdr:sp macro="" textlink="">
        <xdr:nvSpPr>
          <xdr:cNvPr id="120988" name="AutoShape 156"/>
          <xdr:cNvSpPr>
            <a:spLocks/>
          </xdr:cNvSpPr>
        </xdr:nvSpPr>
        <xdr:spPr bwMode="auto">
          <a:xfrm>
            <a:off x="383" y="620"/>
            <a:ext cx="129" cy="42"/>
          </a:xfrm>
          <a:prstGeom prst="callout2">
            <a:avLst>
              <a:gd name="adj1" fmla="val 28569"/>
              <a:gd name="adj2" fmla="val 106204"/>
              <a:gd name="adj3" fmla="val 28569"/>
              <a:gd name="adj4" fmla="val 134884"/>
              <a:gd name="adj5" fmla="val -121431"/>
              <a:gd name="adj6" fmla="val 196125"/>
            </a:avLst>
          </a:prstGeom>
          <a:solidFill>
            <a:srgbClr val="FFFFFF"/>
          </a:solidFill>
          <a:ln w="19050">
            <a:solidFill>
              <a:srgbClr val="0000FF"/>
            </a:solidFill>
            <a:miter lim="800000"/>
            <a:headEnd/>
            <a:tailEnd type="triangle" w="lg" len="lg"/>
          </a:ln>
        </xdr:spPr>
        <xdr:txBody>
          <a:bodyPr vertOverflow="clip" wrap="square" lIns="36576" tIns="32004" rIns="36576" bIns="0" anchor="t" upright="1"/>
          <a:lstStyle/>
          <a:p>
            <a:pPr algn="ctr" rtl="0">
              <a:defRPr sz="1000"/>
            </a:pPr>
            <a:r>
              <a:rPr lang="en-US" sz="1600" b="1" i="0" u="none" strike="noStrike" baseline="0">
                <a:solidFill>
                  <a:srgbClr val="0000FF"/>
                </a:solidFill>
                <a:latin typeface="Arial"/>
                <a:cs typeface="Arial"/>
              </a:rPr>
              <a:t>Dry Room</a:t>
            </a:r>
          </a:p>
        </xdr:txBody>
      </xdr:sp>
      <xdr:sp macro="" textlink="">
        <xdr:nvSpPr>
          <xdr:cNvPr id="120989" name="Text Box 157"/>
          <xdr:cNvSpPr txBox="1">
            <a:spLocks noChangeArrowheads="1"/>
          </xdr:cNvSpPr>
        </xdr:nvSpPr>
        <xdr:spPr bwMode="auto">
          <a:xfrm>
            <a:off x="571" y="378"/>
            <a:ext cx="95" cy="51"/>
          </a:xfrm>
          <a:prstGeom prst="rect">
            <a:avLst/>
          </a:prstGeom>
          <a:solidFill>
            <a:srgbClr val="FFFFFF"/>
          </a:solidFill>
          <a:ln>
            <a:noFill/>
          </a:ln>
          <a:extLst/>
        </xdr:spPr>
        <xdr:txBody>
          <a:bodyPr vertOverflow="clip" wrap="square" lIns="36576" tIns="27432" rIns="36576" bIns="0" anchor="t" upright="1"/>
          <a:lstStyle/>
          <a:p>
            <a:pPr algn="ctr" rtl="0">
              <a:defRPr sz="1000"/>
            </a:pPr>
            <a:r>
              <a:rPr lang="en-US" sz="1400" b="1" i="0" u="none" strike="noStrike" baseline="0">
                <a:solidFill>
                  <a:srgbClr val="000000"/>
                </a:solidFill>
                <a:latin typeface="Arial"/>
                <a:cs typeface="Arial"/>
              </a:rPr>
              <a:t>Materials Handling</a:t>
            </a:r>
          </a:p>
        </xdr:txBody>
      </xdr:sp>
      <xdr:sp macro="" textlink="">
        <xdr:nvSpPr>
          <xdr:cNvPr id="120990" name="Text Box 158"/>
          <xdr:cNvSpPr txBox="1">
            <a:spLocks noChangeArrowheads="1"/>
          </xdr:cNvSpPr>
        </xdr:nvSpPr>
        <xdr:spPr bwMode="auto">
          <a:xfrm>
            <a:off x="674" y="607"/>
            <a:ext cx="193" cy="47"/>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00"/>
                </a:solidFill>
                <a:latin typeface="Arial"/>
                <a:cs typeface="Arial"/>
              </a:rPr>
              <a:t>Outdoor dry-room air processing equipment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1</xdr:row>
      <xdr:rowOff>0</xdr:rowOff>
    </xdr:from>
    <xdr:to>
      <xdr:col>16</xdr:col>
      <xdr:colOff>571500</xdr:colOff>
      <xdr:row>38</xdr:row>
      <xdr:rowOff>76200</xdr:rowOff>
    </xdr:to>
    <xdr:grpSp>
      <xdr:nvGrpSpPr>
        <xdr:cNvPr id="2" name="Group 1"/>
        <xdr:cNvGrpSpPr/>
      </xdr:nvGrpSpPr>
      <xdr:grpSpPr>
        <a:xfrm>
          <a:off x="180975" y="161925"/>
          <a:ext cx="10144125" cy="6067425"/>
          <a:chOff x="180975" y="161925"/>
          <a:chExt cx="10144125" cy="6067425"/>
        </a:xfrm>
      </xdr:grpSpPr>
      <xdr:sp macro="" textlink="">
        <xdr:nvSpPr>
          <xdr:cNvPr id="119171" name="Text Box 387"/>
          <xdr:cNvSpPr txBox="1">
            <a:spLocks noChangeArrowheads="1"/>
          </xdr:cNvSpPr>
        </xdr:nvSpPr>
        <xdr:spPr bwMode="auto">
          <a:xfrm>
            <a:off x="6391275" y="5514975"/>
            <a:ext cx="2781300" cy="71437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000" b="1" i="0" u="none" strike="noStrike" baseline="0">
                <a:solidFill>
                  <a:srgbClr val="993366"/>
                </a:solidFill>
                <a:latin typeface="Arial"/>
                <a:cs typeface="Arial"/>
              </a:rPr>
              <a:t>Cell with Stiff, Multi-Layer Container</a:t>
            </a:r>
          </a:p>
        </xdr:txBody>
      </xdr:sp>
      <xdr:sp macro="" textlink="">
        <xdr:nvSpPr>
          <xdr:cNvPr id="119172" name="Text Box 388"/>
          <xdr:cNvSpPr txBox="1">
            <a:spLocks noChangeArrowheads="1"/>
          </xdr:cNvSpPr>
        </xdr:nvSpPr>
        <xdr:spPr bwMode="auto">
          <a:xfrm>
            <a:off x="628650" y="4200525"/>
            <a:ext cx="2085975" cy="42862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000" b="1" i="0" u="none" strike="noStrike" baseline="0">
                <a:solidFill>
                  <a:srgbClr val="993366"/>
                </a:solidFill>
                <a:latin typeface="Arial"/>
                <a:cs typeface="Arial"/>
              </a:rPr>
              <a:t>Terminal Seal</a:t>
            </a:r>
          </a:p>
        </xdr:txBody>
      </xdr:sp>
      <xdr:sp macro="" textlink="">
        <xdr:nvSpPr>
          <xdr:cNvPr id="119173" name="AutoShape 389"/>
          <xdr:cNvSpPr>
            <a:spLocks/>
          </xdr:cNvSpPr>
        </xdr:nvSpPr>
        <xdr:spPr bwMode="auto">
          <a:xfrm>
            <a:off x="1895475" y="695325"/>
            <a:ext cx="1600200" cy="809625"/>
          </a:xfrm>
          <a:prstGeom prst="callout2">
            <a:avLst>
              <a:gd name="adj1" fmla="val 14116"/>
              <a:gd name="adj2" fmla="val -4764"/>
              <a:gd name="adj3" fmla="val 14116"/>
              <a:gd name="adj4" fmla="val -27380"/>
              <a:gd name="adj5" fmla="val 72940"/>
              <a:gd name="adj6" fmla="val -41069"/>
            </a:avLst>
          </a:prstGeom>
          <a:solidFill>
            <a:srgbClr val="FFFFFF"/>
          </a:solidFill>
          <a:ln w="12700">
            <a:solidFill>
              <a:srgbClr val="000000"/>
            </a:solidFill>
            <a:miter lim="800000"/>
            <a:headEnd/>
            <a:tailEnd type="triangle" w="lg" len="lg"/>
          </a:ln>
        </xdr:spPr>
        <xdr:txBody>
          <a:bodyPr vertOverflow="clip" wrap="square" lIns="36576" tIns="32004" rIns="36576" bIns="0" anchor="t" upright="1"/>
          <a:lstStyle/>
          <a:p>
            <a:pPr algn="ctr" rtl="0">
              <a:defRPr sz="1000"/>
            </a:pPr>
            <a:r>
              <a:rPr lang="en-US" sz="1600" b="1" i="0" u="none" strike="noStrike" baseline="0">
                <a:solidFill>
                  <a:srgbClr val="000000"/>
                </a:solidFill>
                <a:latin typeface="Arial"/>
                <a:cs typeface="Arial"/>
              </a:rPr>
              <a:t>Polymer Seal of Cell Container to Terminal </a:t>
            </a:r>
          </a:p>
        </xdr:txBody>
      </xdr:sp>
      <xdr:sp macro="" textlink="">
        <xdr:nvSpPr>
          <xdr:cNvPr id="10244" name="Rectangle 390"/>
          <xdr:cNvSpPr>
            <a:spLocks noChangeArrowheads="1"/>
          </xdr:cNvSpPr>
        </xdr:nvSpPr>
        <xdr:spPr bwMode="auto">
          <a:xfrm>
            <a:off x="1085850" y="2419350"/>
            <a:ext cx="1285875" cy="1352550"/>
          </a:xfrm>
          <a:prstGeom prst="rect">
            <a:avLst/>
          </a:prstGeom>
          <a:solidFill>
            <a:srgbClr val="E3E3E3"/>
          </a:solidFill>
          <a:ln w="9525">
            <a:solidFill>
              <a:srgbClr val="000000"/>
            </a:solidFill>
            <a:miter lim="800000"/>
            <a:headEnd/>
            <a:tailEnd/>
          </a:ln>
        </xdr:spPr>
      </xdr:sp>
      <xdr:sp macro="" textlink="">
        <xdr:nvSpPr>
          <xdr:cNvPr id="10245" name="Line 391"/>
          <xdr:cNvSpPr>
            <a:spLocks noChangeShapeType="1"/>
          </xdr:cNvSpPr>
        </xdr:nvSpPr>
        <xdr:spPr bwMode="auto">
          <a:xfrm>
            <a:off x="1133475" y="2381250"/>
            <a:ext cx="0" cy="1390650"/>
          </a:xfrm>
          <a:prstGeom prst="line">
            <a:avLst/>
          </a:prstGeom>
          <a:noFill/>
          <a:ln w="9525">
            <a:solidFill>
              <a:srgbClr val="3366FF"/>
            </a:solidFill>
            <a:round/>
            <a:headEnd/>
            <a:tailEnd/>
          </a:ln>
        </xdr:spPr>
      </xdr:sp>
      <xdr:sp macro="" textlink="">
        <xdr:nvSpPr>
          <xdr:cNvPr id="10246" name="Line 392"/>
          <xdr:cNvSpPr>
            <a:spLocks noChangeShapeType="1"/>
          </xdr:cNvSpPr>
        </xdr:nvSpPr>
        <xdr:spPr bwMode="auto">
          <a:xfrm>
            <a:off x="1200150" y="2381250"/>
            <a:ext cx="0" cy="1390650"/>
          </a:xfrm>
          <a:prstGeom prst="line">
            <a:avLst/>
          </a:prstGeom>
          <a:noFill/>
          <a:ln w="9525">
            <a:solidFill>
              <a:srgbClr val="3366FF"/>
            </a:solidFill>
            <a:round/>
            <a:headEnd/>
            <a:tailEnd/>
          </a:ln>
        </xdr:spPr>
      </xdr:sp>
      <xdr:sp macro="" textlink="">
        <xdr:nvSpPr>
          <xdr:cNvPr id="10247" name="Line 393"/>
          <xdr:cNvSpPr>
            <a:spLocks noChangeShapeType="1"/>
          </xdr:cNvSpPr>
        </xdr:nvSpPr>
        <xdr:spPr bwMode="auto">
          <a:xfrm>
            <a:off x="1257300" y="2381250"/>
            <a:ext cx="0" cy="1390650"/>
          </a:xfrm>
          <a:prstGeom prst="line">
            <a:avLst/>
          </a:prstGeom>
          <a:noFill/>
          <a:ln w="9525">
            <a:solidFill>
              <a:srgbClr val="3366FF"/>
            </a:solidFill>
            <a:round/>
            <a:headEnd/>
            <a:tailEnd/>
          </a:ln>
        </xdr:spPr>
      </xdr:sp>
      <xdr:sp macro="" textlink="">
        <xdr:nvSpPr>
          <xdr:cNvPr id="10248" name="Line 394"/>
          <xdr:cNvSpPr>
            <a:spLocks noChangeShapeType="1"/>
          </xdr:cNvSpPr>
        </xdr:nvSpPr>
        <xdr:spPr bwMode="auto">
          <a:xfrm>
            <a:off x="1323975" y="2381250"/>
            <a:ext cx="0" cy="1390650"/>
          </a:xfrm>
          <a:prstGeom prst="line">
            <a:avLst/>
          </a:prstGeom>
          <a:noFill/>
          <a:ln w="9525">
            <a:solidFill>
              <a:srgbClr val="3366FF"/>
            </a:solidFill>
            <a:round/>
            <a:headEnd/>
            <a:tailEnd/>
          </a:ln>
        </xdr:spPr>
      </xdr:sp>
      <xdr:sp macro="" textlink="">
        <xdr:nvSpPr>
          <xdr:cNvPr id="10249" name="Line 395"/>
          <xdr:cNvSpPr>
            <a:spLocks noChangeShapeType="1"/>
          </xdr:cNvSpPr>
        </xdr:nvSpPr>
        <xdr:spPr bwMode="auto">
          <a:xfrm>
            <a:off x="1390650" y="2381250"/>
            <a:ext cx="0" cy="1390650"/>
          </a:xfrm>
          <a:prstGeom prst="line">
            <a:avLst/>
          </a:prstGeom>
          <a:noFill/>
          <a:ln w="9525">
            <a:solidFill>
              <a:srgbClr val="3366FF"/>
            </a:solidFill>
            <a:round/>
            <a:headEnd/>
            <a:tailEnd/>
          </a:ln>
        </xdr:spPr>
      </xdr:sp>
      <xdr:sp macro="" textlink="">
        <xdr:nvSpPr>
          <xdr:cNvPr id="10250" name="Line 396"/>
          <xdr:cNvSpPr>
            <a:spLocks noChangeShapeType="1"/>
          </xdr:cNvSpPr>
        </xdr:nvSpPr>
        <xdr:spPr bwMode="auto">
          <a:xfrm>
            <a:off x="1447800" y="2381250"/>
            <a:ext cx="0" cy="1390650"/>
          </a:xfrm>
          <a:prstGeom prst="line">
            <a:avLst/>
          </a:prstGeom>
          <a:noFill/>
          <a:ln w="9525">
            <a:solidFill>
              <a:srgbClr val="3366FF"/>
            </a:solidFill>
            <a:round/>
            <a:headEnd/>
            <a:tailEnd/>
          </a:ln>
        </xdr:spPr>
      </xdr:sp>
      <xdr:sp macro="" textlink="">
        <xdr:nvSpPr>
          <xdr:cNvPr id="10251" name="Line 397"/>
          <xdr:cNvSpPr>
            <a:spLocks noChangeShapeType="1"/>
          </xdr:cNvSpPr>
        </xdr:nvSpPr>
        <xdr:spPr bwMode="auto">
          <a:xfrm>
            <a:off x="1514475" y="2381250"/>
            <a:ext cx="0" cy="1390650"/>
          </a:xfrm>
          <a:prstGeom prst="line">
            <a:avLst/>
          </a:prstGeom>
          <a:noFill/>
          <a:ln w="9525">
            <a:solidFill>
              <a:srgbClr val="3366FF"/>
            </a:solidFill>
            <a:round/>
            <a:headEnd/>
            <a:tailEnd/>
          </a:ln>
        </xdr:spPr>
      </xdr:sp>
      <xdr:sp macro="" textlink="">
        <xdr:nvSpPr>
          <xdr:cNvPr id="10252" name="Line 398"/>
          <xdr:cNvSpPr>
            <a:spLocks noChangeShapeType="1"/>
          </xdr:cNvSpPr>
        </xdr:nvSpPr>
        <xdr:spPr bwMode="auto">
          <a:xfrm>
            <a:off x="1571625" y="2381250"/>
            <a:ext cx="0" cy="1390650"/>
          </a:xfrm>
          <a:prstGeom prst="line">
            <a:avLst/>
          </a:prstGeom>
          <a:noFill/>
          <a:ln w="9525">
            <a:solidFill>
              <a:srgbClr val="3366FF"/>
            </a:solidFill>
            <a:round/>
            <a:headEnd/>
            <a:tailEnd/>
          </a:ln>
        </xdr:spPr>
      </xdr:sp>
      <xdr:sp macro="" textlink="">
        <xdr:nvSpPr>
          <xdr:cNvPr id="10253" name="Line 399"/>
          <xdr:cNvSpPr>
            <a:spLocks noChangeShapeType="1"/>
          </xdr:cNvSpPr>
        </xdr:nvSpPr>
        <xdr:spPr bwMode="auto">
          <a:xfrm>
            <a:off x="1638300" y="2381250"/>
            <a:ext cx="0" cy="1390650"/>
          </a:xfrm>
          <a:prstGeom prst="line">
            <a:avLst/>
          </a:prstGeom>
          <a:noFill/>
          <a:ln w="9525">
            <a:solidFill>
              <a:srgbClr val="3366FF"/>
            </a:solidFill>
            <a:round/>
            <a:headEnd/>
            <a:tailEnd/>
          </a:ln>
        </xdr:spPr>
      </xdr:sp>
      <xdr:sp macro="" textlink="">
        <xdr:nvSpPr>
          <xdr:cNvPr id="10254" name="Line 400"/>
          <xdr:cNvSpPr>
            <a:spLocks noChangeShapeType="1"/>
          </xdr:cNvSpPr>
        </xdr:nvSpPr>
        <xdr:spPr bwMode="auto">
          <a:xfrm>
            <a:off x="1695450" y="2381250"/>
            <a:ext cx="0" cy="1390650"/>
          </a:xfrm>
          <a:prstGeom prst="line">
            <a:avLst/>
          </a:prstGeom>
          <a:noFill/>
          <a:ln w="9525">
            <a:solidFill>
              <a:srgbClr val="3366FF"/>
            </a:solidFill>
            <a:round/>
            <a:headEnd/>
            <a:tailEnd/>
          </a:ln>
        </xdr:spPr>
      </xdr:sp>
      <xdr:sp macro="" textlink="">
        <xdr:nvSpPr>
          <xdr:cNvPr id="10255" name="Line 401"/>
          <xdr:cNvSpPr>
            <a:spLocks noChangeShapeType="1"/>
          </xdr:cNvSpPr>
        </xdr:nvSpPr>
        <xdr:spPr bwMode="auto">
          <a:xfrm flipH="1">
            <a:off x="2314575" y="2381250"/>
            <a:ext cx="0" cy="1390650"/>
          </a:xfrm>
          <a:prstGeom prst="line">
            <a:avLst/>
          </a:prstGeom>
          <a:noFill/>
          <a:ln w="9525">
            <a:solidFill>
              <a:srgbClr val="3366FF"/>
            </a:solidFill>
            <a:round/>
            <a:headEnd/>
            <a:tailEnd/>
          </a:ln>
        </xdr:spPr>
      </xdr:sp>
      <xdr:sp macro="" textlink="">
        <xdr:nvSpPr>
          <xdr:cNvPr id="10256" name="Line 402"/>
          <xdr:cNvSpPr>
            <a:spLocks noChangeShapeType="1"/>
          </xdr:cNvSpPr>
        </xdr:nvSpPr>
        <xdr:spPr bwMode="auto">
          <a:xfrm flipH="1">
            <a:off x="2247900" y="2381250"/>
            <a:ext cx="0" cy="1390650"/>
          </a:xfrm>
          <a:prstGeom prst="line">
            <a:avLst/>
          </a:prstGeom>
          <a:noFill/>
          <a:ln w="9525">
            <a:solidFill>
              <a:srgbClr val="3366FF"/>
            </a:solidFill>
            <a:round/>
            <a:headEnd/>
            <a:tailEnd/>
          </a:ln>
        </xdr:spPr>
      </xdr:sp>
      <xdr:sp macro="" textlink="">
        <xdr:nvSpPr>
          <xdr:cNvPr id="10257" name="Line 403"/>
          <xdr:cNvSpPr>
            <a:spLocks noChangeShapeType="1"/>
          </xdr:cNvSpPr>
        </xdr:nvSpPr>
        <xdr:spPr bwMode="auto">
          <a:xfrm flipH="1">
            <a:off x="2190750" y="2381250"/>
            <a:ext cx="0" cy="1390650"/>
          </a:xfrm>
          <a:prstGeom prst="line">
            <a:avLst/>
          </a:prstGeom>
          <a:noFill/>
          <a:ln w="9525">
            <a:solidFill>
              <a:srgbClr val="3366FF"/>
            </a:solidFill>
            <a:round/>
            <a:headEnd/>
            <a:tailEnd/>
          </a:ln>
        </xdr:spPr>
      </xdr:sp>
      <xdr:sp macro="" textlink="">
        <xdr:nvSpPr>
          <xdr:cNvPr id="10258" name="Line 404"/>
          <xdr:cNvSpPr>
            <a:spLocks noChangeShapeType="1"/>
          </xdr:cNvSpPr>
        </xdr:nvSpPr>
        <xdr:spPr bwMode="auto">
          <a:xfrm flipH="1">
            <a:off x="2124075" y="2381250"/>
            <a:ext cx="0" cy="1390650"/>
          </a:xfrm>
          <a:prstGeom prst="line">
            <a:avLst/>
          </a:prstGeom>
          <a:noFill/>
          <a:ln w="9525">
            <a:solidFill>
              <a:srgbClr val="3366FF"/>
            </a:solidFill>
            <a:round/>
            <a:headEnd/>
            <a:tailEnd/>
          </a:ln>
        </xdr:spPr>
      </xdr:sp>
      <xdr:sp macro="" textlink="">
        <xdr:nvSpPr>
          <xdr:cNvPr id="10259" name="Line 405"/>
          <xdr:cNvSpPr>
            <a:spLocks noChangeShapeType="1"/>
          </xdr:cNvSpPr>
        </xdr:nvSpPr>
        <xdr:spPr bwMode="auto">
          <a:xfrm flipH="1">
            <a:off x="2057400" y="2381250"/>
            <a:ext cx="0" cy="1390650"/>
          </a:xfrm>
          <a:prstGeom prst="line">
            <a:avLst/>
          </a:prstGeom>
          <a:noFill/>
          <a:ln w="9525">
            <a:solidFill>
              <a:srgbClr val="3366FF"/>
            </a:solidFill>
            <a:round/>
            <a:headEnd/>
            <a:tailEnd/>
          </a:ln>
        </xdr:spPr>
      </xdr:sp>
      <xdr:sp macro="" textlink="">
        <xdr:nvSpPr>
          <xdr:cNvPr id="10260" name="Line 406"/>
          <xdr:cNvSpPr>
            <a:spLocks noChangeShapeType="1"/>
          </xdr:cNvSpPr>
        </xdr:nvSpPr>
        <xdr:spPr bwMode="auto">
          <a:xfrm flipH="1">
            <a:off x="2000250" y="2381250"/>
            <a:ext cx="0" cy="1390650"/>
          </a:xfrm>
          <a:prstGeom prst="line">
            <a:avLst/>
          </a:prstGeom>
          <a:noFill/>
          <a:ln w="9525">
            <a:solidFill>
              <a:srgbClr val="3366FF"/>
            </a:solidFill>
            <a:round/>
            <a:headEnd/>
            <a:tailEnd/>
          </a:ln>
        </xdr:spPr>
      </xdr:sp>
      <xdr:sp macro="" textlink="">
        <xdr:nvSpPr>
          <xdr:cNvPr id="10261" name="Line 407"/>
          <xdr:cNvSpPr>
            <a:spLocks noChangeShapeType="1"/>
          </xdr:cNvSpPr>
        </xdr:nvSpPr>
        <xdr:spPr bwMode="auto">
          <a:xfrm flipH="1">
            <a:off x="1933575" y="2381250"/>
            <a:ext cx="0" cy="1390650"/>
          </a:xfrm>
          <a:prstGeom prst="line">
            <a:avLst/>
          </a:prstGeom>
          <a:noFill/>
          <a:ln w="9525">
            <a:solidFill>
              <a:srgbClr val="3366FF"/>
            </a:solidFill>
            <a:round/>
            <a:headEnd/>
            <a:tailEnd/>
          </a:ln>
        </xdr:spPr>
      </xdr:sp>
      <xdr:sp macro="" textlink="">
        <xdr:nvSpPr>
          <xdr:cNvPr id="10262" name="Line 408"/>
          <xdr:cNvSpPr>
            <a:spLocks noChangeShapeType="1"/>
          </xdr:cNvSpPr>
        </xdr:nvSpPr>
        <xdr:spPr bwMode="auto">
          <a:xfrm flipH="1">
            <a:off x="1876425" y="2381250"/>
            <a:ext cx="0" cy="1390650"/>
          </a:xfrm>
          <a:prstGeom prst="line">
            <a:avLst/>
          </a:prstGeom>
          <a:noFill/>
          <a:ln w="9525">
            <a:solidFill>
              <a:srgbClr val="3366FF"/>
            </a:solidFill>
            <a:round/>
            <a:headEnd/>
            <a:tailEnd/>
          </a:ln>
        </xdr:spPr>
      </xdr:sp>
      <xdr:sp macro="" textlink="">
        <xdr:nvSpPr>
          <xdr:cNvPr id="10263" name="Line 409"/>
          <xdr:cNvSpPr>
            <a:spLocks noChangeShapeType="1"/>
          </xdr:cNvSpPr>
        </xdr:nvSpPr>
        <xdr:spPr bwMode="auto">
          <a:xfrm flipH="1">
            <a:off x="1809750" y="2381250"/>
            <a:ext cx="0" cy="1390650"/>
          </a:xfrm>
          <a:prstGeom prst="line">
            <a:avLst/>
          </a:prstGeom>
          <a:noFill/>
          <a:ln w="9525">
            <a:solidFill>
              <a:srgbClr val="3366FF"/>
            </a:solidFill>
            <a:round/>
            <a:headEnd/>
            <a:tailEnd/>
          </a:ln>
        </xdr:spPr>
      </xdr:sp>
      <xdr:sp macro="" textlink="">
        <xdr:nvSpPr>
          <xdr:cNvPr id="10264" name="Line 410"/>
          <xdr:cNvSpPr>
            <a:spLocks noChangeShapeType="1"/>
          </xdr:cNvSpPr>
        </xdr:nvSpPr>
        <xdr:spPr bwMode="auto">
          <a:xfrm flipH="1">
            <a:off x="1752600" y="2381250"/>
            <a:ext cx="0" cy="1390650"/>
          </a:xfrm>
          <a:prstGeom prst="line">
            <a:avLst/>
          </a:prstGeom>
          <a:noFill/>
          <a:ln w="9525">
            <a:solidFill>
              <a:srgbClr val="3366FF"/>
            </a:solidFill>
            <a:round/>
            <a:headEnd/>
            <a:tailEnd/>
          </a:ln>
        </xdr:spPr>
      </xdr:sp>
      <xdr:sp macro="" textlink="">
        <xdr:nvSpPr>
          <xdr:cNvPr id="119195" name="AutoShape 411"/>
          <xdr:cNvSpPr>
            <a:spLocks/>
          </xdr:cNvSpPr>
        </xdr:nvSpPr>
        <xdr:spPr bwMode="auto">
          <a:xfrm>
            <a:off x="2514600" y="1619250"/>
            <a:ext cx="1733550" cy="847725"/>
          </a:xfrm>
          <a:prstGeom prst="callout2">
            <a:avLst>
              <a:gd name="adj1" fmla="val 13481"/>
              <a:gd name="adj2" fmla="val -4394"/>
              <a:gd name="adj3" fmla="val 13481"/>
              <a:gd name="adj4" fmla="val -22528"/>
              <a:gd name="adj5" fmla="val 56181"/>
              <a:gd name="adj6" fmla="val -49449"/>
            </a:avLst>
          </a:prstGeom>
          <a:solidFill>
            <a:srgbClr val="FFFFFF"/>
          </a:solidFill>
          <a:ln w="9525">
            <a:solidFill>
              <a:srgbClr val="000000"/>
            </a:solidFill>
            <a:miter lim="800000"/>
            <a:headEnd/>
            <a:tailEnd type="triangle" w="lg" len="lg"/>
          </a:ln>
        </xdr:spPr>
        <xdr:txBody>
          <a:bodyPr vertOverflow="clip" wrap="square" lIns="36576" tIns="32004" rIns="0" bIns="0" anchor="t" upright="1"/>
          <a:lstStyle/>
          <a:p>
            <a:pPr algn="l" rtl="0">
              <a:defRPr sz="1000"/>
            </a:pPr>
            <a:r>
              <a:rPr lang="en-US" sz="1600" b="1" i="0" u="none" strike="noStrike" baseline="0">
                <a:solidFill>
                  <a:srgbClr val="000000"/>
                </a:solidFill>
                <a:latin typeface="Arial"/>
                <a:cs typeface="Arial"/>
              </a:rPr>
              <a:t>Ultrasonic Welds</a:t>
            </a:r>
          </a:p>
          <a:p>
            <a:pPr algn="l" rtl="0">
              <a:defRPr sz="1000"/>
            </a:pPr>
            <a:r>
              <a:rPr lang="en-US" sz="1600" b="1" i="0" u="none" strike="noStrike" baseline="0">
                <a:solidFill>
                  <a:srgbClr val="000000"/>
                </a:solidFill>
                <a:latin typeface="Arial"/>
                <a:cs typeface="Arial"/>
              </a:rPr>
              <a:t>of Terminal to Collector Foils</a:t>
            </a:r>
          </a:p>
        </xdr:txBody>
      </xdr:sp>
      <xdr:sp macro="" textlink="">
        <xdr:nvSpPr>
          <xdr:cNvPr id="10266" name="Freeform 412"/>
          <xdr:cNvSpPr>
            <a:spLocks/>
          </xdr:cNvSpPr>
        </xdr:nvSpPr>
        <xdr:spPr bwMode="auto">
          <a:xfrm>
            <a:off x="1209675" y="1114425"/>
            <a:ext cx="1181100" cy="2543175"/>
          </a:xfrm>
          <a:custGeom>
            <a:avLst/>
            <a:gdLst>
              <a:gd name="T0" fmla="*/ 2147483647 w 124"/>
              <a:gd name="T1" fmla="*/ 2147483647 h 267"/>
              <a:gd name="T2" fmla="*/ 2147483647 w 124"/>
              <a:gd name="T3" fmla="*/ 2147483647 h 267"/>
              <a:gd name="T4" fmla="*/ 2147483647 w 124"/>
              <a:gd name="T5" fmla="*/ 2147483647 h 267"/>
              <a:gd name="T6" fmla="*/ 2147483647 w 124"/>
              <a:gd name="T7" fmla="*/ 2147483647 h 267"/>
              <a:gd name="T8" fmla="*/ 2147483647 w 124"/>
              <a:gd name="T9" fmla="*/ 2147483647 h 267"/>
              <a:gd name="T10" fmla="*/ 2147483647 w 124"/>
              <a:gd name="T11" fmla="*/ 2147483647 h 267"/>
              <a:gd name="T12" fmla="*/ 2147483647 w 124"/>
              <a:gd name="T13" fmla="*/ 2147483647 h 267"/>
              <a:gd name="T14" fmla="*/ 2147483647 w 124"/>
              <a:gd name="T15" fmla="*/ 2147483647 h 267"/>
              <a:gd name="T16" fmla="*/ 2147483647 w 124"/>
              <a:gd name="T17" fmla="*/ 2147483647 h 267"/>
              <a:gd name="T18" fmla="*/ 2147483647 w 124"/>
              <a:gd name="T19" fmla="*/ 2147483647 h 267"/>
              <a:gd name="T20" fmla="*/ 2147483647 w 124"/>
              <a:gd name="T21" fmla="*/ 2147483647 h 267"/>
              <a:gd name="T22" fmla="*/ 2147483647 w 124"/>
              <a:gd name="T23" fmla="*/ 2147483647 h 267"/>
              <a:gd name="T24" fmla="*/ 2147483647 w 124"/>
              <a:gd name="T25" fmla="*/ 2147483647 h 267"/>
              <a:gd name="T26" fmla="*/ 2147483647 w 124"/>
              <a:gd name="T27" fmla="*/ 2147483647 h 267"/>
              <a:gd name="T28" fmla="*/ 2147483647 w 124"/>
              <a:gd name="T29" fmla="*/ 2147483647 h 267"/>
              <a:gd name="T30" fmla="*/ 2147483647 w 124"/>
              <a:gd name="T31" fmla="*/ 2147483647 h 267"/>
              <a:gd name="T32" fmla="*/ 2147483647 w 124"/>
              <a:gd name="T33" fmla="*/ 2147483647 h 267"/>
              <a:gd name="T34" fmla="*/ 2147483647 w 124"/>
              <a:gd name="T35" fmla="*/ 2147483647 h 267"/>
              <a:gd name="T36" fmla="*/ 0 w 124"/>
              <a:gd name="T37" fmla="*/ 0 h 267"/>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124"/>
              <a:gd name="T58" fmla="*/ 0 h 267"/>
              <a:gd name="T59" fmla="*/ 124 w 124"/>
              <a:gd name="T60" fmla="*/ 267 h 267"/>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124" h="267">
                <a:moveTo>
                  <a:pt x="123" y="267"/>
                </a:moveTo>
                <a:cubicBezTo>
                  <a:pt x="123" y="251"/>
                  <a:pt x="123" y="190"/>
                  <a:pt x="123" y="172"/>
                </a:cubicBezTo>
                <a:cubicBezTo>
                  <a:pt x="123" y="154"/>
                  <a:pt x="123" y="162"/>
                  <a:pt x="123" y="158"/>
                </a:cubicBezTo>
                <a:cubicBezTo>
                  <a:pt x="123" y="154"/>
                  <a:pt x="123" y="152"/>
                  <a:pt x="123" y="150"/>
                </a:cubicBezTo>
                <a:cubicBezTo>
                  <a:pt x="123" y="148"/>
                  <a:pt x="124" y="146"/>
                  <a:pt x="124" y="144"/>
                </a:cubicBezTo>
                <a:cubicBezTo>
                  <a:pt x="124" y="142"/>
                  <a:pt x="124" y="138"/>
                  <a:pt x="124" y="135"/>
                </a:cubicBezTo>
                <a:cubicBezTo>
                  <a:pt x="124" y="132"/>
                  <a:pt x="124" y="129"/>
                  <a:pt x="123" y="126"/>
                </a:cubicBezTo>
                <a:cubicBezTo>
                  <a:pt x="122" y="123"/>
                  <a:pt x="124" y="119"/>
                  <a:pt x="120" y="116"/>
                </a:cubicBezTo>
                <a:cubicBezTo>
                  <a:pt x="116" y="113"/>
                  <a:pt x="105" y="111"/>
                  <a:pt x="99" y="109"/>
                </a:cubicBezTo>
                <a:cubicBezTo>
                  <a:pt x="93" y="107"/>
                  <a:pt x="89" y="106"/>
                  <a:pt x="83" y="104"/>
                </a:cubicBezTo>
                <a:cubicBezTo>
                  <a:pt x="77" y="102"/>
                  <a:pt x="71" y="101"/>
                  <a:pt x="64" y="99"/>
                </a:cubicBezTo>
                <a:cubicBezTo>
                  <a:pt x="57" y="97"/>
                  <a:pt x="49" y="95"/>
                  <a:pt x="43" y="93"/>
                </a:cubicBezTo>
                <a:cubicBezTo>
                  <a:pt x="37" y="91"/>
                  <a:pt x="31" y="90"/>
                  <a:pt x="26" y="89"/>
                </a:cubicBezTo>
                <a:cubicBezTo>
                  <a:pt x="21" y="88"/>
                  <a:pt x="17" y="89"/>
                  <a:pt x="13" y="88"/>
                </a:cubicBezTo>
                <a:cubicBezTo>
                  <a:pt x="9" y="87"/>
                  <a:pt x="6" y="86"/>
                  <a:pt x="4" y="84"/>
                </a:cubicBezTo>
                <a:cubicBezTo>
                  <a:pt x="2" y="82"/>
                  <a:pt x="3" y="78"/>
                  <a:pt x="2" y="76"/>
                </a:cubicBezTo>
                <a:cubicBezTo>
                  <a:pt x="1" y="74"/>
                  <a:pt x="1" y="72"/>
                  <a:pt x="1" y="70"/>
                </a:cubicBezTo>
                <a:cubicBezTo>
                  <a:pt x="1" y="68"/>
                  <a:pt x="1" y="75"/>
                  <a:pt x="1" y="63"/>
                </a:cubicBezTo>
                <a:cubicBezTo>
                  <a:pt x="1" y="51"/>
                  <a:pt x="0" y="13"/>
                  <a:pt x="0" y="0"/>
                </a:cubicBezTo>
              </a:path>
            </a:pathLst>
          </a:custGeom>
          <a:noFill/>
          <a:ln w="28575" cmpd="sng">
            <a:solidFill>
              <a:srgbClr val="000000"/>
            </a:solidFill>
            <a:round/>
            <a:headEnd/>
            <a:tailEnd/>
          </a:ln>
        </xdr:spPr>
      </xdr:sp>
      <xdr:sp macro="" textlink="">
        <xdr:nvSpPr>
          <xdr:cNvPr id="10267" name="Freeform 413"/>
          <xdr:cNvSpPr>
            <a:spLocks/>
          </xdr:cNvSpPr>
        </xdr:nvSpPr>
        <xdr:spPr bwMode="auto">
          <a:xfrm>
            <a:off x="1066800" y="1114425"/>
            <a:ext cx="38100" cy="2552700"/>
          </a:xfrm>
          <a:custGeom>
            <a:avLst/>
            <a:gdLst>
              <a:gd name="T0" fmla="*/ 0 w 4"/>
              <a:gd name="T1" fmla="*/ 2147483647 h 268"/>
              <a:gd name="T2" fmla="*/ 0 w 4"/>
              <a:gd name="T3" fmla="*/ 2147483647 h 268"/>
              <a:gd name="T4" fmla="*/ 2147483647 w 4"/>
              <a:gd name="T5" fmla="*/ 2147483647 h 268"/>
              <a:gd name="T6" fmla="*/ 2147483647 w 4"/>
              <a:gd name="T7" fmla="*/ 0 h 268"/>
              <a:gd name="T8" fmla="*/ 0 60000 65536"/>
              <a:gd name="T9" fmla="*/ 0 60000 65536"/>
              <a:gd name="T10" fmla="*/ 0 60000 65536"/>
              <a:gd name="T11" fmla="*/ 0 60000 65536"/>
              <a:gd name="T12" fmla="*/ 0 w 4"/>
              <a:gd name="T13" fmla="*/ 0 h 268"/>
              <a:gd name="T14" fmla="*/ 4 w 4"/>
              <a:gd name="T15" fmla="*/ 268 h 268"/>
            </a:gdLst>
            <a:ahLst/>
            <a:cxnLst>
              <a:cxn ang="T8">
                <a:pos x="T0" y="T1"/>
              </a:cxn>
              <a:cxn ang="T9">
                <a:pos x="T2" y="T3"/>
              </a:cxn>
              <a:cxn ang="T10">
                <a:pos x="T4" y="T5"/>
              </a:cxn>
              <a:cxn ang="T11">
                <a:pos x="T6" y="T7"/>
              </a:cxn>
            </a:cxnLst>
            <a:rect l="T12" t="T13" r="T14" b="T15"/>
            <a:pathLst>
              <a:path w="4" h="268">
                <a:moveTo>
                  <a:pt x="0" y="268"/>
                </a:moveTo>
                <a:lnTo>
                  <a:pt x="0" y="77"/>
                </a:lnTo>
                <a:lnTo>
                  <a:pt x="4" y="70"/>
                </a:lnTo>
                <a:lnTo>
                  <a:pt x="4" y="0"/>
                </a:lnTo>
              </a:path>
            </a:pathLst>
          </a:custGeom>
          <a:noFill/>
          <a:ln w="28575" cmpd="sng">
            <a:solidFill>
              <a:srgbClr val="000000"/>
            </a:solidFill>
            <a:round/>
            <a:headEnd/>
            <a:tailEnd/>
          </a:ln>
        </xdr:spPr>
      </xdr:sp>
      <xdr:sp macro="" textlink="">
        <xdr:nvSpPr>
          <xdr:cNvPr id="10268" name="Freeform 414"/>
          <xdr:cNvSpPr>
            <a:spLocks/>
          </xdr:cNvSpPr>
        </xdr:nvSpPr>
        <xdr:spPr bwMode="auto">
          <a:xfrm>
            <a:off x="1362075" y="2047875"/>
            <a:ext cx="952500" cy="342900"/>
          </a:xfrm>
          <a:custGeom>
            <a:avLst/>
            <a:gdLst>
              <a:gd name="T0" fmla="*/ 2147483647 w 100"/>
              <a:gd name="T1" fmla="*/ 2147483647 h 36"/>
              <a:gd name="T2" fmla="*/ 2147483647 w 100"/>
              <a:gd name="T3" fmla="*/ 2147483647 h 36"/>
              <a:gd name="T4" fmla="*/ 2147483647 w 100"/>
              <a:gd name="T5" fmla="*/ 2147483647 h 36"/>
              <a:gd name="T6" fmla="*/ 2147483647 w 100"/>
              <a:gd name="T7" fmla="*/ 2147483647 h 36"/>
              <a:gd name="T8" fmla="*/ 2147483647 w 100"/>
              <a:gd name="T9" fmla="*/ 2147483647 h 36"/>
              <a:gd name="T10" fmla="*/ 2147483647 w 100"/>
              <a:gd name="T11" fmla="*/ 2147483647 h 36"/>
              <a:gd name="T12" fmla="*/ 0 w 100"/>
              <a:gd name="T13" fmla="*/ 0 h 36"/>
              <a:gd name="T14" fmla="*/ 0 60000 65536"/>
              <a:gd name="T15" fmla="*/ 0 60000 65536"/>
              <a:gd name="T16" fmla="*/ 0 60000 65536"/>
              <a:gd name="T17" fmla="*/ 0 60000 65536"/>
              <a:gd name="T18" fmla="*/ 0 60000 65536"/>
              <a:gd name="T19" fmla="*/ 0 60000 65536"/>
              <a:gd name="T20" fmla="*/ 0 60000 65536"/>
              <a:gd name="T21" fmla="*/ 0 w 100"/>
              <a:gd name="T22" fmla="*/ 0 h 36"/>
              <a:gd name="T23" fmla="*/ 100 w 100"/>
              <a:gd name="T24" fmla="*/ 36 h 3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00" h="36">
                <a:moveTo>
                  <a:pt x="100" y="36"/>
                </a:moveTo>
                <a:lnTo>
                  <a:pt x="39" y="36"/>
                </a:lnTo>
                <a:lnTo>
                  <a:pt x="39" y="31"/>
                </a:lnTo>
                <a:lnTo>
                  <a:pt x="97" y="32"/>
                </a:lnTo>
                <a:lnTo>
                  <a:pt x="99" y="20"/>
                </a:lnTo>
                <a:lnTo>
                  <a:pt x="21" y="3"/>
                </a:lnTo>
                <a:lnTo>
                  <a:pt x="0" y="0"/>
                </a:lnTo>
              </a:path>
            </a:pathLst>
          </a:custGeom>
          <a:noFill/>
          <a:ln w="38100" cmpd="sng">
            <a:solidFill>
              <a:srgbClr val="3366FF"/>
            </a:solidFill>
            <a:round/>
            <a:headEnd/>
            <a:tailEnd/>
          </a:ln>
        </xdr:spPr>
      </xdr:sp>
      <xdr:sp macro="" textlink="">
        <xdr:nvSpPr>
          <xdr:cNvPr id="10269" name="Freeform 415"/>
          <xdr:cNvSpPr>
            <a:spLocks/>
          </xdr:cNvSpPr>
        </xdr:nvSpPr>
        <xdr:spPr bwMode="auto">
          <a:xfrm>
            <a:off x="1257300" y="2162175"/>
            <a:ext cx="857250" cy="200025"/>
          </a:xfrm>
          <a:custGeom>
            <a:avLst/>
            <a:gdLst>
              <a:gd name="T0" fmla="*/ 0 w 90"/>
              <a:gd name="T1" fmla="*/ 2147483647 h 21"/>
              <a:gd name="T2" fmla="*/ 2147483647 w 90"/>
              <a:gd name="T3" fmla="*/ 2147483647 h 21"/>
              <a:gd name="T4" fmla="*/ 2147483647 w 90"/>
              <a:gd name="T5" fmla="*/ 2147483647 h 21"/>
              <a:gd name="T6" fmla="*/ 2147483647 w 90"/>
              <a:gd name="T7" fmla="*/ 2147483647 h 21"/>
              <a:gd name="T8" fmla="*/ 2147483647 w 90"/>
              <a:gd name="T9" fmla="*/ 2147483647 h 21"/>
              <a:gd name="T10" fmla="*/ 2147483647 w 90"/>
              <a:gd name="T11" fmla="*/ 2147483647 h 21"/>
              <a:gd name="T12" fmla="*/ 2147483647 w 90"/>
              <a:gd name="T13" fmla="*/ 0 h 21"/>
              <a:gd name="T14" fmla="*/ 0 60000 65536"/>
              <a:gd name="T15" fmla="*/ 0 60000 65536"/>
              <a:gd name="T16" fmla="*/ 0 60000 65536"/>
              <a:gd name="T17" fmla="*/ 0 60000 65536"/>
              <a:gd name="T18" fmla="*/ 0 60000 65536"/>
              <a:gd name="T19" fmla="*/ 0 60000 65536"/>
              <a:gd name="T20" fmla="*/ 0 60000 65536"/>
              <a:gd name="T21" fmla="*/ 0 w 90"/>
              <a:gd name="T22" fmla="*/ 0 h 21"/>
              <a:gd name="T23" fmla="*/ 90 w 90"/>
              <a:gd name="T24" fmla="*/ 21 h 2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90" h="21">
                <a:moveTo>
                  <a:pt x="0" y="21"/>
                </a:moveTo>
                <a:lnTo>
                  <a:pt x="34" y="21"/>
                </a:lnTo>
                <a:lnTo>
                  <a:pt x="47" y="14"/>
                </a:lnTo>
                <a:lnTo>
                  <a:pt x="59" y="13"/>
                </a:lnTo>
                <a:lnTo>
                  <a:pt x="90" y="16"/>
                </a:lnTo>
                <a:lnTo>
                  <a:pt x="31" y="4"/>
                </a:lnTo>
                <a:lnTo>
                  <a:pt x="11" y="0"/>
                </a:lnTo>
              </a:path>
            </a:pathLst>
          </a:custGeom>
          <a:noFill/>
          <a:ln w="38100" cmpd="sng">
            <a:solidFill>
              <a:srgbClr val="3366FF"/>
            </a:solidFill>
            <a:round/>
            <a:headEnd/>
            <a:tailEnd/>
          </a:ln>
        </xdr:spPr>
      </xdr:sp>
      <xdr:sp macro="" textlink="">
        <xdr:nvSpPr>
          <xdr:cNvPr id="10270" name="Line 416"/>
          <xdr:cNvSpPr>
            <a:spLocks noChangeShapeType="1"/>
          </xdr:cNvSpPr>
        </xdr:nvSpPr>
        <xdr:spPr bwMode="auto">
          <a:xfrm flipV="1">
            <a:off x="1200150" y="2352675"/>
            <a:ext cx="114300" cy="28575"/>
          </a:xfrm>
          <a:prstGeom prst="line">
            <a:avLst/>
          </a:prstGeom>
          <a:noFill/>
          <a:ln w="9525">
            <a:solidFill>
              <a:srgbClr val="3366FF"/>
            </a:solidFill>
            <a:round/>
            <a:headEnd/>
            <a:tailEnd/>
          </a:ln>
        </xdr:spPr>
      </xdr:sp>
      <xdr:sp macro="" textlink="">
        <xdr:nvSpPr>
          <xdr:cNvPr id="10271" name="Line 417"/>
          <xdr:cNvSpPr>
            <a:spLocks noChangeShapeType="1"/>
          </xdr:cNvSpPr>
        </xdr:nvSpPr>
        <xdr:spPr bwMode="auto">
          <a:xfrm flipV="1">
            <a:off x="1133475" y="2352675"/>
            <a:ext cx="133350" cy="28575"/>
          </a:xfrm>
          <a:prstGeom prst="line">
            <a:avLst/>
          </a:prstGeom>
          <a:noFill/>
          <a:ln w="9525">
            <a:solidFill>
              <a:srgbClr val="3366FF"/>
            </a:solidFill>
            <a:round/>
            <a:headEnd/>
            <a:tailEnd/>
          </a:ln>
        </xdr:spPr>
      </xdr:sp>
      <xdr:sp macro="" textlink="">
        <xdr:nvSpPr>
          <xdr:cNvPr id="10272" name="Freeform 418"/>
          <xdr:cNvSpPr>
            <a:spLocks/>
          </xdr:cNvSpPr>
        </xdr:nvSpPr>
        <xdr:spPr bwMode="auto">
          <a:xfrm>
            <a:off x="180975" y="923925"/>
            <a:ext cx="2085975" cy="1400175"/>
          </a:xfrm>
          <a:custGeom>
            <a:avLst/>
            <a:gdLst>
              <a:gd name="T0" fmla="*/ 2147483647 w 219"/>
              <a:gd name="T1" fmla="*/ 2147483647 h 147"/>
              <a:gd name="T2" fmla="*/ 2147483647 w 219"/>
              <a:gd name="T3" fmla="*/ 2147483647 h 147"/>
              <a:gd name="T4" fmla="*/ 2147483647 w 219"/>
              <a:gd name="T5" fmla="*/ 2147483647 h 147"/>
              <a:gd name="T6" fmla="*/ 2147483647 w 219"/>
              <a:gd name="T7" fmla="*/ 0 h 147"/>
              <a:gd name="T8" fmla="*/ 2147483647 w 219"/>
              <a:gd name="T9" fmla="*/ 0 h 147"/>
              <a:gd name="T10" fmla="*/ 0 w 219"/>
              <a:gd name="T11" fmla="*/ 0 h 147"/>
              <a:gd name="T12" fmla="*/ 0 w 219"/>
              <a:gd name="T13" fmla="*/ 2147483647 h 147"/>
              <a:gd name="T14" fmla="*/ 2147483647 w 219"/>
              <a:gd name="T15" fmla="*/ 2147483647 h 147"/>
              <a:gd name="T16" fmla="*/ 2147483647 w 219"/>
              <a:gd name="T17" fmla="*/ 2147483647 h 147"/>
              <a:gd name="T18" fmla="*/ 2147483647 w 219"/>
              <a:gd name="T19" fmla="*/ 2147483647 h 147"/>
              <a:gd name="T20" fmla="*/ 2147483647 w 219"/>
              <a:gd name="T21" fmla="*/ 2147483647 h 147"/>
              <a:gd name="T22" fmla="*/ 2147483647 w 219"/>
              <a:gd name="T23" fmla="*/ 2147483647 h 147"/>
              <a:gd name="T24" fmla="*/ 2147483647 w 219"/>
              <a:gd name="T25" fmla="*/ 2147483647 h 14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19"/>
              <a:gd name="T40" fmla="*/ 0 h 147"/>
              <a:gd name="T41" fmla="*/ 219 w 219"/>
              <a:gd name="T42" fmla="*/ 147 h 14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19" h="147">
                <a:moveTo>
                  <a:pt x="219" y="139"/>
                </a:moveTo>
                <a:lnTo>
                  <a:pt x="169" y="128"/>
                </a:lnTo>
                <a:lnTo>
                  <a:pt x="108" y="117"/>
                </a:lnTo>
                <a:lnTo>
                  <a:pt x="106" y="0"/>
                </a:lnTo>
                <a:lnTo>
                  <a:pt x="53" y="0"/>
                </a:lnTo>
                <a:lnTo>
                  <a:pt x="0" y="0"/>
                </a:lnTo>
                <a:lnTo>
                  <a:pt x="0" y="8"/>
                </a:lnTo>
                <a:lnTo>
                  <a:pt x="47" y="8"/>
                </a:lnTo>
                <a:lnTo>
                  <a:pt x="99" y="8"/>
                </a:lnTo>
                <a:lnTo>
                  <a:pt x="99" y="124"/>
                </a:lnTo>
                <a:lnTo>
                  <a:pt x="159" y="135"/>
                </a:lnTo>
                <a:lnTo>
                  <a:pt x="218" y="147"/>
                </a:lnTo>
                <a:lnTo>
                  <a:pt x="219" y="139"/>
                </a:lnTo>
                <a:close/>
              </a:path>
            </a:pathLst>
          </a:custGeom>
          <a:solidFill>
            <a:srgbClr val="00CCFF"/>
          </a:solidFill>
          <a:ln w="9525">
            <a:solidFill>
              <a:srgbClr val="000000"/>
            </a:solidFill>
            <a:round/>
            <a:headEnd/>
            <a:tailEnd/>
          </a:ln>
        </xdr:spPr>
      </xdr:sp>
      <xdr:sp macro="" textlink="">
        <xdr:nvSpPr>
          <xdr:cNvPr id="10273" name="Line 419"/>
          <xdr:cNvSpPr>
            <a:spLocks noChangeShapeType="1"/>
          </xdr:cNvSpPr>
        </xdr:nvSpPr>
        <xdr:spPr bwMode="auto">
          <a:xfrm flipV="1">
            <a:off x="1638300" y="2314575"/>
            <a:ext cx="38100" cy="66675"/>
          </a:xfrm>
          <a:prstGeom prst="line">
            <a:avLst/>
          </a:prstGeom>
          <a:noFill/>
          <a:ln w="9525">
            <a:solidFill>
              <a:srgbClr val="3366FF"/>
            </a:solidFill>
            <a:round/>
            <a:headEnd/>
            <a:tailEnd/>
          </a:ln>
        </xdr:spPr>
      </xdr:sp>
      <xdr:sp macro="" textlink="">
        <xdr:nvSpPr>
          <xdr:cNvPr id="10274" name="Line 420"/>
          <xdr:cNvSpPr>
            <a:spLocks noChangeShapeType="1"/>
          </xdr:cNvSpPr>
        </xdr:nvSpPr>
        <xdr:spPr bwMode="auto">
          <a:xfrm flipV="1">
            <a:off x="1695450" y="2305050"/>
            <a:ext cx="38100" cy="66675"/>
          </a:xfrm>
          <a:prstGeom prst="line">
            <a:avLst/>
          </a:prstGeom>
          <a:noFill/>
          <a:ln w="9525">
            <a:solidFill>
              <a:srgbClr val="3366FF"/>
            </a:solidFill>
            <a:round/>
            <a:headEnd/>
            <a:tailEnd/>
          </a:ln>
        </xdr:spPr>
      </xdr:sp>
      <xdr:grpSp>
        <xdr:nvGrpSpPr>
          <xdr:cNvPr id="10275" name="Group 421"/>
          <xdr:cNvGrpSpPr>
            <a:grpSpLocks/>
          </xdr:cNvGrpSpPr>
        </xdr:nvGrpSpPr>
        <xdr:grpSpPr bwMode="auto">
          <a:xfrm>
            <a:off x="4162425" y="161925"/>
            <a:ext cx="2695575" cy="6019800"/>
            <a:chOff x="15" y="22"/>
            <a:chExt cx="283" cy="632"/>
          </a:xfrm>
        </xdr:grpSpPr>
        <xdr:sp macro="" textlink="">
          <xdr:nvSpPr>
            <xdr:cNvPr id="10420" name="Rectangle 422"/>
            <xdr:cNvSpPr>
              <a:spLocks noChangeArrowheads="1"/>
            </xdr:cNvSpPr>
          </xdr:nvSpPr>
          <xdr:spPr bwMode="auto">
            <a:xfrm>
              <a:off x="258" y="41"/>
              <a:ext cx="39" cy="473"/>
            </a:xfrm>
            <a:prstGeom prst="rect">
              <a:avLst/>
            </a:prstGeom>
            <a:solidFill>
              <a:srgbClr val="69FFFF"/>
            </a:solidFill>
            <a:ln w="19050">
              <a:solidFill>
                <a:srgbClr val="000000"/>
              </a:solidFill>
              <a:miter lim="800000"/>
              <a:headEnd/>
              <a:tailEnd/>
            </a:ln>
          </xdr:spPr>
        </xdr:sp>
        <xdr:sp macro="" textlink="">
          <xdr:nvSpPr>
            <xdr:cNvPr id="10421" name="Line 423"/>
            <xdr:cNvSpPr>
              <a:spLocks noChangeShapeType="1"/>
            </xdr:cNvSpPr>
          </xdr:nvSpPr>
          <xdr:spPr bwMode="auto">
            <a:xfrm>
              <a:off x="97" y="238"/>
              <a:ext cx="0" cy="316"/>
            </a:xfrm>
            <a:prstGeom prst="line">
              <a:avLst/>
            </a:prstGeom>
            <a:noFill/>
            <a:ln w="9525">
              <a:solidFill>
                <a:srgbClr val="000000"/>
              </a:solidFill>
              <a:round/>
              <a:headEnd/>
              <a:tailEnd/>
            </a:ln>
          </xdr:spPr>
        </xdr:sp>
        <xdr:sp macro="" textlink="">
          <xdr:nvSpPr>
            <xdr:cNvPr id="10422" name="Line 424"/>
            <xdr:cNvSpPr>
              <a:spLocks noChangeShapeType="1"/>
            </xdr:cNvSpPr>
          </xdr:nvSpPr>
          <xdr:spPr bwMode="auto">
            <a:xfrm>
              <a:off x="50" y="185"/>
              <a:ext cx="0" cy="446"/>
            </a:xfrm>
            <a:prstGeom prst="line">
              <a:avLst/>
            </a:prstGeom>
            <a:noFill/>
            <a:ln w="9525">
              <a:solidFill>
                <a:srgbClr val="000000"/>
              </a:solidFill>
              <a:round/>
              <a:headEnd/>
              <a:tailEnd/>
            </a:ln>
          </xdr:spPr>
        </xdr:sp>
        <xdr:sp macro="" textlink="">
          <xdr:nvSpPr>
            <xdr:cNvPr id="10423" name="Line 425"/>
            <xdr:cNvSpPr>
              <a:spLocks noChangeShapeType="1"/>
            </xdr:cNvSpPr>
          </xdr:nvSpPr>
          <xdr:spPr bwMode="auto">
            <a:xfrm flipV="1">
              <a:off x="98" y="125"/>
              <a:ext cx="198" cy="114"/>
            </a:xfrm>
            <a:prstGeom prst="line">
              <a:avLst/>
            </a:prstGeom>
            <a:noFill/>
            <a:ln w="9525">
              <a:solidFill>
                <a:srgbClr val="000000"/>
              </a:solidFill>
              <a:round/>
              <a:headEnd/>
              <a:tailEnd/>
            </a:ln>
          </xdr:spPr>
        </xdr:sp>
        <xdr:sp macro="" textlink="">
          <xdr:nvSpPr>
            <xdr:cNvPr id="10424" name="Line 426"/>
            <xdr:cNvSpPr>
              <a:spLocks noChangeShapeType="1"/>
            </xdr:cNvSpPr>
          </xdr:nvSpPr>
          <xdr:spPr bwMode="auto">
            <a:xfrm flipV="1">
              <a:off x="97" y="440"/>
              <a:ext cx="198" cy="114"/>
            </a:xfrm>
            <a:prstGeom prst="line">
              <a:avLst/>
            </a:prstGeom>
            <a:noFill/>
            <a:ln w="9525">
              <a:solidFill>
                <a:srgbClr val="000000"/>
              </a:solidFill>
              <a:round/>
              <a:headEnd/>
              <a:tailEnd/>
            </a:ln>
          </xdr:spPr>
        </xdr:sp>
        <xdr:sp macro="" textlink="">
          <xdr:nvSpPr>
            <xdr:cNvPr id="10425" name="Line 427"/>
            <xdr:cNvSpPr>
              <a:spLocks noChangeShapeType="1"/>
            </xdr:cNvSpPr>
          </xdr:nvSpPr>
          <xdr:spPr bwMode="auto">
            <a:xfrm>
              <a:off x="296" y="125"/>
              <a:ext cx="0" cy="316"/>
            </a:xfrm>
            <a:prstGeom prst="line">
              <a:avLst/>
            </a:prstGeom>
            <a:noFill/>
            <a:ln w="9525">
              <a:solidFill>
                <a:srgbClr val="000000"/>
              </a:solidFill>
              <a:round/>
              <a:headEnd/>
              <a:tailEnd/>
            </a:ln>
          </xdr:spPr>
        </xdr:sp>
        <xdr:sp macro="" textlink="">
          <xdr:nvSpPr>
            <xdr:cNvPr id="10426" name="Line 428"/>
            <xdr:cNvSpPr>
              <a:spLocks noChangeShapeType="1"/>
            </xdr:cNvSpPr>
          </xdr:nvSpPr>
          <xdr:spPr bwMode="auto">
            <a:xfrm flipV="1">
              <a:off x="61" y="71"/>
              <a:ext cx="198" cy="114"/>
            </a:xfrm>
            <a:prstGeom prst="line">
              <a:avLst/>
            </a:prstGeom>
            <a:noFill/>
            <a:ln w="9525">
              <a:solidFill>
                <a:srgbClr val="000000"/>
              </a:solidFill>
              <a:round/>
              <a:headEnd/>
              <a:tailEnd/>
            </a:ln>
          </xdr:spPr>
        </xdr:sp>
        <xdr:sp macro="" textlink="">
          <xdr:nvSpPr>
            <xdr:cNvPr id="10427" name="Line 429"/>
            <xdr:cNvSpPr>
              <a:spLocks noChangeShapeType="1"/>
            </xdr:cNvSpPr>
          </xdr:nvSpPr>
          <xdr:spPr bwMode="auto">
            <a:xfrm flipH="1" flipV="1">
              <a:off x="60" y="186"/>
              <a:ext cx="37" cy="52"/>
            </a:xfrm>
            <a:prstGeom prst="line">
              <a:avLst/>
            </a:prstGeom>
            <a:noFill/>
            <a:ln w="9525">
              <a:solidFill>
                <a:srgbClr val="000000"/>
              </a:solidFill>
              <a:round/>
              <a:headEnd/>
              <a:tailEnd/>
            </a:ln>
          </xdr:spPr>
        </xdr:sp>
        <xdr:sp macro="" textlink="">
          <xdr:nvSpPr>
            <xdr:cNvPr id="10428" name="Line 430"/>
            <xdr:cNvSpPr>
              <a:spLocks noChangeShapeType="1"/>
            </xdr:cNvSpPr>
          </xdr:nvSpPr>
          <xdr:spPr bwMode="auto">
            <a:xfrm flipV="1">
              <a:off x="60" y="157"/>
              <a:ext cx="0" cy="28"/>
            </a:xfrm>
            <a:prstGeom prst="line">
              <a:avLst/>
            </a:prstGeom>
            <a:noFill/>
            <a:ln w="9525">
              <a:solidFill>
                <a:srgbClr val="000000"/>
              </a:solidFill>
              <a:round/>
              <a:headEnd/>
              <a:tailEnd/>
            </a:ln>
          </xdr:spPr>
        </xdr:sp>
        <xdr:sp macro="" textlink="">
          <xdr:nvSpPr>
            <xdr:cNvPr id="10429" name="Line 431"/>
            <xdr:cNvSpPr>
              <a:spLocks noChangeShapeType="1"/>
            </xdr:cNvSpPr>
          </xdr:nvSpPr>
          <xdr:spPr bwMode="auto">
            <a:xfrm flipV="1">
              <a:off x="50" y="158"/>
              <a:ext cx="0" cy="28"/>
            </a:xfrm>
            <a:prstGeom prst="line">
              <a:avLst/>
            </a:prstGeom>
            <a:noFill/>
            <a:ln w="9525">
              <a:solidFill>
                <a:srgbClr val="000000"/>
              </a:solidFill>
              <a:round/>
              <a:headEnd/>
              <a:tailEnd/>
            </a:ln>
          </xdr:spPr>
        </xdr:sp>
        <xdr:sp macro="" textlink="">
          <xdr:nvSpPr>
            <xdr:cNvPr id="10430" name="Line 432"/>
            <xdr:cNvSpPr>
              <a:spLocks noChangeShapeType="1"/>
            </xdr:cNvSpPr>
          </xdr:nvSpPr>
          <xdr:spPr bwMode="auto">
            <a:xfrm flipV="1">
              <a:off x="61" y="44"/>
              <a:ext cx="198" cy="114"/>
            </a:xfrm>
            <a:prstGeom prst="line">
              <a:avLst/>
            </a:prstGeom>
            <a:noFill/>
            <a:ln w="9525">
              <a:solidFill>
                <a:srgbClr val="000000"/>
              </a:solidFill>
              <a:round/>
              <a:headEnd/>
              <a:tailEnd/>
            </a:ln>
          </xdr:spPr>
        </xdr:sp>
        <xdr:sp macro="" textlink="">
          <xdr:nvSpPr>
            <xdr:cNvPr id="10431" name="Line 433"/>
            <xdr:cNvSpPr>
              <a:spLocks noChangeShapeType="1"/>
            </xdr:cNvSpPr>
          </xdr:nvSpPr>
          <xdr:spPr bwMode="auto">
            <a:xfrm flipV="1">
              <a:off x="258" y="45"/>
              <a:ext cx="0" cy="26"/>
            </a:xfrm>
            <a:prstGeom prst="line">
              <a:avLst/>
            </a:prstGeom>
            <a:noFill/>
            <a:ln w="9525">
              <a:solidFill>
                <a:srgbClr val="000000"/>
              </a:solidFill>
              <a:round/>
              <a:headEnd/>
              <a:tailEnd/>
            </a:ln>
          </xdr:spPr>
        </xdr:sp>
        <xdr:sp macro="" textlink="">
          <xdr:nvSpPr>
            <xdr:cNvPr id="10432" name="Line 434"/>
            <xdr:cNvSpPr>
              <a:spLocks noChangeShapeType="1"/>
            </xdr:cNvSpPr>
          </xdr:nvSpPr>
          <xdr:spPr bwMode="auto">
            <a:xfrm flipV="1">
              <a:off x="59" y="492"/>
              <a:ext cx="198" cy="114"/>
            </a:xfrm>
            <a:prstGeom prst="line">
              <a:avLst/>
            </a:prstGeom>
            <a:noFill/>
            <a:ln w="9525">
              <a:solidFill>
                <a:srgbClr val="000000"/>
              </a:solidFill>
              <a:round/>
              <a:headEnd/>
              <a:tailEnd/>
            </a:ln>
          </xdr:spPr>
        </xdr:sp>
        <xdr:sp macro="" textlink="">
          <xdr:nvSpPr>
            <xdr:cNvPr id="10433" name="Line 435"/>
            <xdr:cNvSpPr>
              <a:spLocks noChangeShapeType="1"/>
            </xdr:cNvSpPr>
          </xdr:nvSpPr>
          <xdr:spPr bwMode="auto">
            <a:xfrm flipV="1">
              <a:off x="258" y="438"/>
              <a:ext cx="40" cy="54"/>
            </a:xfrm>
            <a:prstGeom prst="line">
              <a:avLst/>
            </a:prstGeom>
            <a:noFill/>
            <a:ln w="9525">
              <a:solidFill>
                <a:srgbClr val="000000"/>
              </a:solidFill>
              <a:round/>
              <a:headEnd/>
              <a:tailEnd/>
            </a:ln>
          </xdr:spPr>
        </xdr:sp>
        <xdr:sp macro="" textlink="">
          <xdr:nvSpPr>
            <xdr:cNvPr id="10434" name="Freeform 436"/>
            <xdr:cNvSpPr>
              <a:spLocks/>
            </xdr:cNvSpPr>
          </xdr:nvSpPr>
          <xdr:spPr bwMode="auto">
            <a:xfrm>
              <a:off x="67" y="72"/>
              <a:ext cx="221" cy="125"/>
            </a:xfrm>
            <a:custGeom>
              <a:avLst/>
              <a:gdLst>
                <a:gd name="T0" fmla="*/ 45 w 221"/>
                <a:gd name="T1" fmla="*/ 117 h 125"/>
                <a:gd name="T2" fmla="*/ 198 w 221"/>
                <a:gd name="T3" fmla="*/ 30 h 125"/>
                <a:gd name="T4" fmla="*/ 211 w 221"/>
                <a:gd name="T5" fmla="*/ 23 h 125"/>
                <a:gd name="T6" fmla="*/ 221 w 221"/>
                <a:gd name="T7" fmla="*/ 17 h 125"/>
                <a:gd name="T8" fmla="*/ 212 w 221"/>
                <a:gd name="T9" fmla="*/ 13 h 125"/>
                <a:gd name="T10" fmla="*/ 192 w 221"/>
                <a:gd name="T11" fmla="*/ 8 h 125"/>
                <a:gd name="T12" fmla="*/ 192 w 221"/>
                <a:gd name="T13" fmla="*/ 0 h 125"/>
                <a:gd name="T14" fmla="*/ 0 w 221"/>
                <a:gd name="T15" fmla="*/ 107 h 125"/>
                <a:gd name="T16" fmla="*/ 30 w 221"/>
                <a:gd name="T17" fmla="*/ 125 h 125"/>
                <a:gd name="T18" fmla="*/ 36 w 221"/>
                <a:gd name="T19" fmla="*/ 122 h 125"/>
                <a:gd name="T20" fmla="*/ 45 w 221"/>
                <a:gd name="T21" fmla="*/ 117 h 1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221"/>
                <a:gd name="T34" fmla="*/ 0 h 125"/>
                <a:gd name="T35" fmla="*/ 221 w 221"/>
                <a:gd name="T36" fmla="*/ 125 h 1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221" h="125">
                  <a:moveTo>
                    <a:pt x="45" y="117"/>
                  </a:moveTo>
                  <a:lnTo>
                    <a:pt x="198" y="30"/>
                  </a:lnTo>
                  <a:lnTo>
                    <a:pt x="211" y="23"/>
                  </a:lnTo>
                  <a:lnTo>
                    <a:pt x="221" y="17"/>
                  </a:lnTo>
                  <a:lnTo>
                    <a:pt x="212" y="13"/>
                  </a:lnTo>
                  <a:lnTo>
                    <a:pt x="192" y="8"/>
                  </a:lnTo>
                  <a:lnTo>
                    <a:pt x="192" y="0"/>
                  </a:lnTo>
                  <a:lnTo>
                    <a:pt x="0" y="107"/>
                  </a:lnTo>
                  <a:lnTo>
                    <a:pt x="30" y="125"/>
                  </a:lnTo>
                  <a:lnTo>
                    <a:pt x="36" y="122"/>
                  </a:lnTo>
                  <a:lnTo>
                    <a:pt x="45" y="117"/>
                  </a:lnTo>
                  <a:close/>
                </a:path>
              </a:pathLst>
            </a:custGeom>
            <a:gradFill rotWithShape="1">
              <a:gsLst>
                <a:gs pos="0">
                  <a:srgbClr val="FFFFFF"/>
                </a:gs>
                <a:gs pos="100000">
                  <a:srgbClr val="69FFFF"/>
                </a:gs>
              </a:gsLst>
              <a:lin ang="5400000" scaled="1"/>
            </a:gradFill>
            <a:ln w="57150" cmpd="sng">
              <a:solidFill>
                <a:srgbClr val="A6CAF0"/>
              </a:solidFill>
              <a:round/>
              <a:headEnd/>
              <a:tailEnd/>
            </a:ln>
          </xdr:spPr>
        </xdr:sp>
        <xdr:sp macro="" textlink="">
          <xdr:nvSpPr>
            <xdr:cNvPr id="10435" name="Freeform 437"/>
            <xdr:cNvSpPr>
              <a:spLocks/>
            </xdr:cNvSpPr>
          </xdr:nvSpPr>
          <xdr:spPr bwMode="auto">
            <a:xfrm>
              <a:off x="46" y="44"/>
              <a:ext cx="212" cy="134"/>
            </a:xfrm>
            <a:custGeom>
              <a:avLst/>
              <a:gdLst>
                <a:gd name="T0" fmla="*/ 14 w 212"/>
                <a:gd name="T1" fmla="*/ 134 h 134"/>
                <a:gd name="T2" fmla="*/ 38 w 212"/>
                <a:gd name="T3" fmla="*/ 125 h 134"/>
                <a:gd name="T4" fmla="*/ 212 w 212"/>
                <a:gd name="T5" fmla="*/ 27 h 134"/>
                <a:gd name="T6" fmla="*/ 212 w 212"/>
                <a:gd name="T7" fmla="*/ 0 h 134"/>
                <a:gd name="T8" fmla="*/ 0 w 212"/>
                <a:gd name="T9" fmla="*/ 117 h 134"/>
                <a:gd name="T10" fmla="*/ 14 w 212"/>
                <a:gd name="T11" fmla="*/ 134 h 134"/>
                <a:gd name="T12" fmla="*/ 0 60000 65536"/>
                <a:gd name="T13" fmla="*/ 0 60000 65536"/>
                <a:gd name="T14" fmla="*/ 0 60000 65536"/>
                <a:gd name="T15" fmla="*/ 0 60000 65536"/>
                <a:gd name="T16" fmla="*/ 0 60000 65536"/>
                <a:gd name="T17" fmla="*/ 0 60000 65536"/>
                <a:gd name="T18" fmla="*/ 0 w 212"/>
                <a:gd name="T19" fmla="*/ 0 h 134"/>
                <a:gd name="T20" fmla="*/ 212 w 212"/>
                <a:gd name="T21" fmla="*/ 134 h 134"/>
              </a:gdLst>
              <a:ahLst/>
              <a:cxnLst>
                <a:cxn ang="T12">
                  <a:pos x="T0" y="T1"/>
                </a:cxn>
                <a:cxn ang="T13">
                  <a:pos x="T2" y="T3"/>
                </a:cxn>
                <a:cxn ang="T14">
                  <a:pos x="T4" y="T5"/>
                </a:cxn>
                <a:cxn ang="T15">
                  <a:pos x="T6" y="T7"/>
                </a:cxn>
                <a:cxn ang="T16">
                  <a:pos x="T8" y="T9"/>
                </a:cxn>
                <a:cxn ang="T17">
                  <a:pos x="T10" y="T11"/>
                </a:cxn>
              </a:cxnLst>
              <a:rect l="T18" t="T19" r="T20" b="T21"/>
              <a:pathLst>
                <a:path w="212" h="134">
                  <a:moveTo>
                    <a:pt x="14" y="134"/>
                  </a:moveTo>
                  <a:lnTo>
                    <a:pt x="38" y="125"/>
                  </a:lnTo>
                  <a:lnTo>
                    <a:pt x="212" y="27"/>
                  </a:lnTo>
                  <a:lnTo>
                    <a:pt x="212" y="0"/>
                  </a:lnTo>
                  <a:lnTo>
                    <a:pt x="0" y="117"/>
                  </a:lnTo>
                  <a:lnTo>
                    <a:pt x="14" y="134"/>
                  </a:lnTo>
                  <a:close/>
                </a:path>
              </a:pathLst>
            </a:custGeom>
            <a:gradFill rotWithShape="1">
              <a:gsLst>
                <a:gs pos="0">
                  <a:srgbClr val="69FFFF"/>
                </a:gs>
                <a:gs pos="100000">
                  <a:srgbClr val="FFFFFF"/>
                </a:gs>
              </a:gsLst>
              <a:lin ang="5400000" scaled="1"/>
            </a:gradFill>
            <a:ln w="38100" cmpd="sng">
              <a:solidFill>
                <a:srgbClr val="A6CAF0"/>
              </a:solidFill>
              <a:round/>
              <a:headEnd/>
              <a:tailEnd/>
            </a:ln>
          </xdr:spPr>
        </xdr:sp>
        <xdr:sp macro="" textlink="">
          <xdr:nvSpPr>
            <xdr:cNvPr id="10436" name="Freeform 438"/>
            <xdr:cNvSpPr>
              <a:spLocks/>
            </xdr:cNvSpPr>
          </xdr:nvSpPr>
          <xdr:spPr bwMode="auto">
            <a:xfrm>
              <a:off x="79" y="188"/>
              <a:ext cx="17" cy="403"/>
            </a:xfrm>
            <a:custGeom>
              <a:avLst/>
              <a:gdLst>
                <a:gd name="T0" fmla="*/ 15 w 17"/>
                <a:gd name="T1" fmla="*/ 395 h 403"/>
                <a:gd name="T2" fmla="*/ 0 w 17"/>
                <a:gd name="T3" fmla="*/ 403 h 403"/>
                <a:gd name="T4" fmla="*/ 1 w 17"/>
                <a:gd name="T5" fmla="*/ 0 h 403"/>
                <a:gd name="T6" fmla="*/ 17 w 17"/>
                <a:gd name="T7" fmla="*/ 11 h 403"/>
                <a:gd name="T8" fmla="*/ 16 w 17"/>
                <a:gd name="T9" fmla="*/ 60 h 403"/>
                <a:gd name="T10" fmla="*/ 15 w 17"/>
                <a:gd name="T11" fmla="*/ 351 h 403"/>
                <a:gd name="T12" fmla="*/ 15 w 17"/>
                <a:gd name="T13" fmla="*/ 367 h 403"/>
                <a:gd name="T14" fmla="*/ 15 w 17"/>
                <a:gd name="T15" fmla="*/ 395 h 403"/>
                <a:gd name="T16" fmla="*/ 0 60000 65536"/>
                <a:gd name="T17" fmla="*/ 0 60000 65536"/>
                <a:gd name="T18" fmla="*/ 0 60000 65536"/>
                <a:gd name="T19" fmla="*/ 0 60000 65536"/>
                <a:gd name="T20" fmla="*/ 0 60000 65536"/>
                <a:gd name="T21" fmla="*/ 0 60000 65536"/>
                <a:gd name="T22" fmla="*/ 0 60000 65536"/>
                <a:gd name="T23" fmla="*/ 0 60000 65536"/>
                <a:gd name="T24" fmla="*/ 0 w 17"/>
                <a:gd name="T25" fmla="*/ 0 h 403"/>
                <a:gd name="T26" fmla="*/ 17 w 17"/>
                <a:gd name="T27" fmla="*/ 403 h 40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7" h="403">
                  <a:moveTo>
                    <a:pt x="15" y="395"/>
                  </a:moveTo>
                  <a:lnTo>
                    <a:pt x="0" y="403"/>
                  </a:lnTo>
                  <a:lnTo>
                    <a:pt x="1" y="0"/>
                  </a:lnTo>
                  <a:lnTo>
                    <a:pt x="17" y="11"/>
                  </a:lnTo>
                  <a:lnTo>
                    <a:pt x="16" y="60"/>
                  </a:lnTo>
                  <a:lnTo>
                    <a:pt x="15" y="351"/>
                  </a:lnTo>
                  <a:lnTo>
                    <a:pt x="15" y="367"/>
                  </a:lnTo>
                  <a:lnTo>
                    <a:pt x="15" y="395"/>
                  </a:lnTo>
                  <a:close/>
                </a:path>
              </a:pathLst>
            </a:custGeom>
            <a:gradFill rotWithShape="1">
              <a:gsLst>
                <a:gs pos="0">
                  <a:srgbClr val="FFFFFF"/>
                </a:gs>
                <a:gs pos="100000">
                  <a:srgbClr val="69FFFF"/>
                </a:gs>
              </a:gsLst>
              <a:lin ang="18900000" scaled="1"/>
            </a:gradFill>
            <a:ln w="38100" cmpd="sng">
              <a:solidFill>
                <a:srgbClr val="A6CAF0"/>
              </a:solidFill>
              <a:round/>
              <a:headEnd/>
              <a:tailEnd/>
            </a:ln>
          </xdr:spPr>
        </xdr:sp>
        <xdr:sp macro="" textlink="">
          <xdr:nvSpPr>
            <xdr:cNvPr id="10437" name="Freeform 439"/>
            <xdr:cNvSpPr>
              <a:spLocks/>
            </xdr:cNvSpPr>
          </xdr:nvSpPr>
          <xdr:spPr bwMode="auto">
            <a:xfrm>
              <a:off x="53" y="487"/>
              <a:ext cx="210" cy="145"/>
            </a:xfrm>
            <a:custGeom>
              <a:avLst/>
              <a:gdLst>
                <a:gd name="T0" fmla="*/ 18 w 210"/>
                <a:gd name="T1" fmla="*/ 110 h 145"/>
                <a:gd name="T2" fmla="*/ 210 w 210"/>
                <a:gd name="T3" fmla="*/ 0 h 145"/>
                <a:gd name="T4" fmla="*/ 210 w 210"/>
                <a:gd name="T5" fmla="*/ 29 h 145"/>
                <a:gd name="T6" fmla="*/ 0 w 210"/>
                <a:gd name="T7" fmla="*/ 145 h 145"/>
                <a:gd name="T8" fmla="*/ 18 w 210"/>
                <a:gd name="T9" fmla="*/ 110 h 145"/>
                <a:gd name="T10" fmla="*/ 0 60000 65536"/>
                <a:gd name="T11" fmla="*/ 0 60000 65536"/>
                <a:gd name="T12" fmla="*/ 0 60000 65536"/>
                <a:gd name="T13" fmla="*/ 0 60000 65536"/>
                <a:gd name="T14" fmla="*/ 0 60000 65536"/>
                <a:gd name="T15" fmla="*/ 0 w 210"/>
                <a:gd name="T16" fmla="*/ 0 h 145"/>
                <a:gd name="T17" fmla="*/ 210 w 210"/>
                <a:gd name="T18" fmla="*/ 145 h 145"/>
              </a:gdLst>
              <a:ahLst/>
              <a:cxnLst>
                <a:cxn ang="T10">
                  <a:pos x="T0" y="T1"/>
                </a:cxn>
                <a:cxn ang="T11">
                  <a:pos x="T2" y="T3"/>
                </a:cxn>
                <a:cxn ang="T12">
                  <a:pos x="T4" y="T5"/>
                </a:cxn>
                <a:cxn ang="T13">
                  <a:pos x="T6" y="T7"/>
                </a:cxn>
                <a:cxn ang="T14">
                  <a:pos x="T8" y="T9"/>
                </a:cxn>
              </a:cxnLst>
              <a:rect l="T15" t="T16" r="T17" b="T18"/>
              <a:pathLst>
                <a:path w="210" h="145">
                  <a:moveTo>
                    <a:pt x="18" y="110"/>
                  </a:moveTo>
                  <a:lnTo>
                    <a:pt x="210" y="0"/>
                  </a:lnTo>
                  <a:lnTo>
                    <a:pt x="210" y="29"/>
                  </a:lnTo>
                  <a:lnTo>
                    <a:pt x="0" y="145"/>
                  </a:lnTo>
                  <a:lnTo>
                    <a:pt x="18" y="110"/>
                  </a:lnTo>
                  <a:close/>
                </a:path>
              </a:pathLst>
            </a:custGeom>
            <a:gradFill rotWithShape="1">
              <a:gsLst>
                <a:gs pos="0">
                  <a:srgbClr val="FFFFFF"/>
                </a:gs>
                <a:gs pos="100000">
                  <a:srgbClr val="00FFFF"/>
                </a:gs>
              </a:gsLst>
              <a:lin ang="2700000" scaled="1"/>
            </a:gradFill>
            <a:ln w="38100" cmpd="sng">
              <a:solidFill>
                <a:srgbClr val="A6CAF0"/>
              </a:solidFill>
              <a:round/>
              <a:headEnd/>
              <a:tailEnd/>
            </a:ln>
          </xdr:spPr>
        </xdr:sp>
        <xdr:sp macro="" textlink="">
          <xdr:nvSpPr>
            <xdr:cNvPr id="10438" name="Freeform 440"/>
            <xdr:cNvSpPr>
              <a:spLocks/>
            </xdr:cNvSpPr>
          </xdr:nvSpPr>
          <xdr:spPr bwMode="auto">
            <a:xfrm>
              <a:off x="67" y="543"/>
              <a:ext cx="229" cy="107"/>
            </a:xfrm>
            <a:custGeom>
              <a:avLst/>
              <a:gdLst>
                <a:gd name="T0" fmla="*/ 37 w 229"/>
                <a:gd name="T1" fmla="*/ 107 h 107"/>
                <a:gd name="T2" fmla="*/ 0 w 229"/>
                <a:gd name="T3" fmla="*/ 107 h 107"/>
                <a:gd name="T4" fmla="*/ 192 w 229"/>
                <a:gd name="T5" fmla="*/ 0 h 107"/>
                <a:gd name="T6" fmla="*/ 229 w 229"/>
                <a:gd name="T7" fmla="*/ 0 h 107"/>
                <a:gd name="T8" fmla="*/ 37 w 229"/>
                <a:gd name="T9" fmla="*/ 107 h 107"/>
                <a:gd name="T10" fmla="*/ 0 60000 65536"/>
                <a:gd name="T11" fmla="*/ 0 60000 65536"/>
                <a:gd name="T12" fmla="*/ 0 60000 65536"/>
                <a:gd name="T13" fmla="*/ 0 60000 65536"/>
                <a:gd name="T14" fmla="*/ 0 60000 65536"/>
                <a:gd name="T15" fmla="*/ 0 w 229"/>
                <a:gd name="T16" fmla="*/ 0 h 107"/>
                <a:gd name="T17" fmla="*/ 229 w 229"/>
                <a:gd name="T18" fmla="*/ 107 h 107"/>
              </a:gdLst>
              <a:ahLst/>
              <a:cxnLst>
                <a:cxn ang="T10">
                  <a:pos x="T0" y="T1"/>
                </a:cxn>
                <a:cxn ang="T11">
                  <a:pos x="T2" y="T3"/>
                </a:cxn>
                <a:cxn ang="T12">
                  <a:pos x="T4" y="T5"/>
                </a:cxn>
                <a:cxn ang="T13">
                  <a:pos x="T6" y="T7"/>
                </a:cxn>
                <a:cxn ang="T14">
                  <a:pos x="T8" y="T9"/>
                </a:cxn>
              </a:cxnLst>
              <a:rect l="T15" t="T16" r="T17" b="T18"/>
              <a:pathLst>
                <a:path w="229" h="107">
                  <a:moveTo>
                    <a:pt x="37" y="107"/>
                  </a:moveTo>
                  <a:lnTo>
                    <a:pt x="0" y="107"/>
                  </a:lnTo>
                  <a:lnTo>
                    <a:pt x="192" y="0"/>
                  </a:lnTo>
                  <a:lnTo>
                    <a:pt x="229" y="0"/>
                  </a:lnTo>
                  <a:lnTo>
                    <a:pt x="37" y="107"/>
                  </a:lnTo>
                  <a:close/>
                </a:path>
              </a:pathLst>
            </a:custGeom>
            <a:gradFill rotWithShape="1">
              <a:gsLst>
                <a:gs pos="0">
                  <a:srgbClr val="FFFFFF"/>
                </a:gs>
                <a:gs pos="100000">
                  <a:srgbClr val="C0C0C0"/>
                </a:gs>
              </a:gsLst>
              <a:lin ang="5400000" scaled="1"/>
            </a:gradFill>
            <a:ln w="9525">
              <a:solidFill>
                <a:srgbClr val="000000"/>
              </a:solidFill>
              <a:round/>
              <a:headEnd/>
              <a:tailEnd/>
            </a:ln>
          </xdr:spPr>
        </xdr:sp>
        <xdr:sp macro="" textlink="">
          <xdr:nvSpPr>
            <xdr:cNvPr id="10439" name="Freeform 441"/>
            <xdr:cNvSpPr>
              <a:spLocks/>
            </xdr:cNvSpPr>
          </xdr:nvSpPr>
          <xdr:spPr bwMode="auto">
            <a:xfrm>
              <a:off x="69" y="519"/>
              <a:ext cx="191" cy="130"/>
            </a:xfrm>
            <a:custGeom>
              <a:avLst/>
              <a:gdLst>
                <a:gd name="T0" fmla="*/ 0 w 191"/>
                <a:gd name="T1" fmla="*/ 106 h 130"/>
                <a:gd name="T2" fmla="*/ 191 w 191"/>
                <a:gd name="T3" fmla="*/ 0 h 130"/>
                <a:gd name="T4" fmla="*/ 191 w 191"/>
                <a:gd name="T5" fmla="*/ 24 h 130"/>
                <a:gd name="T6" fmla="*/ 0 w 191"/>
                <a:gd name="T7" fmla="*/ 130 h 130"/>
                <a:gd name="T8" fmla="*/ 0 w 191"/>
                <a:gd name="T9" fmla="*/ 106 h 130"/>
                <a:gd name="T10" fmla="*/ 0 60000 65536"/>
                <a:gd name="T11" fmla="*/ 0 60000 65536"/>
                <a:gd name="T12" fmla="*/ 0 60000 65536"/>
                <a:gd name="T13" fmla="*/ 0 60000 65536"/>
                <a:gd name="T14" fmla="*/ 0 60000 65536"/>
                <a:gd name="T15" fmla="*/ 0 w 191"/>
                <a:gd name="T16" fmla="*/ 0 h 130"/>
                <a:gd name="T17" fmla="*/ 191 w 191"/>
                <a:gd name="T18" fmla="*/ 130 h 130"/>
              </a:gdLst>
              <a:ahLst/>
              <a:cxnLst>
                <a:cxn ang="T10">
                  <a:pos x="T0" y="T1"/>
                </a:cxn>
                <a:cxn ang="T11">
                  <a:pos x="T2" y="T3"/>
                </a:cxn>
                <a:cxn ang="T12">
                  <a:pos x="T4" y="T5"/>
                </a:cxn>
                <a:cxn ang="T13">
                  <a:pos x="T6" y="T7"/>
                </a:cxn>
                <a:cxn ang="T14">
                  <a:pos x="T8" y="T9"/>
                </a:cxn>
              </a:cxnLst>
              <a:rect l="T15" t="T16" r="T17" b="T18"/>
              <a:pathLst>
                <a:path w="191" h="130">
                  <a:moveTo>
                    <a:pt x="0" y="106"/>
                  </a:moveTo>
                  <a:lnTo>
                    <a:pt x="191" y="0"/>
                  </a:lnTo>
                  <a:lnTo>
                    <a:pt x="191" y="24"/>
                  </a:lnTo>
                  <a:lnTo>
                    <a:pt x="0" y="130"/>
                  </a:lnTo>
                  <a:lnTo>
                    <a:pt x="0" y="106"/>
                  </a:lnTo>
                  <a:close/>
                </a:path>
              </a:pathLst>
            </a:custGeom>
            <a:gradFill rotWithShape="1">
              <a:gsLst>
                <a:gs pos="0">
                  <a:srgbClr val="FFFFFF"/>
                </a:gs>
                <a:gs pos="100000">
                  <a:srgbClr val="C0C0C0"/>
                </a:gs>
              </a:gsLst>
              <a:lin ang="2700000" scaled="1"/>
            </a:gradFill>
            <a:ln w="9525">
              <a:solidFill>
                <a:srgbClr val="000000"/>
              </a:solidFill>
              <a:round/>
              <a:headEnd/>
              <a:tailEnd/>
            </a:ln>
          </xdr:spPr>
        </xdr:sp>
        <xdr:sp macro="" textlink="">
          <xdr:nvSpPr>
            <xdr:cNvPr id="10440" name="Freeform 442"/>
            <xdr:cNvSpPr>
              <a:spLocks/>
            </xdr:cNvSpPr>
          </xdr:nvSpPr>
          <xdr:spPr bwMode="auto">
            <a:xfrm>
              <a:off x="104" y="543"/>
              <a:ext cx="192" cy="111"/>
            </a:xfrm>
            <a:custGeom>
              <a:avLst/>
              <a:gdLst>
                <a:gd name="T0" fmla="*/ 0 w 192"/>
                <a:gd name="T1" fmla="*/ 107 h 111"/>
                <a:gd name="T2" fmla="*/ 192 w 192"/>
                <a:gd name="T3" fmla="*/ 0 h 111"/>
                <a:gd name="T4" fmla="*/ 192 w 192"/>
                <a:gd name="T5" fmla="*/ 4 h 111"/>
                <a:gd name="T6" fmla="*/ 0 w 192"/>
                <a:gd name="T7" fmla="*/ 111 h 111"/>
                <a:gd name="T8" fmla="*/ 0 w 192"/>
                <a:gd name="T9" fmla="*/ 107 h 111"/>
                <a:gd name="T10" fmla="*/ 0 60000 65536"/>
                <a:gd name="T11" fmla="*/ 0 60000 65536"/>
                <a:gd name="T12" fmla="*/ 0 60000 65536"/>
                <a:gd name="T13" fmla="*/ 0 60000 65536"/>
                <a:gd name="T14" fmla="*/ 0 60000 65536"/>
                <a:gd name="T15" fmla="*/ 0 w 192"/>
                <a:gd name="T16" fmla="*/ 0 h 111"/>
                <a:gd name="T17" fmla="*/ 192 w 192"/>
                <a:gd name="T18" fmla="*/ 111 h 111"/>
              </a:gdLst>
              <a:ahLst/>
              <a:cxnLst>
                <a:cxn ang="T10">
                  <a:pos x="T0" y="T1"/>
                </a:cxn>
                <a:cxn ang="T11">
                  <a:pos x="T2" y="T3"/>
                </a:cxn>
                <a:cxn ang="T12">
                  <a:pos x="T4" y="T5"/>
                </a:cxn>
                <a:cxn ang="T13">
                  <a:pos x="T6" y="T7"/>
                </a:cxn>
                <a:cxn ang="T14">
                  <a:pos x="T8" y="T9"/>
                </a:cxn>
              </a:cxnLst>
              <a:rect l="T15" t="T16" r="T17" b="T18"/>
              <a:pathLst>
                <a:path w="192" h="111">
                  <a:moveTo>
                    <a:pt x="0" y="107"/>
                  </a:moveTo>
                  <a:lnTo>
                    <a:pt x="192" y="0"/>
                  </a:lnTo>
                  <a:lnTo>
                    <a:pt x="192" y="4"/>
                  </a:lnTo>
                  <a:lnTo>
                    <a:pt x="0" y="111"/>
                  </a:lnTo>
                  <a:lnTo>
                    <a:pt x="0" y="107"/>
                  </a:lnTo>
                  <a:close/>
                </a:path>
              </a:pathLst>
            </a:custGeom>
            <a:solidFill>
              <a:srgbClr val="969696"/>
            </a:solidFill>
            <a:ln w="9525">
              <a:solidFill>
                <a:srgbClr val="000000"/>
              </a:solidFill>
              <a:round/>
              <a:headEnd/>
              <a:tailEnd/>
            </a:ln>
          </xdr:spPr>
        </xdr:sp>
        <xdr:sp macro="" textlink="">
          <xdr:nvSpPr>
            <xdr:cNvPr id="10441" name="Freeform 443"/>
            <xdr:cNvSpPr>
              <a:spLocks/>
            </xdr:cNvSpPr>
          </xdr:nvSpPr>
          <xdr:spPr bwMode="auto">
            <a:xfrm>
              <a:off x="65" y="626"/>
              <a:ext cx="40" cy="28"/>
            </a:xfrm>
            <a:custGeom>
              <a:avLst/>
              <a:gdLst>
                <a:gd name="T0" fmla="*/ 4 w 40"/>
                <a:gd name="T1" fmla="*/ 0 h 28"/>
                <a:gd name="T2" fmla="*/ 4 w 40"/>
                <a:gd name="T3" fmla="*/ 24 h 28"/>
                <a:gd name="T4" fmla="*/ 40 w 40"/>
                <a:gd name="T5" fmla="*/ 24 h 28"/>
                <a:gd name="T6" fmla="*/ 40 w 40"/>
                <a:gd name="T7" fmla="*/ 28 h 28"/>
                <a:gd name="T8" fmla="*/ 0 w 40"/>
                <a:gd name="T9" fmla="*/ 28 h 28"/>
                <a:gd name="T10" fmla="*/ 0 w 40"/>
                <a:gd name="T11" fmla="*/ 0 h 28"/>
                <a:gd name="T12" fmla="*/ 4 w 40"/>
                <a:gd name="T13" fmla="*/ 0 h 28"/>
                <a:gd name="T14" fmla="*/ 0 60000 65536"/>
                <a:gd name="T15" fmla="*/ 0 60000 65536"/>
                <a:gd name="T16" fmla="*/ 0 60000 65536"/>
                <a:gd name="T17" fmla="*/ 0 60000 65536"/>
                <a:gd name="T18" fmla="*/ 0 60000 65536"/>
                <a:gd name="T19" fmla="*/ 0 60000 65536"/>
                <a:gd name="T20" fmla="*/ 0 60000 65536"/>
                <a:gd name="T21" fmla="*/ 0 w 40"/>
                <a:gd name="T22" fmla="*/ 0 h 28"/>
                <a:gd name="T23" fmla="*/ 40 w 40"/>
                <a:gd name="T24" fmla="*/ 28 h 2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0" h="28">
                  <a:moveTo>
                    <a:pt x="4" y="0"/>
                  </a:moveTo>
                  <a:lnTo>
                    <a:pt x="4" y="24"/>
                  </a:lnTo>
                  <a:lnTo>
                    <a:pt x="40" y="24"/>
                  </a:lnTo>
                  <a:lnTo>
                    <a:pt x="40" y="28"/>
                  </a:lnTo>
                  <a:lnTo>
                    <a:pt x="0" y="28"/>
                  </a:lnTo>
                  <a:lnTo>
                    <a:pt x="0" y="0"/>
                  </a:lnTo>
                  <a:lnTo>
                    <a:pt x="4" y="0"/>
                  </a:lnTo>
                  <a:close/>
                </a:path>
              </a:pathLst>
            </a:custGeom>
            <a:solidFill>
              <a:srgbClr val="969696"/>
            </a:solidFill>
            <a:ln w="9525">
              <a:solidFill>
                <a:srgbClr val="000000"/>
              </a:solidFill>
              <a:round/>
              <a:headEnd/>
              <a:tailEnd/>
            </a:ln>
          </xdr:spPr>
        </xdr:sp>
        <xdr:sp macro="" textlink="">
          <xdr:nvSpPr>
            <xdr:cNvPr id="10442" name="Rectangle 444"/>
            <xdr:cNvSpPr>
              <a:spLocks noChangeArrowheads="1"/>
            </xdr:cNvSpPr>
          </xdr:nvSpPr>
          <xdr:spPr bwMode="auto">
            <a:xfrm>
              <a:off x="45" y="159"/>
              <a:ext cx="41" cy="473"/>
            </a:xfrm>
            <a:prstGeom prst="rect">
              <a:avLst/>
            </a:prstGeom>
            <a:solidFill>
              <a:srgbClr val="69FFFF"/>
            </a:solidFill>
            <a:ln w="19050">
              <a:solidFill>
                <a:srgbClr val="000000"/>
              </a:solidFill>
              <a:miter lim="800000"/>
              <a:headEnd/>
              <a:tailEnd/>
            </a:ln>
          </xdr:spPr>
        </xdr:sp>
        <xdr:sp macro="" textlink="">
          <xdr:nvSpPr>
            <xdr:cNvPr id="10443" name="Line 445"/>
            <xdr:cNvSpPr>
              <a:spLocks noChangeShapeType="1"/>
            </xdr:cNvSpPr>
          </xdr:nvSpPr>
          <xdr:spPr bwMode="auto">
            <a:xfrm flipH="1">
              <a:off x="297" y="120"/>
              <a:ext cx="0" cy="324"/>
            </a:xfrm>
            <a:prstGeom prst="line">
              <a:avLst/>
            </a:prstGeom>
            <a:noFill/>
            <a:ln w="19050">
              <a:solidFill>
                <a:srgbClr val="000000"/>
              </a:solidFill>
              <a:round/>
              <a:headEnd/>
              <a:tailEnd/>
            </a:ln>
          </xdr:spPr>
        </xdr:sp>
        <xdr:sp macro="" textlink="">
          <xdr:nvSpPr>
            <xdr:cNvPr id="10444" name="Line 446"/>
            <xdr:cNvSpPr>
              <a:spLocks noChangeShapeType="1"/>
            </xdr:cNvSpPr>
          </xdr:nvSpPr>
          <xdr:spPr bwMode="auto">
            <a:xfrm>
              <a:off x="44" y="158"/>
              <a:ext cx="0" cy="0"/>
            </a:xfrm>
            <a:prstGeom prst="line">
              <a:avLst/>
            </a:prstGeom>
            <a:noFill/>
            <a:ln w="9525">
              <a:solidFill>
                <a:srgbClr val="000000"/>
              </a:solidFill>
              <a:round/>
              <a:headEnd/>
              <a:tailEnd/>
            </a:ln>
          </xdr:spPr>
        </xdr:sp>
        <xdr:sp macro="" textlink="">
          <xdr:nvSpPr>
            <xdr:cNvPr id="10445" name="Line 447"/>
            <xdr:cNvSpPr>
              <a:spLocks noChangeShapeType="1"/>
            </xdr:cNvSpPr>
          </xdr:nvSpPr>
          <xdr:spPr bwMode="auto">
            <a:xfrm flipV="1">
              <a:off x="45" y="41"/>
              <a:ext cx="214" cy="118"/>
            </a:xfrm>
            <a:prstGeom prst="line">
              <a:avLst/>
            </a:prstGeom>
            <a:noFill/>
            <a:ln w="19050">
              <a:solidFill>
                <a:srgbClr val="000000"/>
              </a:solidFill>
              <a:round/>
              <a:headEnd/>
              <a:tailEnd/>
            </a:ln>
          </xdr:spPr>
        </xdr:sp>
        <xdr:grpSp>
          <xdr:nvGrpSpPr>
            <xdr:cNvPr id="10446" name="Group 448"/>
            <xdr:cNvGrpSpPr>
              <a:grpSpLocks/>
            </xdr:cNvGrpSpPr>
          </xdr:nvGrpSpPr>
          <xdr:grpSpPr bwMode="auto">
            <a:xfrm>
              <a:off x="15" y="22"/>
              <a:ext cx="236" cy="135"/>
              <a:chOff x="15" y="71"/>
              <a:chExt cx="236" cy="135"/>
            </a:xfrm>
          </xdr:grpSpPr>
          <xdr:sp macro="" textlink="">
            <xdr:nvSpPr>
              <xdr:cNvPr id="10448" name="Freeform 449"/>
              <xdr:cNvSpPr>
                <a:spLocks/>
              </xdr:cNvSpPr>
            </xdr:nvSpPr>
            <xdr:spPr bwMode="auto">
              <a:xfrm>
                <a:off x="59" y="71"/>
                <a:ext cx="192" cy="134"/>
              </a:xfrm>
              <a:custGeom>
                <a:avLst/>
                <a:gdLst>
                  <a:gd name="T0" fmla="*/ 0 w 192"/>
                  <a:gd name="T1" fmla="*/ 107 h 134"/>
                  <a:gd name="T2" fmla="*/ 192 w 192"/>
                  <a:gd name="T3" fmla="*/ 0 h 134"/>
                  <a:gd name="T4" fmla="*/ 192 w 192"/>
                  <a:gd name="T5" fmla="*/ 28 h 134"/>
                  <a:gd name="T6" fmla="*/ 0 w 192"/>
                  <a:gd name="T7" fmla="*/ 134 h 134"/>
                  <a:gd name="T8" fmla="*/ 0 w 192"/>
                  <a:gd name="T9" fmla="*/ 107 h 134"/>
                  <a:gd name="T10" fmla="*/ 0 60000 65536"/>
                  <a:gd name="T11" fmla="*/ 0 60000 65536"/>
                  <a:gd name="T12" fmla="*/ 0 60000 65536"/>
                  <a:gd name="T13" fmla="*/ 0 60000 65536"/>
                  <a:gd name="T14" fmla="*/ 0 60000 65536"/>
                  <a:gd name="T15" fmla="*/ 0 w 192"/>
                  <a:gd name="T16" fmla="*/ 0 h 134"/>
                  <a:gd name="T17" fmla="*/ 192 w 192"/>
                  <a:gd name="T18" fmla="*/ 134 h 134"/>
                </a:gdLst>
                <a:ahLst/>
                <a:cxnLst>
                  <a:cxn ang="T10">
                    <a:pos x="T0" y="T1"/>
                  </a:cxn>
                  <a:cxn ang="T11">
                    <a:pos x="T2" y="T3"/>
                  </a:cxn>
                  <a:cxn ang="T12">
                    <a:pos x="T4" y="T5"/>
                  </a:cxn>
                  <a:cxn ang="T13">
                    <a:pos x="T6" y="T7"/>
                  </a:cxn>
                  <a:cxn ang="T14">
                    <a:pos x="T8" y="T9"/>
                  </a:cxn>
                </a:cxnLst>
                <a:rect l="T15" t="T16" r="T17" b="T18"/>
                <a:pathLst>
                  <a:path w="192" h="134">
                    <a:moveTo>
                      <a:pt x="0" y="107"/>
                    </a:moveTo>
                    <a:lnTo>
                      <a:pt x="192" y="0"/>
                    </a:lnTo>
                    <a:lnTo>
                      <a:pt x="192" y="28"/>
                    </a:lnTo>
                    <a:lnTo>
                      <a:pt x="0" y="134"/>
                    </a:lnTo>
                    <a:lnTo>
                      <a:pt x="0" y="107"/>
                    </a:lnTo>
                    <a:close/>
                  </a:path>
                </a:pathLst>
              </a:custGeom>
              <a:gradFill rotWithShape="1">
                <a:gsLst>
                  <a:gs pos="0">
                    <a:srgbClr val="C0C0C0"/>
                  </a:gs>
                  <a:gs pos="100000">
                    <a:srgbClr val="FFFFFF"/>
                  </a:gs>
                </a:gsLst>
                <a:lin ang="2700000" scaled="1"/>
              </a:gradFill>
              <a:ln w="9525">
                <a:solidFill>
                  <a:srgbClr val="000000"/>
                </a:solidFill>
                <a:round/>
                <a:headEnd/>
                <a:tailEnd/>
              </a:ln>
            </xdr:spPr>
          </xdr:sp>
          <xdr:sp macro="" textlink="">
            <xdr:nvSpPr>
              <xdr:cNvPr id="10449" name="Freeform 450"/>
              <xdr:cNvSpPr>
                <a:spLocks/>
              </xdr:cNvSpPr>
            </xdr:nvSpPr>
            <xdr:spPr bwMode="auto">
              <a:xfrm>
                <a:off x="15" y="71"/>
                <a:ext cx="236" cy="107"/>
              </a:xfrm>
              <a:custGeom>
                <a:avLst/>
                <a:gdLst>
                  <a:gd name="T0" fmla="*/ 44 w 236"/>
                  <a:gd name="T1" fmla="*/ 107 h 107"/>
                  <a:gd name="T2" fmla="*/ 0 w 236"/>
                  <a:gd name="T3" fmla="*/ 107 h 107"/>
                  <a:gd name="T4" fmla="*/ 195 w 236"/>
                  <a:gd name="T5" fmla="*/ 0 h 107"/>
                  <a:gd name="T6" fmla="*/ 236 w 236"/>
                  <a:gd name="T7" fmla="*/ 0 h 107"/>
                  <a:gd name="T8" fmla="*/ 44 w 236"/>
                  <a:gd name="T9" fmla="*/ 107 h 107"/>
                  <a:gd name="T10" fmla="*/ 0 60000 65536"/>
                  <a:gd name="T11" fmla="*/ 0 60000 65536"/>
                  <a:gd name="T12" fmla="*/ 0 60000 65536"/>
                  <a:gd name="T13" fmla="*/ 0 60000 65536"/>
                  <a:gd name="T14" fmla="*/ 0 60000 65536"/>
                  <a:gd name="T15" fmla="*/ 0 w 236"/>
                  <a:gd name="T16" fmla="*/ 0 h 107"/>
                  <a:gd name="T17" fmla="*/ 236 w 236"/>
                  <a:gd name="T18" fmla="*/ 107 h 107"/>
                </a:gdLst>
                <a:ahLst/>
                <a:cxnLst>
                  <a:cxn ang="T10">
                    <a:pos x="T0" y="T1"/>
                  </a:cxn>
                  <a:cxn ang="T11">
                    <a:pos x="T2" y="T3"/>
                  </a:cxn>
                  <a:cxn ang="T12">
                    <a:pos x="T4" y="T5"/>
                  </a:cxn>
                  <a:cxn ang="T13">
                    <a:pos x="T6" y="T7"/>
                  </a:cxn>
                  <a:cxn ang="T14">
                    <a:pos x="T8" y="T9"/>
                  </a:cxn>
                </a:cxnLst>
                <a:rect l="T15" t="T16" r="T17" b="T18"/>
                <a:pathLst>
                  <a:path w="236" h="107">
                    <a:moveTo>
                      <a:pt x="44" y="107"/>
                    </a:moveTo>
                    <a:lnTo>
                      <a:pt x="0" y="107"/>
                    </a:lnTo>
                    <a:lnTo>
                      <a:pt x="195" y="0"/>
                    </a:lnTo>
                    <a:lnTo>
                      <a:pt x="236" y="0"/>
                    </a:lnTo>
                    <a:lnTo>
                      <a:pt x="44" y="107"/>
                    </a:lnTo>
                    <a:close/>
                  </a:path>
                </a:pathLst>
              </a:custGeom>
              <a:gradFill rotWithShape="1">
                <a:gsLst>
                  <a:gs pos="0">
                    <a:srgbClr val="FFFFFF"/>
                  </a:gs>
                  <a:gs pos="100000">
                    <a:srgbClr val="C0C0C0"/>
                  </a:gs>
                </a:gsLst>
                <a:lin ang="5400000" scaled="1"/>
              </a:gradFill>
              <a:ln w="9525">
                <a:solidFill>
                  <a:srgbClr val="000000"/>
                </a:solidFill>
                <a:round/>
                <a:headEnd/>
                <a:tailEnd/>
              </a:ln>
            </xdr:spPr>
          </xdr:sp>
          <xdr:sp macro="" textlink="">
            <xdr:nvSpPr>
              <xdr:cNvPr id="10450" name="Freeform 451"/>
              <xdr:cNvSpPr>
                <a:spLocks/>
              </xdr:cNvSpPr>
            </xdr:nvSpPr>
            <xdr:spPr bwMode="auto">
              <a:xfrm>
                <a:off x="15" y="178"/>
                <a:ext cx="45" cy="28"/>
              </a:xfrm>
              <a:custGeom>
                <a:avLst/>
                <a:gdLst>
                  <a:gd name="T0" fmla="*/ 41 w 45"/>
                  <a:gd name="T1" fmla="*/ 28 h 28"/>
                  <a:gd name="T2" fmla="*/ 41 w 45"/>
                  <a:gd name="T3" fmla="*/ 3 h 28"/>
                  <a:gd name="T4" fmla="*/ 0 w 45"/>
                  <a:gd name="T5" fmla="*/ 3 h 28"/>
                  <a:gd name="T6" fmla="*/ 0 w 45"/>
                  <a:gd name="T7" fmla="*/ 0 h 28"/>
                  <a:gd name="T8" fmla="*/ 45 w 45"/>
                  <a:gd name="T9" fmla="*/ 0 h 28"/>
                  <a:gd name="T10" fmla="*/ 45 w 45"/>
                  <a:gd name="T11" fmla="*/ 28 h 28"/>
                  <a:gd name="T12" fmla="*/ 41 w 45"/>
                  <a:gd name="T13" fmla="*/ 28 h 28"/>
                  <a:gd name="T14" fmla="*/ 0 60000 65536"/>
                  <a:gd name="T15" fmla="*/ 0 60000 65536"/>
                  <a:gd name="T16" fmla="*/ 0 60000 65536"/>
                  <a:gd name="T17" fmla="*/ 0 60000 65536"/>
                  <a:gd name="T18" fmla="*/ 0 60000 65536"/>
                  <a:gd name="T19" fmla="*/ 0 60000 65536"/>
                  <a:gd name="T20" fmla="*/ 0 60000 65536"/>
                  <a:gd name="T21" fmla="*/ 0 w 45"/>
                  <a:gd name="T22" fmla="*/ 0 h 28"/>
                  <a:gd name="T23" fmla="*/ 45 w 45"/>
                  <a:gd name="T24" fmla="*/ 28 h 2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5" h="28">
                    <a:moveTo>
                      <a:pt x="41" y="28"/>
                    </a:moveTo>
                    <a:lnTo>
                      <a:pt x="41" y="3"/>
                    </a:lnTo>
                    <a:lnTo>
                      <a:pt x="0" y="3"/>
                    </a:lnTo>
                    <a:lnTo>
                      <a:pt x="0" y="0"/>
                    </a:lnTo>
                    <a:lnTo>
                      <a:pt x="45" y="0"/>
                    </a:lnTo>
                    <a:lnTo>
                      <a:pt x="45" y="28"/>
                    </a:lnTo>
                    <a:lnTo>
                      <a:pt x="41" y="28"/>
                    </a:lnTo>
                    <a:close/>
                  </a:path>
                </a:pathLst>
              </a:custGeom>
              <a:solidFill>
                <a:srgbClr val="969696"/>
              </a:solidFill>
              <a:ln w="9525">
                <a:solidFill>
                  <a:srgbClr val="000000"/>
                </a:solidFill>
                <a:round/>
                <a:headEnd/>
                <a:tailEnd/>
              </a:ln>
            </xdr:spPr>
          </xdr:sp>
        </xdr:grpSp>
        <xdr:sp macro="" textlink="">
          <xdr:nvSpPr>
            <xdr:cNvPr id="10447" name="Freeform 452"/>
            <xdr:cNvSpPr>
              <a:spLocks/>
            </xdr:cNvSpPr>
          </xdr:nvSpPr>
          <xdr:spPr bwMode="auto">
            <a:xfrm>
              <a:off x="96" y="89"/>
              <a:ext cx="197" cy="494"/>
            </a:xfrm>
            <a:custGeom>
              <a:avLst/>
              <a:gdLst>
                <a:gd name="T0" fmla="*/ 0 w 197"/>
                <a:gd name="T1" fmla="*/ 188 h 494"/>
                <a:gd name="T2" fmla="*/ 0 w 197"/>
                <a:gd name="T3" fmla="*/ 172 h 494"/>
                <a:gd name="T4" fmla="*/ 0 w 197"/>
                <a:gd name="T5" fmla="*/ 121 h 494"/>
                <a:gd name="T6" fmla="*/ 1 w 197"/>
                <a:gd name="T7" fmla="*/ 109 h 494"/>
                <a:gd name="T8" fmla="*/ 8 w 197"/>
                <a:gd name="T9" fmla="*/ 106 h 494"/>
                <a:gd name="T10" fmla="*/ 23 w 197"/>
                <a:gd name="T11" fmla="*/ 97 h 494"/>
                <a:gd name="T12" fmla="*/ 77 w 197"/>
                <a:gd name="T13" fmla="*/ 67 h 494"/>
                <a:gd name="T14" fmla="*/ 120 w 197"/>
                <a:gd name="T15" fmla="*/ 42 h 494"/>
                <a:gd name="T16" fmla="*/ 146 w 197"/>
                <a:gd name="T17" fmla="*/ 27 h 494"/>
                <a:gd name="T18" fmla="*/ 172 w 197"/>
                <a:gd name="T19" fmla="*/ 13 h 494"/>
                <a:gd name="T20" fmla="*/ 186 w 197"/>
                <a:gd name="T21" fmla="*/ 4 h 494"/>
                <a:gd name="T22" fmla="*/ 194 w 197"/>
                <a:gd name="T23" fmla="*/ 0 h 494"/>
                <a:gd name="T24" fmla="*/ 197 w 197"/>
                <a:gd name="T25" fmla="*/ 0 h 494"/>
                <a:gd name="T26" fmla="*/ 196 w 197"/>
                <a:gd name="T27" fmla="*/ 72 h 494"/>
                <a:gd name="T28" fmla="*/ 196 w 197"/>
                <a:gd name="T29" fmla="*/ 343 h 494"/>
                <a:gd name="T30" fmla="*/ 196 w 197"/>
                <a:gd name="T31" fmla="*/ 393 h 494"/>
                <a:gd name="T32" fmla="*/ 190 w 197"/>
                <a:gd name="T33" fmla="*/ 397 h 494"/>
                <a:gd name="T34" fmla="*/ 18 w 197"/>
                <a:gd name="T35" fmla="*/ 491 h 494"/>
                <a:gd name="T36" fmla="*/ 5 w 197"/>
                <a:gd name="T37" fmla="*/ 494 h 494"/>
                <a:gd name="T38" fmla="*/ 1 w 197"/>
                <a:gd name="T39" fmla="*/ 492 h 494"/>
                <a:gd name="T40" fmla="*/ 0 w 197"/>
                <a:gd name="T41" fmla="*/ 188 h 49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97"/>
                <a:gd name="T64" fmla="*/ 0 h 494"/>
                <a:gd name="T65" fmla="*/ 197 w 197"/>
                <a:gd name="T66" fmla="*/ 494 h 494"/>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97" h="494">
                  <a:moveTo>
                    <a:pt x="0" y="188"/>
                  </a:moveTo>
                  <a:lnTo>
                    <a:pt x="0" y="172"/>
                  </a:lnTo>
                  <a:lnTo>
                    <a:pt x="0" y="121"/>
                  </a:lnTo>
                  <a:lnTo>
                    <a:pt x="1" y="109"/>
                  </a:lnTo>
                  <a:lnTo>
                    <a:pt x="8" y="106"/>
                  </a:lnTo>
                  <a:lnTo>
                    <a:pt x="23" y="97"/>
                  </a:lnTo>
                  <a:lnTo>
                    <a:pt x="77" y="67"/>
                  </a:lnTo>
                  <a:lnTo>
                    <a:pt x="120" y="42"/>
                  </a:lnTo>
                  <a:lnTo>
                    <a:pt x="146" y="27"/>
                  </a:lnTo>
                  <a:lnTo>
                    <a:pt x="172" y="13"/>
                  </a:lnTo>
                  <a:lnTo>
                    <a:pt x="186" y="4"/>
                  </a:lnTo>
                  <a:lnTo>
                    <a:pt x="194" y="0"/>
                  </a:lnTo>
                  <a:lnTo>
                    <a:pt x="197" y="0"/>
                  </a:lnTo>
                  <a:lnTo>
                    <a:pt x="196" y="72"/>
                  </a:lnTo>
                  <a:lnTo>
                    <a:pt x="196" y="343"/>
                  </a:lnTo>
                  <a:lnTo>
                    <a:pt x="196" y="393"/>
                  </a:lnTo>
                  <a:lnTo>
                    <a:pt x="190" y="397"/>
                  </a:lnTo>
                  <a:lnTo>
                    <a:pt x="18" y="491"/>
                  </a:lnTo>
                  <a:lnTo>
                    <a:pt x="5" y="494"/>
                  </a:lnTo>
                  <a:lnTo>
                    <a:pt x="1" y="492"/>
                  </a:lnTo>
                  <a:lnTo>
                    <a:pt x="0" y="188"/>
                  </a:lnTo>
                  <a:close/>
                </a:path>
              </a:pathLst>
            </a:custGeom>
            <a:gradFill rotWithShape="1">
              <a:gsLst>
                <a:gs pos="0">
                  <a:srgbClr val="FFFFFF"/>
                </a:gs>
                <a:gs pos="100000">
                  <a:srgbClr val="69FFFF"/>
                </a:gs>
              </a:gsLst>
              <a:lin ang="2700000" scaled="1"/>
            </a:gradFill>
            <a:ln w="57150" cmpd="sng">
              <a:solidFill>
                <a:srgbClr val="A6CAF0"/>
              </a:solidFill>
              <a:round/>
              <a:headEnd/>
              <a:tailEnd/>
            </a:ln>
          </xdr:spPr>
        </xdr:sp>
      </xdr:grpSp>
      <xdr:sp macro="" textlink="">
        <xdr:nvSpPr>
          <xdr:cNvPr id="119238" name="Text Box 454"/>
          <xdr:cNvSpPr txBox="1">
            <a:spLocks noChangeArrowheads="1"/>
          </xdr:cNvSpPr>
        </xdr:nvSpPr>
        <xdr:spPr bwMode="auto">
          <a:xfrm>
            <a:off x="7448550" y="428625"/>
            <a:ext cx="2828925" cy="42862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000" b="1" i="0" u="none" strike="noStrike" baseline="0">
                <a:solidFill>
                  <a:srgbClr val="993366"/>
                </a:solidFill>
                <a:latin typeface="Arial"/>
                <a:cs typeface="Arial"/>
              </a:rPr>
              <a:t>Cell Cross-Sections</a:t>
            </a:r>
          </a:p>
        </xdr:txBody>
      </xdr:sp>
      <xdr:grpSp>
        <xdr:nvGrpSpPr>
          <xdr:cNvPr id="10277" name="Group 455"/>
          <xdr:cNvGrpSpPr>
            <a:grpSpLocks/>
          </xdr:cNvGrpSpPr>
        </xdr:nvGrpSpPr>
        <xdr:grpSpPr bwMode="auto">
          <a:xfrm>
            <a:off x="7486650" y="1238250"/>
            <a:ext cx="2838450" cy="352425"/>
            <a:chOff x="87" y="208"/>
            <a:chExt cx="298" cy="37"/>
          </a:xfrm>
        </xdr:grpSpPr>
        <xdr:sp macro="" textlink="">
          <xdr:nvSpPr>
            <xdr:cNvPr id="10415" name="Freeform 456"/>
            <xdr:cNvSpPr>
              <a:spLocks/>
            </xdr:cNvSpPr>
          </xdr:nvSpPr>
          <xdr:spPr bwMode="auto">
            <a:xfrm>
              <a:off x="90" y="208"/>
              <a:ext cx="148" cy="31"/>
            </a:xfrm>
            <a:custGeom>
              <a:avLst/>
              <a:gdLst>
                <a:gd name="T0" fmla="*/ 0 w 148"/>
                <a:gd name="T1" fmla="*/ 10 h 31"/>
                <a:gd name="T2" fmla="*/ 9 w 148"/>
                <a:gd name="T3" fmla="*/ 21 h 31"/>
                <a:gd name="T4" fmla="*/ 13 w 148"/>
                <a:gd name="T5" fmla="*/ 27 h 31"/>
                <a:gd name="T6" fmla="*/ 16 w 148"/>
                <a:gd name="T7" fmla="*/ 30 h 31"/>
                <a:gd name="T8" fmla="*/ 21 w 148"/>
                <a:gd name="T9" fmla="*/ 31 h 31"/>
                <a:gd name="T10" fmla="*/ 20 w 148"/>
                <a:gd name="T11" fmla="*/ 7 h 31"/>
                <a:gd name="T12" fmla="*/ 22 w 148"/>
                <a:gd name="T13" fmla="*/ 2 h 31"/>
                <a:gd name="T14" fmla="*/ 27 w 148"/>
                <a:gd name="T15" fmla="*/ 0 h 31"/>
                <a:gd name="T16" fmla="*/ 148 w 148"/>
                <a:gd name="T17" fmla="*/ 0 h 3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48"/>
                <a:gd name="T28" fmla="*/ 0 h 31"/>
                <a:gd name="T29" fmla="*/ 148 w 148"/>
                <a:gd name="T30" fmla="*/ 31 h 31"/>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48" h="31">
                  <a:moveTo>
                    <a:pt x="0" y="10"/>
                  </a:moveTo>
                  <a:lnTo>
                    <a:pt x="9" y="21"/>
                  </a:lnTo>
                  <a:lnTo>
                    <a:pt x="13" y="27"/>
                  </a:lnTo>
                  <a:lnTo>
                    <a:pt x="16" y="30"/>
                  </a:lnTo>
                  <a:lnTo>
                    <a:pt x="21" y="31"/>
                  </a:lnTo>
                  <a:lnTo>
                    <a:pt x="20" y="7"/>
                  </a:lnTo>
                  <a:lnTo>
                    <a:pt x="22" y="2"/>
                  </a:lnTo>
                  <a:lnTo>
                    <a:pt x="27" y="0"/>
                  </a:lnTo>
                  <a:lnTo>
                    <a:pt x="148" y="0"/>
                  </a:lnTo>
                </a:path>
              </a:pathLst>
            </a:custGeom>
            <a:noFill/>
            <a:ln w="28575" cmpd="sng">
              <a:solidFill>
                <a:srgbClr val="0000FF"/>
              </a:solidFill>
              <a:round/>
              <a:headEnd/>
              <a:tailEnd/>
            </a:ln>
          </xdr:spPr>
        </xdr:sp>
        <xdr:sp macro="" textlink="">
          <xdr:nvSpPr>
            <xdr:cNvPr id="10416" name="Rectangle 457" descr="Light horizontal"/>
            <xdr:cNvSpPr>
              <a:spLocks noChangeArrowheads="1"/>
            </xdr:cNvSpPr>
          </xdr:nvSpPr>
          <xdr:spPr bwMode="auto">
            <a:xfrm>
              <a:off x="113" y="210"/>
              <a:ext cx="246" cy="33"/>
            </a:xfrm>
            <a:prstGeom prst="rect">
              <a:avLst/>
            </a:prstGeom>
            <a:pattFill prst="ltHorz">
              <a:fgClr>
                <a:srgbClr val="000000"/>
              </a:fgClr>
              <a:bgClr>
                <a:srgbClr val="FFFFFF"/>
              </a:bgClr>
            </a:pattFill>
            <a:ln w="9525">
              <a:solidFill>
                <a:srgbClr val="000000"/>
              </a:solidFill>
              <a:miter lim="800000"/>
              <a:headEnd/>
              <a:tailEnd/>
            </a:ln>
          </xdr:spPr>
        </xdr:sp>
        <xdr:sp macro="" textlink="">
          <xdr:nvSpPr>
            <xdr:cNvPr id="10417" name="Freeform 458"/>
            <xdr:cNvSpPr>
              <a:spLocks/>
            </xdr:cNvSpPr>
          </xdr:nvSpPr>
          <xdr:spPr bwMode="auto">
            <a:xfrm>
              <a:off x="87" y="219"/>
              <a:ext cx="149" cy="26"/>
            </a:xfrm>
            <a:custGeom>
              <a:avLst/>
              <a:gdLst>
                <a:gd name="T0" fmla="*/ 0 w 149"/>
                <a:gd name="T1" fmla="*/ 0 h 26"/>
                <a:gd name="T2" fmla="*/ 18 w 149"/>
                <a:gd name="T3" fmla="*/ 22 h 26"/>
                <a:gd name="T4" fmla="*/ 23 w 149"/>
                <a:gd name="T5" fmla="*/ 26 h 26"/>
                <a:gd name="T6" fmla="*/ 30 w 149"/>
                <a:gd name="T7" fmla="*/ 26 h 26"/>
                <a:gd name="T8" fmla="*/ 149 w 149"/>
                <a:gd name="T9" fmla="*/ 26 h 26"/>
                <a:gd name="T10" fmla="*/ 0 60000 65536"/>
                <a:gd name="T11" fmla="*/ 0 60000 65536"/>
                <a:gd name="T12" fmla="*/ 0 60000 65536"/>
                <a:gd name="T13" fmla="*/ 0 60000 65536"/>
                <a:gd name="T14" fmla="*/ 0 60000 65536"/>
                <a:gd name="T15" fmla="*/ 0 w 149"/>
                <a:gd name="T16" fmla="*/ 0 h 26"/>
                <a:gd name="T17" fmla="*/ 149 w 149"/>
                <a:gd name="T18" fmla="*/ 26 h 26"/>
              </a:gdLst>
              <a:ahLst/>
              <a:cxnLst>
                <a:cxn ang="T10">
                  <a:pos x="T0" y="T1"/>
                </a:cxn>
                <a:cxn ang="T11">
                  <a:pos x="T2" y="T3"/>
                </a:cxn>
                <a:cxn ang="T12">
                  <a:pos x="T4" y="T5"/>
                </a:cxn>
                <a:cxn ang="T13">
                  <a:pos x="T6" y="T7"/>
                </a:cxn>
                <a:cxn ang="T14">
                  <a:pos x="T8" y="T9"/>
                </a:cxn>
              </a:cxnLst>
              <a:rect l="T15" t="T16" r="T17" b="T18"/>
              <a:pathLst>
                <a:path w="149" h="26">
                  <a:moveTo>
                    <a:pt x="0" y="0"/>
                  </a:moveTo>
                  <a:lnTo>
                    <a:pt x="18" y="22"/>
                  </a:lnTo>
                  <a:lnTo>
                    <a:pt x="23" y="26"/>
                  </a:lnTo>
                  <a:lnTo>
                    <a:pt x="30" y="26"/>
                  </a:lnTo>
                  <a:lnTo>
                    <a:pt x="149" y="26"/>
                  </a:lnTo>
                </a:path>
              </a:pathLst>
            </a:custGeom>
            <a:noFill/>
            <a:ln w="28575" cmpd="sng">
              <a:solidFill>
                <a:srgbClr val="0000FF"/>
              </a:solidFill>
              <a:round/>
              <a:headEnd/>
              <a:tailEnd/>
            </a:ln>
          </xdr:spPr>
        </xdr:sp>
        <xdr:sp macro="" textlink="">
          <xdr:nvSpPr>
            <xdr:cNvPr id="10418" name="Freeform 459"/>
            <xdr:cNvSpPr>
              <a:spLocks/>
            </xdr:cNvSpPr>
          </xdr:nvSpPr>
          <xdr:spPr bwMode="auto">
            <a:xfrm flipH="1">
              <a:off x="236" y="219"/>
              <a:ext cx="149" cy="26"/>
            </a:xfrm>
            <a:custGeom>
              <a:avLst/>
              <a:gdLst>
                <a:gd name="T0" fmla="*/ 0 w 149"/>
                <a:gd name="T1" fmla="*/ 0 h 26"/>
                <a:gd name="T2" fmla="*/ 18 w 149"/>
                <a:gd name="T3" fmla="*/ 22 h 26"/>
                <a:gd name="T4" fmla="*/ 23 w 149"/>
                <a:gd name="T5" fmla="*/ 26 h 26"/>
                <a:gd name="T6" fmla="*/ 30 w 149"/>
                <a:gd name="T7" fmla="*/ 26 h 26"/>
                <a:gd name="T8" fmla="*/ 149 w 149"/>
                <a:gd name="T9" fmla="*/ 26 h 26"/>
                <a:gd name="T10" fmla="*/ 0 60000 65536"/>
                <a:gd name="T11" fmla="*/ 0 60000 65536"/>
                <a:gd name="T12" fmla="*/ 0 60000 65536"/>
                <a:gd name="T13" fmla="*/ 0 60000 65536"/>
                <a:gd name="T14" fmla="*/ 0 60000 65536"/>
                <a:gd name="T15" fmla="*/ 0 w 149"/>
                <a:gd name="T16" fmla="*/ 0 h 26"/>
                <a:gd name="T17" fmla="*/ 149 w 149"/>
                <a:gd name="T18" fmla="*/ 26 h 26"/>
              </a:gdLst>
              <a:ahLst/>
              <a:cxnLst>
                <a:cxn ang="T10">
                  <a:pos x="T0" y="T1"/>
                </a:cxn>
                <a:cxn ang="T11">
                  <a:pos x="T2" y="T3"/>
                </a:cxn>
                <a:cxn ang="T12">
                  <a:pos x="T4" y="T5"/>
                </a:cxn>
                <a:cxn ang="T13">
                  <a:pos x="T6" y="T7"/>
                </a:cxn>
                <a:cxn ang="T14">
                  <a:pos x="T8" y="T9"/>
                </a:cxn>
              </a:cxnLst>
              <a:rect l="T15" t="T16" r="T17" b="T18"/>
              <a:pathLst>
                <a:path w="149" h="26">
                  <a:moveTo>
                    <a:pt x="0" y="0"/>
                  </a:moveTo>
                  <a:lnTo>
                    <a:pt x="18" y="22"/>
                  </a:lnTo>
                  <a:lnTo>
                    <a:pt x="23" y="26"/>
                  </a:lnTo>
                  <a:lnTo>
                    <a:pt x="30" y="26"/>
                  </a:lnTo>
                  <a:lnTo>
                    <a:pt x="149" y="26"/>
                  </a:lnTo>
                </a:path>
              </a:pathLst>
            </a:custGeom>
            <a:noFill/>
            <a:ln w="28575" cmpd="sng">
              <a:solidFill>
                <a:srgbClr val="0000FF"/>
              </a:solidFill>
              <a:round/>
              <a:headEnd/>
              <a:tailEnd/>
            </a:ln>
          </xdr:spPr>
        </xdr:sp>
        <xdr:sp macro="" textlink="">
          <xdr:nvSpPr>
            <xdr:cNvPr id="10419" name="Freeform 460"/>
            <xdr:cNvSpPr>
              <a:spLocks/>
            </xdr:cNvSpPr>
          </xdr:nvSpPr>
          <xdr:spPr bwMode="auto">
            <a:xfrm flipH="1">
              <a:off x="234" y="208"/>
              <a:ext cx="148" cy="31"/>
            </a:xfrm>
            <a:custGeom>
              <a:avLst/>
              <a:gdLst>
                <a:gd name="T0" fmla="*/ 0 w 148"/>
                <a:gd name="T1" fmla="*/ 10 h 31"/>
                <a:gd name="T2" fmla="*/ 9 w 148"/>
                <a:gd name="T3" fmla="*/ 21 h 31"/>
                <a:gd name="T4" fmla="*/ 13 w 148"/>
                <a:gd name="T5" fmla="*/ 27 h 31"/>
                <a:gd name="T6" fmla="*/ 16 w 148"/>
                <a:gd name="T7" fmla="*/ 30 h 31"/>
                <a:gd name="T8" fmla="*/ 21 w 148"/>
                <a:gd name="T9" fmla="*/ 31 h 31"/>
                <a:gd name="T10" fmla="*/ 20 w 148"/>
                <a:gd name="T11" fmla="*/ 7 h 31"/>
                <a:gd name="T12" fmla="*/ 22 w 148"/>
                <a:gd name="T13" fmla="*/ 2 h 31"/>
                <a:gd name="T14" fmla="*/ 27 w 148"/>
                <a:gd name="T15" fmla="*/ 0 h 31"/>
                <a:gd name="T16" fmla="*/ 148 w 148"/>
                <a:gd name="T17" fmla="*/ 0 h 3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48"/>
                <a:gd name="T28" fmla="*/ 0 h 31"/>
                <a:gd name="T29" fmla="*/ 148 w 148"/>
                <a:gd name="T30" fmla="*/ 31 h 31"/>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48" h="31">
                  <a:moveTo>
                    <a:pt x="0" y="10"/>
                  </a:moveTo>
                  <a:lnTo>
                    <a:pt x="9" y="21"/>
                  </a:lnTo>
                  <a:lnTo>
                    <a:pt x="13" y="27"/>
                  </a:lnTo>
                  <a:lnTo>
                    <a:pt x="16" y="30"/>
                  </a:lnTo>
                  <a:lnTo>
                    <a:pt x="21" y="31"/>
                  </a:lnTo>
                  <a:lnTo>
                    <a:pt x="20" y="7"/>
                  </a:lnTo>
                  <a:lnTo>
                    <a:pt x="22" y="2"/>
                  </a:lnTo>
                  <a:lnTo>
                    <a:pt x="27" y="0"/>
                  </a:lnTo>
                  <a:lnTo>
                    <a:pt x="148" y="0"/>
                  </a:lnTo>
                </a:path>
              </a:pathLst>
            </a:custGeom>
            <a:noFill/>
            <a:ln w="28575" cmpd="sng">
              <a:solidFill>
                <a:srgbClr val="0000FF"/>
              </a:solidFill>
              <a:round/>
              <a:headEnd/>
              <a:tailEnd/>
            </a:ln>
          </xdr:spPr>
        </xdr:sp>
      </xdr:grpSp>
      <xdr:grpSp>
        <xdr:nvGrpSpPr>
          <xdr:cNvPr id="10278" name="Group 461"/>
          <xdr:cNvGrpSpPr>
            <a:grpSpLocks/>
          </xdr:cNvGrpSpPr>
        </xdr:nvGrpSpPr>
        <xdr:grpSpPr bwMode="auto">
          <a:xfrm>
            <a:off x="7581900" y="2390775"/>
            <a:ext cx="2524125" cy="390525"/>
            <a:chOff x="109" y="387"/>
            <a:chExt cx="265" cy="41"/>
          </a:xfrm>
        </xdr:grpSpPr>
        <xdr:sp macro="" textlink="">
          <xdr:nvSpPr>
            <xdr:cNvPr id="10408" name="Rectangle 462" descr="Light horizontal"/>
            <xdr:cNvSpPr>
              <a:spLocks noChangeArrowheads="1"/>
            </xdr:cNvSpPr>
          </xdr:nvSpPr>
          <xdr:spPr bwMode="auto">
            <a:xfrm>
              <a:off x="119" y="389"/>
              <a:ext cx="246" cy="33"/>
            </a:xfrm>
            <a:prstGeom prst="rect">
              <a:avLst/>
            </a:prstGeom>
            <a:pattFill prst="ltHorz">
              <a:fgClr>
                <a:srgbClr val="000000"/>
              </a:fgClr>
              <a:bgClr>
                <a:srgbClr val="FFFFFF"/>
              </a:bgClr>
            </a:pattFill>
            <a:ln w="9525">
              <a:solidFill>
                <a:srgbClr val="000000"/>
              </a:solidFill>
              <a:miter lim="800000"/>
              <a:headEnd/>
              <a:tailEnd/>
            </a:ln>
          </xdr:spPr>
        </xdr:sp>
        <xdr:grpSp>
          <xdr:nvGrpSpPr>
            <xdr:cNvPr id="10409" name="Group 463"/>
            <xdr:cNvGrpSpPr>
              <a:grpSpLocks/>
            </xdr:cNvGrpSpPr>
          </xdr:nvGrpSpPr>
          <xdr:grpSpPr bwMode="auto">
            <a:xfrm>
              <a:off x="112" y="387"/>
              <a:ext cx="133" cy="37"/>
              <a:chOff x="112" y="387"/>
              <a:chExt cx="154" cy="37"/>
            </a:xfrm>
          </xdr:grpSpPr>
          <xdr:sp macro="" textlink="">
            <xdr:nvSpPr>
              <xdr:cNvPr id="10413" name="Freeform 464"/>
              <xdr:cNvSpPr>
                <a:spLocks/>
              </xdr:cNvSpPr>
            </xdr:nvSpPr>
            <xdr:spPr bwMode="auto">
              <a:xfrm>
                <a:off x="115" y="387"/>
                <a:ext cx="149" cy="34"/>
              </a:xfrm>
              <a:custGeom>
                <a:avLst/>
                <a:gdLst>
                  <a:gd name="T0" fmla="*/ 0 w 149"/>
                  <a:gd name="T1" fmla="*/ 1 h 34"/>
                  <a:gd name="T2" fmla="*/ 0 w 149"/>
                  <a:gd name="T3" fmla="*/ 18 h 34"/>
                  <a:gd name="T4" fmla="*/ 0 w 149"/>
                  <a:gd name="T5" fmla="*/ 27 h 34"/>
                  <a:gd name="T6" fmla="*/ 0 w 149"/>
                  <a:gd name="T7" fmla="*/ 34 h 34"/>
                  <a:gd name="T8" fmla="*/ 3 w 149"/>
                  <a:gd name="T9" fmla="*/ 32 h 34"/>
                  <a:gd name="T10" fmla="*/ 3 w 149"/>
                  <a:gd name="T11" fmla="*/ 8 h 34"/>
                  <a:gd name="T12" fmla="*/ 3 w 149"/>
                  <a:gd name="T13" fmla="*/ 1 h 34"/>
                  <a:gd name="T14" fmla="*/ 9 w 149"/>
                  <a:gd name="T15" fmla="*/ 0 h 34"/>
                  <a:gd name="T16" fmla="*/ 149 w 149"/>
                  <a:gd name="T17" fmla="*/ 0 h 3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49"/>
                  <a:gd name="T28" fmla="*/ 0 h 34"/>
                  <a:gd name="T29" fmla="*/ 149 w 149"/>
                  <a:gd name="T30" fmla="*/ 34 h 3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49" h="34">
                    <a:moveTo>
                      <a:pt x="0" y="1"/>
                    </a:moveTo>
                    <a:lnTo>
                      <a:pt x="0" y="18"/>
                    </a:lnTo>
                    <a:lnTo>
                      <a:pt x="0" y="27"/>
                    </a:lnTo>
                    <a:lnTo>
                      <a:pt x="0" y="34"/>
                    </a:lnTo>
                    <a:lnTo>
                      <a:pt x="3" y="32"/>
                    </a:lnTo>
                    <a:lnTo>
                      <a:pt x="3" y="8"/>
                    </a:lnTo>
                    <a:lnTo>
                      <a:pt x="3" y="1"/>
                    </a:lnTo>
                    <a:lnTo>
                      <a:pt x="9" y="0"/>
                    </a:lnTo>
                    <a:lnTo>
                      <a:pt x="149" y="0"/>
                    </a:lnTo>
                  </a:path>
                </a:pathLst>
              </a:custGeom>
              <a:noFill/>
              <a:ln w="28575" cmpd="sng">
                <a:solidFill>
                  <a:srgbClr val="0000FF"/>
                </a:solidFill>
                <a:round/>
                <a:headEnd/>
                <a:tailEnd/>
              </a:ln>
            </xdr:spPr>
          </xdr:sp>
          <xdr:sp macro="" textlink="">
            <xdr:nvSpPr>
              <xdr:cNvPr id="10414" name="Freeform 465"/>
              <xdr:cNvSpPr>
                <a:spLocks/>
              </xdr:cNvSpPr>
            </xdr:nvSpPr>
            <xdr:spPr bwMode="auto">
              <a:xfrm>
                <a:off x="112" y="390"/>
                <a:ext cx="154" cy="34"/>
              </a:xfrm>
              <a:custGeom>
                <a:avLst/>
                <a:gdLst>
                  <a:gd name="T0" fmla="*/ 0 w 154"/>
                  <a:gd name="T1" fmla="*/ 0 h 34"/>
                  <a:gd name="T2" fmla="*/ 0 w 154"/>
                  <a:gd name="T3" fmla="*/ 18 h 34"/>
                  <a:gd name="T4" fmla="*/ 0 w 154"/>
                  <a:gd name="T5" fmla="*/ 32 h 34"/>
                  <a:gd name="T6" fmla="*/ 6 w 154"/>
                  <a:gd name="T7" fmla="*/ 34 h 34"/>
                  <a:gd name="T8" fmla="*/ 154 w 154"/>
                  <a:gd name="T9" fmla="*/ 34 h 34"/>
                  <a:gd name="T10" fmla="*/ 0 60000 65536"/>
                  <a:gd name="T11" fmla="*/ 0 60000 65536"/>
                  <a:gd name="T12" fmla="*/ 0 60000 65536"/>
                  <a:gd name="T13" fmla="*/ 0 60000 65536"/>
                  <a:gd name="T14" fmla="*/ 0 60000 65536"/>
                  <a:gd name="T15" fmla="*/ 0 w 154"/>
                  <a:gd name="T16" fmla="*/ 0 h 34"/>
                  <a:gd name="T17" fmla="*/ 154 w 154"/>
                  <a:gd name="T18" fmla="*/ 34 h 34"/>
                </a:gdLst>
                <a:ahLst/>
                <a:cxnLst>
                  <a:cxn ang="T10">
                    <a:pos x="T0" y="T1"/>
                  </a:cxn>
                  <a:cxn ang="T11">
                    <a:pos x="T2" y="T3"/>
                  </a:cxn>
                  <a:cxn ang="T12">
                    <a:pos x="T4" y="T5"/>
                  </a:cxn>
                  <a:cxn ang="T13">
                    <a:pos x="T6" y="T7"/>
                  </a:cxn>
                  <a:cxn ang="T14">
                    <a:pos x="T8" y="T9"/>
                  </a:cxn>
                </a:cxnLst>
                <a:rect l="T15" t="T16" r="T17" b="T18"/>
                <a:pathLst>
                  <a:path w="154" h="34">
                    <a:moveTo>
                      <a:pt x="0" y="0"/>
                    </a:moveTo>
                    <a:lnTo>
                      <a:pt x="0" y="18"/>
                    </a:lnTo>
                    <a:lnTo>
                      <a:pt x="0" y="32"/>
                    </a:lnTo>
                    <a:lnTo>
                      <a:pt x="6" y="34"/>
                    </a:lnTo>
                    <a:lnTo>
                      <a:pt x="154" y="34"/>
                    </a:lnTo>
                  </a:path>
                </a:pathLst>
              </a:custGeom>
              <a:noFill/>
              <a:ln w="28575" cmpd="sng">
                <a:solidFill>
                  <a:srgbClr val="0000FF"/>
                </a:solidFill>
                <a:round/>
                <a:headEnd/>
                <a:tailEnd/>
              </a:ln>
            </xdr:spPr>
          </xdr:sp>
        </xdr:grpSp>
        <xdr:sp macro="" textlink="">
          <xdr:nvSpPr>
            <xdr:cNvPr id="10410" name="Freeform 466"/>
            <xdr:cNvSpPr>
              <a:spLocks/>
            </xdr:cNvSpPr>
          </xdr:nvSpPr>
          <xdr:spPr bwMode="auto">
            <a:xfrm flipH="1">
              <a:off x="243" y="387"/>
              <a:ext cx="124" cy="34"/>
            </a:xfrm>
            <a:custGeom>
              <a:avLst/>
              <a:gdLst>
                <a:gd name="T0" fmla="*/ 0 w 149"/>
                <a:gd name="T1" fmla="*/ 1 h 34"/>
                <a:gd name="T2" fmla="*/ 0 w 149"/>
                <a:gd name="T3" fmla="*/ 18 h 34"/>
                <a:gd name="T4" fmla="*/ 0 w 149"/>
                <a:gd name="T5" fmla="*/ 27 h 34"/>
                <a:gd name="T6" fmla="*/ 0 w 149"/>
                <a:gd name="T7" fmla="*/ 34 h 34"/>
                <a:gd name="T8" fmla="*/ 2 w 149"/>
                <a:gd name="T9" fmla="*/ 32 h 34"/>
                <a:gd name="T10" fmla="*/ 2 w 149"/>
                <a:gd name="T11" fmla="*/ 8 h 34"/>
                <a:gd name="T12" fmla="*/ 2 w 149"/>
                <a:gd name="T13" fmla="*/ 1 h 34"/>
                <a:gd name="T14" fmla="*/ 2 w 149"/>
                <a:gd name="T15" fmla="*/ 0 h 34"/>
                <a:gd name="T16" fmla="*/ 2 w 149"/>
                <a:gd name="T17" fmla="*/ 0 h 3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49"/>
                <a:gd name="T28" fmla="*/ 0 h 34"/>
                <a:gd name="T29" fmla="*/ 149 w 149"/>
                <a:gd name="T30" fmla="*/ 34 h 3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49" h="34">
                  <a:moveTo>
                    <a:pt x="0" y="1"/>
                  </a:moveTo>
                  <a:lnTo>
                    <a:pt x="0" y="18"/>
                  </a:lnTo>
                  <a:lnTo>
                    <a:pt x="0" y="27"/>
                  </a:lnTo>
                  <a:lnTo>
                    <a:pt x="0" y="34"/>
                  </a:lnTo>
                  <a:lnTo>
                    <a:pt x="3" y="32"/>
                  </a:lnTo>
                  <a:lnTo>
                    <a:pt x="3" y="8"/>
                  </a:lnTo>
                  <a:lnTo>
                    <a:pt x="3" y="1"/>
                  </a:lnTo>
                  <a:lnTo>
                    <a:pt x="9" y="0"/>
                  </a:lnTo>
                  <a:lnTo>
                    <a:pt x="149" y="0"/>
                  </a:lnTo>
                </a:path>
              </a:pathLst>
            </a:custGeom>
            <a:noFill/>
            <a:ln w="28575" cmpd="sng">
              <a:solidFill>
                <a:srgbClr val="0000FF"/>
              </a:solidFill>
              <a:round/>
              <a:headEnd/>
              <a:tailEnd/>
            </a:ln>
          </xdr:spPr>
        </xdr:sp>
        <xdr:sp macro="" textlink="">
          <xdr:nvSpPr>
            <xdr:cNvPr id="10411" name="Freeform 467"/>
            <xdr:cNvSpPr>
              <a:spLocks/>
            </xdr:cNvSpPr>
          </xdr:nvSpPr>
          <xdr:spPr bwMode="auto">
            <a:xfrm flipH="1">
              <a:off x="244" y="390"/>
              <a:ext cx="126" cy="34"/>
            </a:xfrm>
            <a:custGeom>
              <a:avLst/>
              <a:gdLst>
                <a:gd name="T0" fmla="*/ 0 w 154"/>
                <a:gd name="T1" fmla="*/ 0 h 34"/>
                <a:gd name="T2" fmla="*/ 0 w 154"/>
                <a:gd name="T3" fmla="*/ 18 h 34"/>
                <a:gd name="T4" fmla="*/ 0 w 154"/>
                <a:gd name="T5" fmla="*/ 32 h 34"/>
                <a:gd name="T6" fmla="*/ 2 w 154"/>
                <a:gd name="T7" fmla="*/ 34 h 34"/>
                <a:gd name="T8" fmla="*/ 2 w 154"/>
                <a:gd name="T9" fmla="*/ 34 h 34"/>
                <a:gd name="T10" fmla="*/ 0 60000 65536"/>
                <a:gd name="T11" fmla="*/ 0 60000 65536"/>
                <a:gd name="T12" fmla="*/ 0 60000 65536"/>
                <a:gd name="T13" fmla="*/ 0 60000 65536"/>
                <a:gd name="T14" fmla="*/ 0 60000 65536"/>
                <a:gd name="T15" fmla="*/ 0 w 154"/>
                <a:gd name="T16" fmla="*/ 0 h 34"/>
                <a:gd name="T17" fmla="*/ 154 w 154"/>
                <a:gd name="T18" fmla="*/ 34 h 34"/>
              </a:gdLst>
              <a:ahLst/>
              <a:cxnLst>
                <a:cxn ang="T10">
                  <a:pos x="T0" y="T1"/>
                </a:cxn>
                <a:cxn ang="T11">
                  <a:pos x="T2" y="T3"/>
                </a:cxn>
                <a:cxn ang="T12">
                  <a:pos x="T4" y="T5"/>
                </a:cxn>
                <a:cxn ang="T13">
                  <a:pos x="T6" y="T7"/>
                </a:cxn>
                <a:cxn ang="T14">
                  <a:pos x="T8" y="T9"/>
                </a:cxn>
              </a:cxnLst>
              <a:rect l="T15" t="T16" r="T17" b="T18"/>
              <a:pathLst>
                <a:path w="154" h="34">
                  <a:moveTo>
                    <a:pt x="0" y="0"/>
                  </a:moveTo>
                  <a:lnTo>
                    <a:pt x="0" y="18"/>
                  </a:lnTo>
                  <a:lnTo>
                    <a:pt x="0" y="32"/>
                  </a:lnTo>
                  <a:lnTo>
                    <a:pt x="6" y="34"/>
                  </a:lnTo>
                  <a:lnTo>
                    <a:pt x="154" y="34"/>
                  </a:lnTo>
                </a:path>
              </a:pathLst>
            </a:custGeom>
            <a:noFill/>
            <a:ln w="28575" cmpd="sng">
              <a:solidFill>
                <a:srgbClr val="0000FF"/>
              </a:solidFill>
              <a:round/>
              <a:headEnd/>
              <a:tailEnd/>
            </a:ln>
          </xdr:spPr>
        </xdr:sp>
        <xdr:sp macro="" textlink="">
          <xdr:nvSpPr>
            <xdr:cNvPr id="10412" name="Freeform 468"/>
            <xdr:cNvSpPr>
              <a:spLocks/>
            </xdr:cNvSpPr>
          </xdr:nvSpPr>
          <xdr:spPr bwMode="auto">
            <a:xfrm>
              <a:off x="109" y="388"/>
              <a:ext cx="265" cy="40"/>
            </a:xfrm>
            <a:custGeom>
              <a:avLst/>
              <a:gdLst>
                <a:gd name="T0" fmla="*/ 0 w 269"/>
                <a:gd name="T1" fmla="*/ 0 h 40"/>
                <a:gd name="T2" fmla="*/ 0 w 269"/>
                <a:gd name="T3" fmla="*/ 40 h 40"/>
                <a:gd name="T4" fmla="*/ 191 w 269"/>
                <a:gd name="T5" fmla="*/ 40 h 40"/>
                <a:gd name="T6" fmla="*/ 191 w 269"/>
                <a:gd name="T7" fmla="*/ 0 h 40"/>
                <a:gd name="T8" fmla="*/ 0 60000 65536"/>
                <a:gd name="T9" fmla="*/ 0 60000 65536"/>
                <a:gd name="T10" fmla="*/ 0 60000 65536"/>
                <a:gd name="T11" fmla="*/ 0 60000 65536"/>
                <a:gd name="T12" fmla="*/ 0 w 269"/>
                <a:gd name="T13" fmla="*/ 0 h 40"/>
                <a:gd name="T14" fmla="*/ 269 w 269"/>
                <a:gd name="T15" fmla="*/ 40 h 40"/>
              </a:gdLst>
              <a:ahLst/>
              <a:cxnLst>
                <a:cxn ang="T8">
                  <a:pos x="T0" y="T1"/>
                </a:cxn>
                <a:cxn ang="T9">
                  <a:pos x="T2" y="T3"/>
                </a:cxn>
                <a:cxn ang="T10">
                  <a:pos x="T4" y="T5"/>
                </a:cxn>
                <a:cxn ang="T11">
                  <a:pos x="T6" y="T7"/>
                </a:cxn>
              </a:cxnLst>
              <a:rect l="T12" t="T13" r="T14" b="T15"/>
              <a:pathLst>
                <a:path w="269" h="40">
                  <a:moveTo>
                    <a:pt x="0" y="0"/>
                  </a:moveTo>
                  <a:lnTo>
                    <a:pt x="0" y="40"/>
                  </a:lnTo>
                  <a:lnTo>
                    <a:pt x="269" y="40"/>
                  </a:lnTo>
                  <a:lnTo>
                    <a:pt x="269" y="0"/>
                  </a:lnTo>
                </a:path>
              </a:pathLst>
            </a:custGeom>
            <a:noFill/>
            <a:ln w="47625" cap="flat" cmpd="sng">
              <a:pattFill prst="dkUpDiag">
                <a:fgClr>
                  <a:srgbClr val="000000"/>
                </a:fgClr>
                <a:bgClr>
                  <a:srgbClr val="A6CAF0"/>
                </a:bgClr>
              </a:pattFill>
              <a:prstDash val="solid"/>
              <a:round/>
              <a:headEnd type="none" w="med" len="med"/>
              <a:tailEnd type="none" w="med" len="med"/>
            </a:ln>
          </xdr:spPr>
        </xdr:sp>
      </xdr:grpSp>
      <xdr:sp macro="" textlink="">
        <xdr:nvSpPr>
          <xdr:cNvPr id="119253" name="Text Box 469"/>
          <xdr:cNvSpPr txBox="1">
            <a:spLocks noChangeArrowheads="1"/>
          </xdr:cNvSpPr>
        </xdr:nvSpPr>
        <xdr:spPr bwMode="auto">
          <a:xfrm>
            <a:off x="7781925" y="1628775"/>
            <a:ext cx="2190750" cy="476250"/>
          </a:xfrm>
          <a:prstGeom prst="rect">
            <a:avLst/>
          </a:prstGeom>
          <a:solidFill>
            <a:srgbClr val="FFFFFF"/>
          </a:solidFill>
          <a:ln>
            <a:noFill/>
          </a:ln>
          <a:extLst/>
        </xdr:spPr>
        <xdr:txBody>
          <a:bodyPr vertOverflow="clip" wrap="square" lIns="45720" tIns="36576" rIns="0" bIns="0" anchor="t" upright="1"/>
          <a:lstStyle/>
          <a:p>
            <a:pPr algn="l" rtl="0">
              <a:defRPr sz="1000"/>
            </a:pPr>
            <a:r>
              <a:rPr lang="en-US" sz="1800" b="1" i="0" u="none" strike="noStrike" baseline="0">
                <a:solidFill>
                  <a:srgbClr val="000000"/>
                </a:solidFill>
                <a:latin typeface="Arial"/>
                <a:cs typeface="Arial"/>
              </a:rPr>
              <a:t>After Edge Sealing</a:t>
            </a:r>
          </a:p>
        </xdr:txBody>
      </xdr:sp>
      <xdr:sp macro="" textlink="">
        <xdr:nvSpPr>
          <xdr:cNvPr id="119254" name="Text Box 470"/>
          <xdr:cNvSpPr txBox="1">
            <a:spLocks noChangeArrowheads="1"/>
          </xdr:cNvSpPr>
        </xdr:nvSpPr>
        <xdr:spPr bwMode="auto">
          <a:xfrm>
            <a:off x="7439025" y="2952750"/>
            <a:ext cx="2886075" cy="904875"/>
          </a:xfrm>
          <a:prstGeom prst="rect">
            <a:avLst/>
          </a:prstGeom>
          <a:solidFill>
            <a:srgbClr val="FFFFFF"/>
          </a:solidFill>
          <a:ln>
            <a:noFill/>
          </a:ln>
          <a:extLst/>
        </xdr:spPr>
        <xdr:txBody>
          <a:bodyPr vertOverflow="clip" wrap="square" lIns="45720" tIns="36576" rIns="45720" bIns="0" anchor="t" upright="1"/>
          <a:lstStyle/>
          <a:p>
            <a:pPr algn="ctr" rtl="0">
              <a:defRPr sz="1000"/>
            </a:pPr>
            <a:r>
              <a:rPr lang="en-US" sz="1800" b="1" i="0" u="none" strike="noStrike" baseline="0">
                <a:solidFill>
                  <a:srgbClr val="000000"/>
                </a:solidFill>
                <a:latin typeface="Arial"/>
                <a:cs typeface="Arial"/>
              </a:rPr>
              <a:t>After Edge Shaping and Addition of Aluminum Conduction Channel</a:t>
            </a:r>
          </a:p>
        </xdr:txBody>
      </xdr:sp>
      <xdr:sp macro="" textlink="">
        <xdr:nvSpPr>
          <xdr:cNvPr id="10281" name="Rectangle 471"/>
          <xdr:cNvSpPr>
            <a:spLocks noChangeArrowheads="1"/>
          </xdr:cNvSpPr>
        </xdr:nvSpPr>
        <xdr:spPr bwMode="auto">
          <a:xfrm>
            <a:off x="4314825" y="1838325"/>
            <a:ext cx="485775" cy="3749040"/>
          </a:xfrm>
          <a:prstGeom prst="rect">
            <a:avLst/>
          </a:prstGeom>
          <a:solidFill>
            <a:srgbClr val="99CCFF"/>
          </a:solidFill>
          <a:ln w="9525">
            <a:solidFill>
              <a:srgbClr val="000000"/>
            </a:solidFill>
            <a:miter lim="800000"/>
            <a:headEnd/>
            <a:tailEnd/>
          </a:ln>
        </xdr:spPr>
      </xdr:sp>
      <xdr:sp macro="" textlink="">
        <xdr:nvSpPr>
          <xdr:cNvPr id="10282" name="Freeform 472"/>
          <xdr:cNvSpPr>
            <a:spLocks/>
          </xdr:cNvSpPr>
        </xdr:nvSpPr>
        <xdr:spPr bwMode="auto">
          <a:xfrm>
            <a:off x="4314825" y="1743075"/>
            <a:ext cx="523875" cy="95250"/>
          </a:xfrm>
          <a:custGeom>
            <a:avLst/>
            <a:gdLst>
              <a:gd name="T0" fmla="*/ 2147483647 w 55"/>
              <a:gd name="T1" fmla="*/ 2147483647 h 10"/>
              <a:gd name="T2" fmla="*/ 2147483647 w 55"/>
              <a:gd name="T3" fmla="*/ 2147483647 h 10"/>
              <a:gd name="T4" fmla="*/ 2147483647 w 55"/>
              <a:gd name="T5" fmla="*/ 2147483647 h 10"/>
              <a:gd name="T6" fmla="*/ 2147483647 w 55"/>
              <a:gd name="T7" fmla="*/ 0 h 10"/>
              <a:gd name="T8" fmla="*/ 2147483647 w 55"/>
              <a:gd name="T9" fmla="*/ 2147483647 h 10"/>
              <a:gd name="T10" fmla="*/ 0 w 55"/>
              <a:gd name="T11" fmla="*/ 2147483647 h 10"/>
              <a:gd name="T12" fmla="*/ 2147483647 w 55"/>
              <a:gd name="T13" fmla="*/ 2147483647 h 10"/>
              <a:gd name="T14" fmla="*/ 0 60000 65536"/>
              <a:gd name="T15" fmla="*/ 0 60000 65536"/>
              <a:gd name="T16" fmla="*/ 0 60000 65536"/>
              <a:gd name="T17" fmla="*/ 0 60000 65536"/>
              <a:gd name="T18" fmla="*/ 0 60000 65536"/>
              <a:gd name="T19" fmla="*/ 0 60000 65536"/>
              <a:gd name="T20" fmla="*/ 0 60000 65536"/>
              <a:gd name="T21" fmla="*/ 0 w 55"/>
              <a:gd name="T22" fmla="*/ 0 h 10"/>
              <a:gd name="T23" fmla="*/ 55 w 55"/>
              <a:gd name="T24" fmla="*/ 10 h 1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5" h="10">
                <a:moveTo>
                  <a:pt x="51" y="10"/>
                </a:moveTo>
                <a:lnTo>
                  <a:pt x="55" y="6"/>
                </a:lnTo>
                <a:lnTo>
                  <a:pt x="14" y="6"/>
                </a:lnTo>
                <a:lnTo>
                  <a:pt x="14" y="0"/>
                </a:lnTo>
                <a:lnTo>
                  <a:pt x="7" y="5"/>
                </a:lnTo>
                <a:lnTo>
                  <a:pt x="0" y="10"/>
                </a:lnTo>
                <a:lnTo>
                  <a:pt x="51" y="10"/>
                </a:lnTo>
                <a:close/>
              </a:path>
            </a:pathLst>
          </a:custGeom>
          <a:solidFill>
            <a:srgbClr val="99CCFF"/>
          </a:solidFill>
          <a:ln w="9525">
            <a:solidFill>
              <a:srgbClr val="000000"/>
            </a:solidFill>
            <a:round/>
            <a:headEnd/>
            <a:tailEnd/>
          </a:ln>
        </xdr:spPr>
      </xdr:sp>
      <xdr:sp macro="" textlink="">
        <xdr:nvSpPr>
          <xdr:cNvPr id="10283" name="Freeform 473"/>
          <xdr:cNvSpPr>
            <a:spLocks/>
          </xdr:cNvSpPr>
        </xdr:nvSpPr>
        <xdr:spPr bwMode="auto">
          <a:xfrm>
            <a:off x="4800600" y="1800225"/>
            <a:ext cx="28575" cy="3794760"/>
          </a:xfrm>
          <a:custGeom>
            <a:avLst/>
            <a:gdLst>
              <a:gd name="T0" fmla="*/ 0 w 3"/>
              <a:gd name="T1" fmla="*/ 2147483647 h 416"/>
              <a:gd name="T2" fmla="*/ 2147483647 w 3"/>
              <a:gd name="T3" fmla="*/ 2147483647 h 416"/>
              <a:gd name="T4" fmla="*/ 2147483647 w 3"/>
              <a:gd name="T5" fmla="*/ 0 h 416"/>
              <a:gd name="T6" fmla="*/ 2147483647 w 3"/>
              <a:gd name="T7" fmla="*/ 2147483647 h 416"/>
              <a:gd name="T8" fmla="*/ 0 w 3"/>
              <a:gd name="T9" fmla="*/ 2147483647 h 416"/>
              <a:gd name="T10" fmla="*/ 0 60000 65536"/>
              <a:gd name="T11" fmla="*/ 0 60000 65536"/>
              <a:gd name="T12" fmla="*/ 0 60000 65536"/>
              <a:gd name="T13" fmla="*/ 0 60000 65536"/>
              <a:gd name="T14" fmla="*/ 0 60000 65536"/>
              <a:gd name="T15" fmla="*/ 0 w 3"/>
              <a:gd name="T16" fmla="*/ 0 h 416"/>
              <a:gd name="T17" fmla="*/ 3 w 3"/>
              <a:gd name="T18" fmla="*/ 416 h 416"/>
            </a:gdLst>
            <a:ahLst/>
            <a:cxnLst>
              <a:cxn ang="T10">
                <a:pos x="T0" y="T1"/>
              </a:cxn>
              <a:cxn ang="T11">
                <a:pos x="T2" y="T3"/>
              </a:cxn>
              <a:cxn ang="T12">
                <a:pos x="T4" y="T5"/>
              </a:cxn>
              <a:cxn ang="T13">
                <a:pos x="T6" y="T7"/>
              </a:cxn>
              <a:cxn ang="T14">
                <a:pos x="T8" y="T9"/>
              </a:cxn>
            </a:cxnLst>
            <a:rect l="T15" t="T16" r="T17" b="T18"/>
            <a:pathLst>
              <a:path w="3" h="416">
                <a:moveTo>
                  <a:pt x="0" y="416"/>
                </a:moveTo>
                <a:lnTo>
                  <a:pt x="1" y="4"/>
                </a:lnTo>
                <a:lnTo>
                  <a:pt x="3" y="0"/>
                </a:lnTo>
                <a:lnTo>
                  <a:pt x="3" y="412"/>
                </a:lnTo>
                <a:lnTo>
                  <a:pt x="0" y="416"/>
                </a:lnTo>
                <a:close/>
              </a:path>
            </a:pathLst>
          </a:custGeom>
          <a:solidFill>
            <a:srgbClr val="99CCFF"/>
          </a:solidFill>
          <a:ln w="9525">
            <a:solidFill>
              <a:srgbClr val="000000"/>
            </a:solidFill>
            <a:round/>
            <a:headEnd/>
            <a:tailEnd/>
          </a:ln>
        </xdr:spPr>
      </xdr:sp>
      <xdr:sp macro="" textlink="">
        <xdr:nvSpPr>
          <xdr:cNvPr id="119258" name="AutoShape 474"/>
          <xdr:cNvSpPr>
            <a:spLocks/>
          </xdr:cNvSpPr>
        </xdr:nvSpPr>
        <xdr:spPr bwMode="auto">
          <a:xfrm>
            <a:off x="819150" y="5000625"/>
            <a:ext cx="1733550" cy="847725"/>
          </a:xfrm>
          <a:prstGeom prst="callout2">
            <a:avLst>
              <a:gd name="adj1" fmla="val 13481"/>
              <a:gd name="adj2" fmla="val 104394"/>
              <a:gd name="adj3" fmla="val 13481"/>
              <a:gd name="adj4" fmla="val 148903"/>
              <a:gd name="adj5" fmla="val -101125"/>
              <a:gd name="adj6" fmla="val 214833"/>
            </a:avLst>
          </a:prstGeom>
          <a:solidFill>
            <a:srgbClr val="FFFFFF"/>
          </a:solidFill>
          <a:ln w="12700">
            <a:solidFill>
              <a:srgbClr val="000000"/>
            </a:solidFill>
            <a:miter lim="800000"/>
            <a:headEnd/>
            <a:tailEnd type="triangle" w="lg" len="lg"/>
          </a:ln>
        </xdr:spPr>
        <xdr:txBody>
          <a:bodyPr vertOverflow="clip" wrap="square" lIns="0" tIns="32004" rIns="36576" bIns="0" anchor="t" upright="1"/>
          <a:lstStyle/>
          <a:p>
            <a:pPr algn="r" rtl="0">
              <a:defRPr sz="1000"/>
            </a:pPr>
            <a:r>
              <a:rPr lang="en-US" sz="1600" b="1" i="0" u="none" strike="noStrike" baseline="0">
                <a:solidFill>
                  <a:srgbClr val="000000"/>
                </a:solidFill>
                <a:latin typeface="Arial"/>
                <a:cs typeface="Arial"/>
              </a:rPr>
              <a:t>Aluminum Conduction Channel</a:t>
            </a:r>
          </a:p>
        </xdr:txBody>
      </xdr:sp>
    </xdr:grpSp>
    <xdr:clientData/>
  </xdr:twoCellAnchor>
  <xdr:twoCellAnchor>
    <xdr:from>
      <xdr:col>2</xdr:col>
      <xdr:colOff>371475</xdr:colOff>
      <xdr:row>92</xdr:row>
      <xdr:rowOff>38100</xdr:rowOff>
    </xdr:from>
    <xdr:to>
      <xdr:col>13</xdr:col>
      <xdr:colOff>333375</xdr:colOff>
      <xdr:row>112</xdr:row>
      <xdr:rowOff>47625</xdr:rowOff>
    </xdr:to>
    <xdr:grpSp>
      <xdr:nvGrpSpPr>
        <xdr:cNvPr id="10293" name="Group 294"/>
        <xdr:cNvGrpSpPr>
          <a:grpSpLocks/>
        </xdr:cNvGrpSpPr>
      </xdr:nvGrpSpPr>
      <xdr:grpSpPr bwMode="auto">
        <a:xfrm>
          <a:off x="1590675" y="14935200"/>
          <a:ext cx="6667500" cy="3248025"/>
          <a:chOff x="0" y="0"/>
          <a:chExt cx="700" cy="341"/>
        </a:xfrm>
      </xdr:grpSpPr>
      <xdr:sp macro="" textlink="">
        <xdr:nvSpPr>
          <xdr:cNvPr id="10308" name="Rectangle 296"/>
          <xdr:cNvSpPr>
            <a:spLocks noChangeArrowheads="1"/>
          </xdr:cNvSpPr>
        </xdr:nvSpPr>
        <xdr:spPr bwMode="auto">
          <a:xfrm>
            <a:off x="0" y="0"/>
            <a:ext cx="448" cy="340"/>
          </a:xfrm>
          <a:prstGeom prst="rect">
            <a:avLst/>
          </a:prstGeom>
          <a:solidFill>
            <a:srgbClr val="FF9933"/>
          </a:solidFill>
          <a:ln w="9525">
            <a:solidFill>
              <a:srgbClr val="000000"/>
            </a:solidFill>
            <a:miter lim="800000"/>
            <a:headEnd/>
            <a:tailEnd/>
          </a:ln>
        </xdr:spPr>
      </xdr:sp>
      <xdr:sp macro="" textlink="">
        <xdr:nvSpPr>
          <xdr:cNvPr id="10309" name="Rectangle 297" descr="Granite"/>
          <xdr:cNvSpPr>
            <a:spLocks noChangeArrowheads="1"/>
          </xdr:cNvSpPr>
        </xdr:nvSpPr>
        <xdr:spPr bwMode="auto">
          <a:xfrm>
            <a:off x="0" y="9"/>
            <a:ext cx="448" cy="153"/>
          </a:xfrm>
          <a:prstGeom prst="rect">
            <a:avLst/>
          </a:prstGeom>
          <a:blipFill dpi="0" rotWithShape="1">
            <a:blip xmlns:r="http://schemas.openxmlformats.org/officeDocument/2006/relationships" r:embed="rId1" cstate="print"/>
            <a:srcRect/>
            <a:tile tx="0" ty="0" sx="100000" sy="100000" flip="none" algn="tl"/>
          </a:blipFill>
          <a:ln w="9525">
            <a:solidFill>
              <a:srgbClr val="000000"/>
            </a:solidFill>
            <a:miter lim="800000"/>
            <a:headEnd/>
            <a:tailEnd/>
          </a:ln>
        </xdr:spPr>
      </xdr:sp>
      <xdr:sp macro="" textlink="">
        <xdr:nvSpPr>
          <xdr:cNvPr id="10310" name="Rectangle 298" descr="Granite"/>
          <xdr:cNvSpPr>
            <a:spLocks noChangeArrowheads="1"/>
          </xdr:cNvSpPr>
        </xdr:nvSpPr>
        <xdr:spPr bwMode="auto">
          <a:xfrm>
            <a:off x="0" y="179"/>
            <a:ext cx="448" cy="154"/>
          </a:xfrm>
          <a:prstGeom prst="rect">
            <a:avLst/>
          </a:prstGeom>
          <a:blipFill dpi="0" rotWithShape="1">
            <a:blip xmlns:r="http://schemas.openxmlformats.org/officeDocument/2006/relationships" r:embed="rId1" cstate="print"/>
            <a:srcRect/>
            <a:tile tx="0" ty="0" sx="100000" sy="100000" flip="none" algn="tl"/>
          </a:blipFill>
          <a:ln w="9525">
            <a:solidFill>
              <a:srgbClr val="000000"/>
            </a:solidFill>
            <a:miter lim="800000"/>
            <a:headEnd/>
            <a:tailEnd/>
          </a:ln>
        </xdr:spPr>
      </xdr:sp>
      <xdr:sp macro="" textlink="">
        <xdr:nvSpPr>
          <xdr:cNvPr id="10311" name="Line 370"/>
          <xdr:cNvSpPr>
            <a:spLocks noChangeShapeType="1"/>
          </xdr:cNvSpPr>
        </xdr:nvSpPr>
        <xdr:spPr bwMode="auto">
          <a:xfrm>
            <a:off x="64" y="0"/>
            <a:ext cx="0" cy="340"/>
          </a:xfrm>
          <a:prstGeom prst="line">
            <a:avLst/>
          </a:prstGeom>
          <a:noFill/>
          <a:ln w="19050">
            <a:solidFill>
              <a:srgbClr val="000000"/>
            </a:solidFill>
            <a:prstDash val="dash"/>
            <a:round/>
            <a:headEnd/>
            <a:tailEnd/>
          </a:ln>
        </xdr:spPr>
      </xdr:sp>
      <xdr:sp macro="" textlink="">
        <xdr:nvSpPr>
          <xdr:cNvPr id="10312" name="Line 371"/>
          <xdr:cNvSpPr>
            <a:spLocks noChangeShapeType="1"/>
          </xdr:cNvSpPr>
        </xdr:nvSpPr>
        <xdr:spPr bwMode="auto">
          <a:xfrm>
            <a:off x="128" y="0"/>
            <a:ext cx="0" cy="340"/>
          </a:xfrm>
          <a:prstGeom prst="line">
            <a:avLst/>
          </a:prstGeom>
          <a:noFill/>
          <a:ln w="19050">
            <a:solidFill>
              <a:srgbClr val="000000"/>
            </a:solidFill>
            <a:prstDash val="dash"/>
            <a:round/>
            <a:headEnd/>
            <a:tailEnd/>
          </a:ln>
        </xdr:spPr>
      </xdr:sp>
      <xdr:sp macro="" textlink="">
        <xdr:nvSpPr>
          <xdr:cNvPr id="10313" name="Line 372"/>
          <xdr:cNvSpPr>
            <a:spLocks noChangeShapeType="1"/>
          </xdr:cNvSpPr>
        </xdr:nvSpPr>
        <xdr:spPr bwMode="auto">
          <a:xfrm>
            <a:off x="192" y="1"/>
            <a:ext cx="0" cy="340"/>
          </a:xfrm>
          <a:prstGeom prst="line">
            <a:avLst/>
          </a:prstGeom>
          <a:noFill/>
          <a:ln w="19050">
            <a:solidFill>
              <a:srgbClr val="000000"/>
            </a:solidFill>
            <a:prstDash val="dash"/>
            <a:round/>
            <a:headEnd/>
            <a:tailEnd/>
          </a:ln>
        </xdr:spPr>
      </xdr:sp>
      <xdr:sp macro="" textlink="">
        <xdr:nvSpPr>
          <xdr:cNvPr id="10314" name="Line 373"/>
          <xdr:cNvSpPr>
            <a:spLocks noChangeShapeType="1"/>
          </xdr:cNvSpPr>
        </xdr:nvSpPr>
        <xdr:spPr bwMode="auto">
          <a:xfrm>
            <a:off x="256" y="1"/>
            <a:ext cx="0" cy="340"/>
          </a:xfrm>
          <a:prstGeom prst="line">
            <a:avLst/>
          </a:prstGeom>
          <a:noFill/>
          <a:ln w="19050">
            <a:solidFill>
              <a:srgbClr val="000000"/>
            </a:solidFill>
            <a:prstDash val="dash"/>
            <a:round/>
            <a:headEnd/>
            <a:tailEnd/>
          </a:ln>
        </xdr:spPr>
      </xdr:sp>
      <xdr:sp macro="" textlink="">
        <xdr:nvSpPr>
          <xdr:cNvPr id="10315" name="Line 374"/>
          <xdr:cNvSpPr>
            <a:spLocks noChangeShapeType="1"/>
          </xdr:cNvSpPr>
        </xdr:nvSpPr>
        <xdr:spPr bwMode="auto">
          <a:xfrm>
            <a:off x="320" y="0"/>
            <a:ext cx="0" cy="340"/>
          </a:xfrm>
          <a:prstGeom prst="line">
            <a:avLst/>
          </a:prstGeom>
          <a:noFill/>
          <a:ln w="19050">
            <a:solidFill>
              <a:srgbClr val="000000"/>
            </a:solidFill>
            <a:prstDash val="dash"/>
            <a:round/>
            <a:headEnd/>
            <a:tailEnd/>
          </a:ln>
        </xdr:spPr>
      </xdr:sp>
      <xdr:sp macro="" textlink="">
        <xdr:nvSpPr>
          <xdr:cNvPr id="10316" name="Line 375"/>
          <xdr:cNvSpPr>
            <a:spLocks noChangeShapeType="1"/>
          </xdr:cNvSpPr>
        </xdr:nvSpPr>
        <xdr:spPr bwMode="auto">
          <a:xfrm>
            <a:off x="384" y="0"/>
            <a:ext cx="0" cy="340"/>
          </a:xfrm>
          <a:prstGeom prst="line">
            <a:avLst/>
          </a:prstGeom>
          <a:noFill/>
          <a:ln w="19050">
            <a:solidFill>
              <a:srgbClr val="000000"/>
            </a:solidFill>
            <a:prstDash val="dash"/>
            <a:round/>
            <a:headEnd/>
            <a:tailEnd/>
          </a:ln>
        </xdr:spPr>
      </xdr:sp>
      <xdr:sp macro="" textlink="">
        <xdr:nvSpPr>
          <xdr:cNvPr id="10317" name="Line 376"/>
          <xdr:cNvSpPr>
            <a:spLocks noChangeShapeType="1"/>
          </xdr:cNvSpPr>
        </xdr:nvSpPr>
        <xdr:spPr bwMode="auto">
          <a:xfrm>
            <a:off x="0" y="85"/>
            <a:ext cx="448" cy="0"/>
          </a:xfrm>
          <a:prstGeom prst="line">
            <a:avLst/>
          </a:prstGeom>
          <a:noFill/>
          <a:ln w="19050">
            <a:solidFill>
              <a:srgbClr val="000000"/>
            </a:solidFill>
            <a:prstDash val="dash"/>
            <a:round/>
            <a:headEnd/>
            <a:tailEnd/>
          </a:ln>
        </xdr:spPr>
      </xdr:sp>
      <xdr:sp macro="" textlink="">
        <xdr:nvSpPr>
          <xdr:cNvPr id="10318" name="Line 377"/>
          <xdr:cNvSpPr>
            <a:spLocks noChangeShapeType="1"/>
          </xdr:cNvSpPr>
        </xdr:nvSpPr>
        <xdr:spPr bwMode="auto">
          <a:xfrm>
            <a:off x="0" y="171"/>
            <a:ext cx="448" cy="0"/>
          </a:xfrm>
          <a:prstGeom prst="line">
            <a:avLst/>
          </a:prstGeom>
          <a:noFill/>
          <a:ln w="19050">
            <a:solidFill>
              <a:srgbClr val="000000"/>
            </a:solidFill>
            <a:prstDash val="dash"/>
            <a:round/>
            <a:headEnd/>
            <a:tailEnd/>
          </a:ln>
        </xdr:spPr>
      </xdr:sp>
      <xdr:sp macro="" textlink="">
        <xdr:nvSpPr>
          <xdr:cNvPr id="10319" name="Line 378"/>
          <xdr:cNvSpPr>
            <a:spLocks noChangeShapeType="1"/>
          </xdr:cNvSpPr>
        </xdr:nvSpPr>
        <xdr:spPr bwMode="auto">
          <a:xfrm>
            <a:off x="0" y="256"/>
            <a:ext cx="448" cy="0"/>
          </a:xfrm>
          <a:prstGeom prst="line">
            <a:avLst/>
          </a:prstGeom>
          <a:noFill/>
          <a:ln w="19050">
            <a:solidFill>
              <a:srgbClr val="000000"/>
            </a:solidFill>
            <a:prstDash val="dash"/>
            <a:round/>
            <a:headEnd/>
            <a:tailEnd/>
          </a:ln>
        </xdr:spPr>
      </xdr:sp>
      <xdr:sp macro="" textlink="">
        <xdr:nvSpPr>
          <xdr:cNvPr id="309" name="AutoShape 379"/>
          <xdr:cNvSpPr>
            <a:spLocks/>
          </xdr:cNvSpPr>
        </xdr:nvSpPr>
        <xdr:spPr bwMode="auto">
          <a:xfrm>
            <a:off x="527" y="20"/>
            <a:ext cx="122" cy="64"/>
          </a:xfrm>
          <a:prstGeom prst="callout2">
            <a:avLst>
              <a:gd name="adj1" fmla="val 18750"/>
              <a:gd name="adj2" fmla="val -6556"/>
              <a:gd name="adj3" fmla="val 18750"/>
              <a:gd name="adj4" fmla="val -50000"/>
              <a:gd name="adj5" fmla="val 45315"/>
              <a:gd name="adj6" fmla="val -85245"/>
            </a:avLst>
          </a:prstGeom>
          <a:solidFill>
            <a:srgbClr val="FFFFFF"/>
          </a:solidFill>
          <a:ln w="9525">
            <a:solidFill>
              <a:srgbClr val="000000"/>
            </a:solidFill>
            <a:miter lim="800000"/>
            <a:headEnd/>
            <a:tailEnd type="triangle" w="lg" len="lg"/>
          </a:ln>
        </xdr:spPr>
        <xdr:txBody>
          <a:bodyPr wrap="square" lIns="45720" tIns="36576"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sz="1800" b="1" i="0" u="none" strike="noStrike" baseline="0">
                <a:solidFill>
                  <a:srgbClr val="000000"/>
                </a:solidFill>
                <a:latin typeface="Arial"/>
                <a:cs typeface="Arial"/>
              </a:rPr>
              <a:t>Electrode Coating</a:t>
            </a:r>
          </a:p>
        </xdr:txBody>
      </xdr:sp>
      <xdr:sp macro="" textlink="">
        <xdr:nvSpPr>
          <xdr:cNvPr id="310" name="AutoShape 380"/>
          <xdr:cNvSpPr>
            <a:spLocks/>
          </xdr:cNvSpPr>
        </xdr:nvSpPr>
        <xdr:spPr bwMode="auto">
          <a:xfrm>
            <a:off x="500" y="238"/>
            <a:ext cx="200" cy="99"/>
          </a:xfrm>
          <a:prstGeom prst="callout2">
            <a:avLst>
              <a:gd name="adj1" fmla="val 12120"/>
              <a:gd name="adj2" fmla="val -4000"/>
              <a:gd name="adj3" fmla="val 12120"/>
              <a:gd name="adj4" fmla="val -20500"/>
              <a:gd name="adj5" fmla="val 57574"/>
              <a:gd name="adj6" fmla="val -58500"/>
            </a:avLst>
          </a:prstGeom>
          <a:solidFill>
            <a:srgbClr val="FFFFFF"/>
          </a:solidFill>
          <a:ln w="9525">
            <a:solidFill>
              <a:srgbClr val="000000"/>
            </a:solidFill>
            <a:miter lim="800000"/>
            <a:headEnd/>
            <a:tailEnd type="triangle" w="lg" len="lg"/>
          </a:ln>
        </xdr:spPr>
        <xdr:txBody>
          <a:bodyPr wrap="square" lIns="45720" tIns="36576"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sz="1800" b="1" i="0" u="none" strike="noStrike" baseline="0">
                <a:solidFill>
                  <a:srgbClr val="000000"/>
                </a:solidFill>
                <a:latin typeface="Arial"/>
                <a:cs typeface="Arial"/>
              </a:rPr>
              <a:t>Lines Showing Places to Cut for Electrodes</a:t>
            </a:r>
          </a:p>
        </xdr:txBody>
      </xdr:sp>
      <xdr:sp macro="" textlink="">
        <xdr:nvSpPr>
          <xdr:cNvPr id="311" name="AutoShape 381"/>
          <xdr:cNvSpPr>
            <a:spLocks/>
          </xdr:cNvSpPr>
        </xdr:nvSpPr>
        <xdr:spPr bwMode="auto">
          <a:xfrm>
            <a:off x="519" y="140"/>
            <a:ext cx="178" cy="58"/>
          </a:xfrm>
          <a:prstGeom prst="callout2">
            <a:avLst>
              <a:gd name="adj1" fmla="val 20690"/>
              <a:gd name="adj2" fmla="val -4495"/>
              <a:gd name="adj3" fmla="val 20690"/>
              <a:gd name="adj4" fmla="val -24718"/>
              <a:gd name="adj5" fmla="val 46551"/>
              <a:gd name="adj6" fmla="val -41009"/>
            </a:avLst>
          </a:prstGeom>
          <a:solidFill>
            <a:srgbClr val="FFFFFF"/>
          </a:solidFill>
          <a:ln w="9525">
            <a:solidFill>
              <a:srgbClr val="000000"/>
            </a:solidFill>
            <a:miter lim="800000"/>
            <a:headEnd/>
            <a:tailEnd type="triangle" w="lg" len="lg"/>
          </a:ln>
        </xdr:spPr>
        <xdr:txBody>
          <a:bodyPr wrap="square" lIns="45720" tIns="36576"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sz="1800" b="1" i="0" u="none" strike="noStrike" baseline="0">
                <a:solidFill>
                  <a:srgbClr val="000000"/>
                </a:solidFill>
                <a:latin typeface="Arial"/>
                <a:cs typeface="Arial"/>
              </a:rPr>
              <a:t>Uncoated Area for CC Tabs</a:t>
            </a:r>
          </a:p>
        </xdr:txBody>
      </xdr:sp>
      <xdr:sp macro="" textlink="">
        <xdr:nvSpPr>
          <xdr:cNvPr id="10323" name="Line 382"/>
          <xdr:cNvSpPr>
            <a:spLocks noChangeShapeType="1"/>
          </xdr:cNvSpPr>
        </xdr:nvSpPr>
        <xdr:spPr bwMode="auto">
          <a:xfrm flipH="1" flipV="1">
            <a:off x="408" y="170"/>
            <a:ext cx="51" cy="80"/>
          </a:xfrm>
          <a:prstGeom prst="line">
            <a:avLst/>
          </a:prstGeom>
          <a:noFill/>
          <a:ln w="9525">
            <a:solidFill>
              <a:srgbClr val="000000"/>
            </a:solidFill>
            <a:round/>
            <a:headEnd/>
            <a:tailEnd type="triangle" w="lg" len="lg"/>
          </a:ln>
        </xdr:spPr>
      </xdr:sp>
    </xdr:grpSp>
    <xdr:clientData/>
  </xdr:twoCellAnchor>
  <xdr:twoCellAnchor>
    <xdr:from>
      <xdr:col>2</xdr:col>
      <xdr:colOff>400050</xdr:colOff>
      <xdr:row>114</xdr:row>
      <xdr:rowOff>114300</xdr:rowOff>
    </xdr:from>
    <xdr:to>
      <xdr:col>10</xdr:col>
      <xdr:colOff>161925</xdr:colOff>
      <xdr:row>119</xdr:row>
      <xdr:rowOff>19050</xdr:rowOff>
    </xdr:to>
    <xdr:sp macro="" textlink="">
      <xdr:nvSpPr>
        <xdr:cNvPr id="296" name="Text Box 385"/>
        <xdr:cNvSpPr txBox="1">
          <a:spLocks noChangeArrowheads="1"/>
        </xdr:cNvSpPr>
      </xdr:nvSpPr>
      <xdr:spPr bwMode="auto">
        <a:xfrm>
          <a:off x="1619250" y="18249900"/>
          <a:ext cx="4638675" cy="714375"/>
        </a:xfrm>
        <a:prstGeom prst="rect">
          <a:avLst/>
        </a:prstGeom>
        <a:solidFill>
          <a:srgbClr val="FFFFFF"/>
        </a:solidFill>
        <a:ln>
          <a:noFill/>
        </a:ln>
        <a:extLst/>
      </xdr:spPr>
      <xdr:txBody>
        <a:bodyPr wrap="square" lIns="45720" tIns="41148" rIns="4572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sz="2000" b="1" i="0" u="none" strike="noStrike" baseline="0">
              <a:solidFill>
                <a:srgbClr val="993366"/>
              </a:solidFill>
              <a:latin typeface="Arial"/>
              <a:cs typeface="Arial"/>
            </a:rPr>
            <a:t>Sample Layout of Electrode Coating on Cell Current Collector Foil</a:t>
          </a:r>
        </a:p>
      </xdr:txBody>
    </xdr:sp>
    <xdr:clientData/>
  </xdr:twoCellAnchor>
  <xdr:twoCellAnchor>
    <xdr:from>
      <xdr:col>2</xdr:col>
      <xdr:colOff>488949</xdr:colOff>
      <xdr:row>85</xdr:row>
      <xdr:rowOff>92076</xdr:rowOff>
    </xdr:from>
    <xdr:to>
      <xdr:col>11</xdr:col>
      <xdr:colOff>517524</xdr:colOff>
      <xdr:row>88</xdr:row>
      <xdr:rowOff>73025</xdr:rowOff>
    </xdr:to>
    <xdr:sp macro="" textlink="">
      <xdr:nvSpPr>
        <xdr:cNvPr id="230" name="Text Box 387"/>
        <xdr:cNvSpPr txBox="1">
          <a:spLocks noChangeArrowheads="1"/>
        </xdr:cNvSpPr>
      </xdr:nvSpPr>
      <xdr:spPr bwMode="auto">
        <a:xfrm>
          <a:off x="1708149" y="13046076"/>
          <a:ext cx="5514975" cy="466724"/>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000" b="1" i="0" u="none" strike="noStrike" baseline="0">
              <a:solidFill>
                <a:srgbClr val="993366"/>
              </a:solidFill>
              <a:latin typeface="Arial"/>
              <a:cs typeface="Arial"/>
            </a:rPr>
            <a:t>Provisions for Cooling Cells With Cabin Air</a:t>
          </a:r>
        </a:p>
      </xdr:txBody>
    </xdr:sp>
    <xdr:clientData/>
  </xdr:twoCellAnchor>
  <xdr:twoCellAnchor>
    <xdr:from>
      <xdr:col>0</xdr:col>
      <xdr:colOff>114300</xdr:colOff>
      <xdr:row>47</xdr:row>
      <xdr:rowOff>104775</xdr:rowOff>
    </xdr:from>
    <xdr:to>
      <xdr:col>0</xdr:col>
      <xdr:colOff>114300</xdr:colOff>
      <xdr:row>47</xdr:row>
      <xdr:rowOff>104775</xdr:rowOff>
    </xdr:to>
    <xdr:sp macro="" textlink="">
      <xdr:nvSpPr>
        <xdr:cNvPr id="10376" name="Line 446"/>
        <xdr:cNvSpPr>
          <a:spLocks noChangeShapeType="1"/>
        </xdr:cNvSpPr>
      </xdr:nvSpPr>
      <xdr:spPr bwMode="auto">
        <a:xfrm>
          <a:off x="114300" y="7715250"/>
          <a:ext cx="0" cy="0"/>
        </a:xfrm>
        <a:prstGeom prst="line">
          <a:avLst/>
        </a:prstGeom>
        <a:noFill/>
        <a:ln w="9525">
          <a:solidFill>
            <a:srgbClr val="000000"/>
          </a:solidFill>
          <a:round/>
          <a:headEnd/>
          <a:tailEnd/>
        </a:ln>
      </xdr:spPr>
    </xdr:sp>
    <xdr:clientData/>
  </xdr:twoCellAnchor>
  <xdr:twoCellAnchor>
    <xdr:from>
      <xdr:col>0</xdr:col>
      <xdr:colOff>276225</xdr:colOff>
      <xdr:row>40</xdr:row>
      <xdr:rowOff>0</xdr:rowOff>
    </xdr:from>
    <xdr:to>
      <xdr:col>12</xdr:col>
      <xdr:colOff>491432</xdr:colOff>
      <xdr:row>84</xdr:row>
      <xdr:rowOff>76200</xdr:rowOff>
    </xdr:to>
    <xdr:grpSp>
      <xdr:nvGrpSpPr>
        <xdr:cNvPr id="5" name="Group 4"/>
        <xdr:cNvGrpSpPr/>
      </xdr:nvGrpSpPr>
      <xdr:grpSpPr>
        <a:xfrm>
          <a:off x="276225" y="6477000"/>
          <a:ext cx="7530407" cy="7200900"/>
          <a:chOff x="276225" y="6477000"/>
          <a:chExt cx="7530407" cy="7200900"/>
        </a:xfrm>
      </xdr:grpSpPr>
      <xdr:sp macro="" textlink="">
        <xdr:nvSpPr>
          <xdr:cNvPr id="217" name="TextBox 216"/>
          <xdr:cNvSpPr txBox="1"/>
        </xdr:nvSpPr>
        <xdr:spPr>
          <a:xfrm>
            <a:off x="6758881" y="10963275"/>
            <a:ext cx="1047751"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n>
                  <a:noFill/>
                </a:ln>
              </a:rPr>
              <a:t>6 </a:t>
            </a:r>
            <a:r>
              <a:rPr lang="en-US" sz="1600" b="1" baseline="0">
                <a:ln>
                  <a:noFill/>
                </a:ln>
              </a:rPr>
              <a:t>mm</a:t>
            </a:r>
            <a:endParaRPr lang="en-US" sz="1600" b="1">
              <a:ln>
                <a:noFill/>
              </a:ln>
            </a:endParaRPr>
          </a:p>
        </xdr:txBody>
      </xdr:sp>
      <xdr:sp macro="" textlink="">
        <xdr:nvSpPr>
          <xdr:cNvPr id="10368" name="Rectangle 168"/>
          <xdr:cNvSpPr>
            <a:spLocks noChangeArrowheads="1"/>
          </xdr:cNvSpPr>
        </xdr:nvSpPr>
        <xdr:spPr bwMode="auto">
          <a:xfrm>
            <a:off x="2152650" y="6600825"/>
            <a:ext cx="371475" cy="4505325"/>
          </a:xfrm>
          <a:prstGeom prst="rect">
            <a:avLst/>
          </a:prstGeom>
          <a:solidFill>
            <a:srgbClr val="69FFFF"/>
          </a:solidFill>
          <a:ln w="19050">
            <a:solidFill>
              <a:srgbClr val="000000"/>
            </a:solidFill>
            <a:miter lim="800000"/>
            <a:headEnd/>
            <a:tailEnd/>
          </a:ln>
        </xdr:spPr>
      </xdr:sp>
      <xdr:sp macro="" textlink="">
        <xdr:nvSpPr>
          <xdr:cNvPr id="10369" name="Line 423"/>
          <xdr:cNvSpPr>
            <a:spLocks noChangeShapeType="1"/>
          </xdr:cNvSpPr>
        </xdr:nvSpPr>
        <xdr:spPr bwMode="auto">
          <a:xfrm>
            <a:off x="619125" y="8477250"/>
            <a:ext cx="0" cy="3009900"/>
          </a:xfrm>
          <a:prstGeom prst="line">
            <a:avLst/>
          </a:prstGeom>
          <a:noFill/>
          <a:ln w="9525">
            <a:solidFill>
              <a:srgbClr val="000000"/>
            </a:solidFill>
            <a:round/>
            <a:headEnd/>
            <a:tailEnd/>
          </a:ln>
        </xdr:spPr>
      </xdr:sp>
      <xdr:sp macro="" textlink="">
        <xdr:nvSpPr>
          <xdr:cNvPr id="10370" name="Line 425"/>
          <xdr:cNvSpPr>
            <a:spLocks noChangeShapeType="1"/>
          </xdr:cNvSpPr>
        </xdr:nvSpPr>
        <xdr:spPr bwMode="auto">
          <a:xfrm flipV="1">
            <a:off x="628650" y="7400925"/>
            <a:ext cx="1885950" cy="1085850"/>
          </a:xfrm>
          <a:prstGeom prst="line">
            <a:avLst/>
          </a:prstGeom>
          <a:noFill/>
          <a:ln w="9525">
            <a:solidFill>
              <a:srgbClr val="000000"/>
            </a:solidFill>
            <a:round/>
            <a:headEnd/>
            <a:tailEnd/>
          </a:ln>
        </xdr:spPr>
      </xdr:sp>
      <xdr:sp macro="" textlink="">
        <xdr:nvSpPr>
          <xdr:cNvPr id="10371" name="Line 426"/>
          <xdr:cNvSpPr>
            <a:spLocks noChangeShapeType="1"/>
          </xdr:cNvSpPr>
        </xdr:nvSpPr>
        <xdr:spPr bwMode="auto">
          <a:xfrm flipV="1">
            <a:off x="619125" y="10401300"/>
            <a:ext cx="1885950" cy="1085850"/>
          </a:xfrm>
          <a:prstGeom prst="line">
            <a:avLst/>
          </a:prstGeom>
          <a:noFill/>
          <a:ln w="9525">
            <a:solidFill>
              <a:srgbClr val="000000"/>
            </a:solidFill>
            <a:round/>
            <a:headEnd/>
            <a:tailEnd/>
          </a:ln>
        </xdr:spPr>
      </xdr:sp>
      <xdr:sp macro="" textlink="">
        <xdr:nvSpPr>
          <xdr:cNvPr id="10372" name="Line 427"/>
          <xdr:cNvSpPr>
            <a:spLocks noChangeShapeType="1"/>
          </xdr:cNvSpPr>
        </xdr:nvSpPr>
        <xdr:spPr bwMode="auto">
          <a:xfrm>
            <a:off x="2514600" y="7400925"/>
            <a:ext cx="0" cy="3009900"/>
          </a:xfrm>
          <a:prstGeom prst="line">
            <a:avLst/>
          </a:prstGeom>
          <a:noFill/>
          <a:ln w="9525">
            <a:solidFill>
              <a:srgbClr val="000000"/>
            </a:solidFill>
            <a:round/>
            <a:headEnd/>
            <a:tailEnd/>
          </a:ln>
        </xdr:spPr>
      </xdr:sp>
      <xdr:sp macro="" textlink="">
        <xdr:nvSpPr>
          <xdr:cNvPr id="10373" name="Line 433"/>
          <xdr:cNvSpPr>
            <a:spLocks noChangeShapeType="1"/>
          </xdr:cNvSpPr>
        </xdr:nvSpPr>
        <xdr:spPr bwMode="auto">
          <a:xfrm flipV="1">
            <a:off x="2152650" y="6638925"/>
            <a:ext cx="0" cy="247650"/>
          </a:xfrm>
          <a:prstGeom prst="line">
            <a:avLst/>
          </a:prstGeom>
          <a:noFill/>
          <a:ln w="9525">
            <a:solidFill>
              <a:srgbClr val="000000"/>
            </a:solidFill>
            <a:round/>
            <a:headEnd/>
            <a:tailEnd/>
          </a:ln>
        </xdr:spPr>
      </xdr:sp>
      <xdr:sp macro="" textlink="">
        <xdr:nvSpPr>
          <xdr:cNvPr id="10374" name="Line 435"/>
          <xdr:cNvSpPr>
            <a:spLocks noChangeShapeType="1"/>
          </xdr:cNvSpPr>
        </xdr:nvSpPr>
        <xdr:spPr bwMode="auto">
          <a:xfrm flipV="1">
            <a:off x="2152650" y="10382250"/>
            <a:ext cx="381000" cy="514350"/>
          </a:xfrm>
          <a:prstGeom prst="line">
            <a:avLst/>
          </a:prstGeom>
          <a:noFill/>
          <a:ln w="9525">
            <a:solidFill>
              <a:srgbClr val="000000"/>
            </a:solidFill>
            <a:round/>
            <a:headEnd/>
            <a:tailEnd/>
          </a:ln>
        </xdr:spPr>
      </xdr:sp>
      <xdr:sp macro="" textlink="">
        <xdr:nvSpPr>
          <xdr:cNvPr id="10375" name="Line 445"/>
          <xdr:cNvSpPr>
            <a:spLocks noChangeShapeType="1"/>
          </xdr:cNvSpPr>
        </xdr:nvSpPr>
        <xdr:spPr bwMode="auto">
          <a:xfrm flipH="1">
            <a:off x="2524125" y="7353300"/>
            <a:ext cx="0" cy="3086100"/>
          </a:xfrm>
          <a:prstGeom prst="line">
            <a:avLst/>
          </a:prstGeom>
          <a:noFill/>
          <a:ln w="19050">
            <a:solidFill>
              <a:srgbClr val="000000"/>
            </a:solidFill>
            <a:round/>
            <a:headEnd/>
            <a:tailEnd/>
          </a:ln>
        </xdr:spPr>
      </xdr:sp>
      <xdr:sp macro="" textlink="">
        <xdr:nvSpPr>
          <xdr:cNvPr id="10377" name="Freeform 192"/>
          <xdr:cNvSpPr>
            <a:spLocks/>
          </xdr:cNvSpPr>
        </xdr:nvSpPr>
        <xdr:spPr bwMode="auto">
          <a:xfrm>
            <a:off x="609600" y="7058025"/>
            <a:ext cx="1876425" cy="4705350"/>
          </a:xfrm>
          <a:custGeom>
            <a:avLst/>
            <a:gdLst>
              <a:gd name="T0" fmla="*/ 0 w 197"/>
              <a:gd name="T1" fmla="*/ 2147483647 h 494"/>
              <a:gd name="T2" fmla="*/ 0 w 197"/>
              <a:gd name="T3" fmla="*/ 2147483647 h 494"/>
              <a:gd name="T4" fmla="*/ 0 w 197"/>
              <a:gd name="T5" fmla="*/ 2147483647 h 494"/>
              <a:gd name="T6" fmla="*/ 90725634 w 197"/>
              <a:gd name="T7" fmla="*/ 2147483647 h 494"/>
              <a:gd name="T8" fmla="*/ 725805073 w 197"/>
              <a:gd name="T9" fmla="*/ 2147483647 h 494"/>
              <a:gd name="T10" fmla="*/ 2086689324 w 197"/>
              <a:gd name="T11" fmla="*/ 2147483647 h 494"/>
              <a:gd name="T12" fmla="*/ 2147483647 w 197"/>
              <a:gd name="T13" fmla="*/ 2147483647 h 494"/>
              <a:gd name="T14" fmla="*/ 2147483647 w 197"/>
              <a:gd name="T15" fmla="*/ 2147483647 h 494"/>
              <a:gd name="T16" fmla="*/ 2147483647 w 197"/>
              <a:gd name="T17" fmla="*/ 2147483647 h 494"/>
              <a:gd name="T18" fmla="*/ 2147483647 w 197"/>
              <a:gd name="T19" fmla="*/ 1179433131 h 494"/>
              <a:gd name="T20" fmla="*/ 2147483647 w 197"/>
              <a:gd name="T21" fmla="*/ 362902559 h 494"/>
              <a:gd name="T22" fmla="*/ 2147483647 w 197"/>
              <a:gd name="T23" fmla="*/ 0 h 494"/>
              <a:gd name="T24" fmla="*/ 2147483647 w 197"/>
              <a:gd name="T25" fmla="*/ 0 h 494"/>
              <a:gd name="T26" fmla="*/ 2147483647 w 197"/>
              <a:gd name="T27" fmla="*/ 2147483647 h 494"/>
              <a:gd name="T28" fmla="*/ 2147483647 w 197"/>
              <a:gd name="T29" fmla="*/ 2147483647 h 494"/>
              <a:gd name="T30" fmla="*/ 2147483647 w 197"/>
              <a:gd name="T31" fmla="*/ 2147483647 h 494"/>
              <a:gd name="T32" fmla="*/ 2147483647 w 197"/>
              <a:gd name="T33" fmla="*/ 2147483647 h 494"/>
              <a:gd name="T34" fmla="*/ 1633061339 w 197"/>
              <a:gd name="T35" fmla="*/ 2147483647 h 494"/>
              <a:gd name="T36" fmla="*/ 453628133 w 197"/>
              <a:gd name="T37" fmla="*/ 2147483647 h 494"/>
              <a:gd name="T38" fmla="*/ 90725634 w 197"/>
              <a:gd name="T39" fmla="*/ 2147483647 h 494"/>
              <a:gd name="T40" fmla="*/ 0 w 197"/>
              <a:gd name="T41" fmla="*/ 2147483647 h 49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97"/>
              <a:gd name="T64" fmla="*/ 0 h 494"/>
              <a:gd name="T65" fmla="*/ 197 w 197"/>
              <a:gd name="T66" fmla="*/ 494 h 494"/>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97" h="494">
                <a:moveTo>
                  <a:pt x="0" y="188"/>
                </a:moveTo>
                <a:lnTo>
                  <a:pt x="0" y="172"/>
                </a:lnTo>
                <a:lnTo>
                  <a:pt x="0" y="121"/>
                </a:lnTo>
                <a:lnTo>
                  <a:pt x="1" y="109"/>
                </a:lnTo>
                <a:lnTo>
                  <a:pt x="8" y="106"/>
                </a:lnTo>
                <a:lnTo>
                  <a:pt x="23" y="97"/>
                </a:lnTo>
                <a:lnTo>
                  <a:pt x="77" y="67"/>
                </a:lnTo>
                <a:lnTo>
                  <a:pt x="120" y="42"/>
                </a:lnTo>
                <a:lnTo>
                  <a:pt x="146" y="27"/>
                </a:lnTo>
                <a:lnTo>
                  <a:pt x="172" y="13"/>
                </a:lnTo>
                <a:lnTo>
                  <a:pt x="186" y="4"/>
                </a:lnTo>
                <a:lnTo>
                  <a:pt x="194" y="0"/>
                </a:lnTo>
                <a:lnTo>
                  <a:pt x="197" y="0"/>
                </a:lnTo>
                <a:lnTo>
                  <a:pt x="196" y="72"/>
                </a:lnTo>
                <a:lnTo>
                  <a:pt x="196" y="343"/>
                </a:lnTo>
                <a:lnTo>
                  <a:pt x="196" y="393"/>
                </a:lnTo>
                <a:lnTo>
                  <a:pt x="190" y="397"/>
                </a:lnTo>
                <a:lnTo>
                  <a:pt x="18" y="491"/>
                </a:lnTo>
                <a:lnTo>
                  <a:pt x="5" y="494"/>
                </a:lnTo>
                <a:lnTo>
                  <a:pt x="1" y="492"/>
                </a:lnTo>
                <a:lnTo>
                  <a:pt x="0" y="188"/>
                </a:lnTo>
                <a:close/>
              </a:path>
            </a:pathLst>
          </a:custGeom>
          <a:gradFill rotWithShape="1">
            <a:gsLst>
              <a:gs pos="0">
                <a:srgbClr val="FFFFFF"/>
              </a:gs>
              <a:gs pos="100000">
                <a:srgbClr val="69FFFF"/>
              </a:gs>
            </a:gsLst>
            <a:lin ang="2700000" scaled="1"/>
          </a:gradFill>
          <a:ln w="57150" cmpd="sng">
            <a:solidFill>
              <a:srgbClr val="A6CAF0"/>
            </a:solidFill>
            <a:round/>
            <a:headEnd/>
            <a:tailEnd/>
          </a:ln>
        </xdr:spPr>
      </xdr:sp>
      <xdr:sp macro="" textlink="">
        <xdr:nvSpPr>
          <xdr:cNvPr id="10378" name="Rectangle 193"/>
          <xdr:cNvSpPr>
            <a:spLocks noChangeArrowheads="1"/>
          </xdr:cNvSpPr>
        </xdr:nvSpPr>
        <xdr:spPr bwMode="auto">
          <a:xfrm>
            <a:off x="2590800" y="6657975"/>
            <a:ext cx="371475" cy="4572000"/>
          </a:xfrm>
          <a:prstGeom prst="rect">
            <a:avLst/>
          </a:prstGeom>
          <a:solidFill>
            <a:srgbClr val="69FFFF"/>
          </a:solidFill>
          <a:ln w="19050">
            <a:solidFill>
              <a:srgbClr val="000000"/>
            </a:solidFill>
            <a:miter lim="800000"/>
            <a:headEnd/>
            <a:tailEnd/>
          </a:ln>
        </xdr:spPr>
      </xdr:sp>
      <xdr:sp macro="" textlink="">
        <xdr:nvSpPr>
          <xdr:cNvPr id="10379" name="Line 423"/>
          <xdr:cNvSpPr>
            <a:spLocks noChangeShapeType="1"/>
          </xdr:cNvSpPr>
        </xdr:nvSpPr>
        <xdr:spPr bwMode="auto">
          <a:xfrm>
            <a:off x="1057275" y="8534400"/>
            <a:ext cx="0" cy="3009900"/>
          </a:xfrm>
          <a:prstGeom prst="line">
            <a:avLst/>
          </a:prstGeom>
          <a:noFill/>
          <a:ln w="9525">
            <a:solidFill>
              <a:srgbClr val="000000"/>
            </a:solidFill>
            <a:round/>
            <a:headEnd/>
            <a:tailEnd/>
          </a:ln>
        </xdr:spPr>
      </xdr:sp>
      <xdr:sp macro="" textlink="">
        <xdr:nvSpPr>
          <xdr:cNvPr id="10380" name="Line 424"/>
          <xdr:cNvSpPr>
            <a:spLocks noChangeShapeType="1"/>
          </xdr:cNvSpPr>
        </xdr:nvSpPr>
        <xdr:spPr bwMode="auto">
          <a:xfrm>
            <a:off x="609600" y="7991475"/>
            <a:ext cx="0" cy="4248150"/>
          </a:xfrm>
          <a:prstGeom prst="line">
            <a:avLst/>
          </a:prstGeom>
          <a:noFill/>
          <a:ln w="9525">
            <a:solidFill>
              <a:srgbClr val="000000"/>
            </a:solidFill>
            <a:round/>
            <a:headEnd/>
            <a:tailEnd/>
          </a:ln>
        </xdr:spPr>
      </xdr:sp>
      <xdr:sp macro="" textlink="">
        <xdr:nvSpPr>
          <xdr:cNvPr id="10381" name="Line 425"/>
          <xdr:cNvSpPr>
            <a:spLocks noChangeShapeType="1"/>
          </xdr:cNvSpPr>
        </xdr:nvSpPr>
        <xdr:spPr bwMode="auto">
          <a:xfrm flipV="1">
            <a:off x="1066800" y="7458075"/>
            <a:ext cx="1885950" cy="1085850"/>
          </a:xfrm>
          <a:prstGeom prst="line">
            <a:avLst/>
          </a:prstGeom>
          <a:noFill/>
          <a:ln w="9525">
            <a:solidFill>
              <a:srgbClr val="000000"/>
            </a:solidFill>
            <a:round/>
            <a:headEnd/>
            <a:tailEnd/>
          </a:ln>
        </xdr:spPr>
      </xdr:sp>
      <xdr:sp macro="" textlink="">
        <xdr:nvSpPr>
          <xdr:cNvPr id="10382" name="Line 426"/>
          <xdr:cNvSpPr>
            <a:spLocks noChangeShapeType="1"/>
          </xdr:cNvSpPr>
        </xdr:nvSpPr>
        <xdr:spPr bwMode="auto">
          <a:xfrm flipV="1">
            <a:off x="1057275" y="10458450"/>
            <a:ext cx="1885950" cy="1085850"/>
          </a:xfrm>
          <a:prstGeom prst="line">
            <a:avLst/>
          </a:prstGeom>
          <a:noFill/>
          <a:ln w="9525">
            <a:solidFill>
              <a:srgbClr val="000000"/>
            </a:solidFill>
            <a:round/>
            <a:headEnd/>
            <a:tailEnd/>
          </a:ln>
        </xdr:spPr>
      </xdr:sp>
      <xdr:sp macro="" textlink="">
        <xdr:nvSpPr>
          <xdr:cNvPr id="10383" name="Line 427"/>
          <xdr:cNvSpPr>
            <a:spLocks noChangeShapeType="1"/>
          </xdr:cNvSpPr>
        </xdr:nvSpPr>
        <xdr:spPr bwMode="auto">
          <a:xfrm>
            <a:off x="2952750" y="7458075"/>
            <a:ext cx="0" cy="3009900"/>
          </a:xfrm>
          <a:prstGeom prst="line">
            <a:avLst/>
          </a:prstGeom>
          <a:noFill/>
          <a:ln w="9525">
            <a:solidFill>
              <a:srgbClr val="000000"/>
            </a:solidFill>
            <a:round/>
            <a:headEnd/>
            <a:tailEnd/>
          </a:ln>
        </xdr:spPr>
      </xdr:sp>
      <xdr:sp macro="" textlink="">
        <xdr:nvSpPr>
          <xdr:cNvPr id="10384" name="Line 428"/>
          <xdr:cNvSpPr>
            <a:spLocks noChangeShapeType="1"/>
          </xdr:cNvSpPr>
        </xdr:nvSpPr>
        <xdr:spPr bwMode="auto">
          <a:xfrm flipV="1">
            <a:off x="714375" y="6943725"/>
            <a:ext cx="1885950" cy="1085850"/>
          </a:xfrm>
          <a:prstGeom prst="line">
            <a:avLst/>
          </a:prstGeom>
          <a:noFill/>
          <a:ln w="9525">
            <a:solidFill>
              <a:srgbClr val="000000"/>
            </a:solidFill>
            <a:round/>
            <a:headEnd/>
            <a:tailEnd/>
          </a:ln>
        </xdr:spPr>
      </xdr:sp>
      <xdr:sp macro="" textlink="">
        <xdr:nvSpPr>
          <xdr:cNvPr id="10385" name="Line 429"/>
          <xdr:cNvSpPr>
            <a:spLocks noChangeShapeType="1"/>
          </xdr:cNvSpPr>
        </xdr:nvSpPr>
        <xdr:spPr bwMode="auto">
          <a:xfrm flipH="1" flipV="1">
            <a:off x="704850" y="8039100"/>
            <a:ext cx="352425" cy="495300"/>
          </a:xfrm>
          <a:prstGeom prst="line">
            <a:avLst/>
          </a:prstGeom>
          <a:noFill/>
          <a:ln w="9525">
            <a:solidFill>
              <a:srgbClr val="000000"/>
            </a:solidFill>
            <a:round/>
            <a:headEnd/>
            <a:tailEnd/>
          </a:ln>
        </xdr:spPr>
      </xdr:sp>
      <xdr:sp macro="" textlink="">
        <xdr:nvSpPr>
          <xdr:cNvPr id="10386" name="Line 430"/>
          <xdr:cNvSpPr>
            <a:spLocks noChangeShapeType="1"/>
          </xdr:cNvSpPr>
        </xdr:nvSpPr>
        <xdr:spPr bwMode="auto">
          <a:xfrm flipV="1">
            <a:off x="704850" y="7762875"/>
            <a:ext cx="0" cy="266700"/>
          </a:xfrm>
          <a:prstGeom prst="line">
            <a:avLst/>
          </a:prstGeom>
          <a:noFill/>
          <a:ln w="9525">
            <a:solidFill>
              <a:srgbClr val="000000"/>
            </a:solidFill>
            <a:round/>
            <a:headEnd/>
            <a:tailEnd/>
          </a:ln>
        </xdr:spPr>
      </xdr:sp>
      <xdr:sp macro="" textlink="">
        <xdr:nvSpPr>
          <xdr:cNvPr id="10387" name="Line 431"/>
          <xdr:cNvSpPr>
            <a:spLocks noChangeShapeType="1"/>
          </xdr:cNvSpPr>
        </xdr:nvSpPr>
        <xdr:spPr bwMode="auto">
          <a:xfrm flipV="1">
            <a:off x="609600" y="7772400"/>
            <a:ext cx="0" cy="266700"/>
          </a:xfrm>
          <a:prstGeom prst="line">
            <a:avLst/>
          </a:prstGeom>
          <a:noFill/>
          <a:ln w="9525">
            <a:solidFill>
              <a:srgbClr val="000000"/>
            </a:solidFill>
            <a:round/>
            <a:headEnd/>
            <a:tailEnd/>
          </a:ln>
        </xdr:spPr>
      </xdr:sp>
      <xdr:sp macro="" textlink="">
        <xdr:nvSpPr>
          <xdr:cNvPr id="10388" name="Line 432"/>
          <xdr:cNvSpPr>
            <a:spLocks noChangeShapeType="1"/>
          </xdr:cNvSpPr>
        </xdr:nvSpPr>
        <xdr:spPr bwMode="auto">
          <a:xfrm flipV="1">
            <a:off x="714375" y="6686550"/>
            <a:ext cx="1885950" cy="1085850"/>
          </a:xfrm>
          <a:prstGeom prst="line">
            <a:avLst/>
          </a:prstGeom>
          <a:noFill/>
          <a:ln w="9525">
            <a:solidFill>
              <a:srgbClr val="000000"/>
            </a:solidFill>
            <a:round/>
            <a:headEnd/>
            <a:tailEnd/>
          </a:ln>
        </xdr:spPr>
      </xdr:sp>
      <xdr:sp macro="" textlink="">
        <xdr:nvSpPr>
          <xdr:cNvPr id="10389" name="Line 433"/>
          <xdr:cNvSpPr>
            <a:spLocks noChangeShapeType="1"/>
          </xdr:cNvSpPr>
        </xdr:nvSpPr>
        <xdr:spPr bwMode="auto">
          <a:xfrm flipV="1">
            <a:off x="2590800" y="6696075"/>
            <a:ext cx="0" cy="247650"/>
          </a:xfrm>
          <a:prstGeom prst="line">
            <a:avLst/>
          </a:prstGeom>
          <a:noFill/>
          <a:ln w="9525">
            <a:solidFill>
              <a:srgbClr val="000000"/>
            </a:solidFill>
            <a:round/>
            <a:headEnd/>
            <a:tailEnd/>
          </a:ln>
        </xdr:spPr>
      </xdr:sp>
      <xdr:sp macro="" textlink="">
        <xdr:nvSpPr>
          <xdr:cNvPr id="10390" name="Line 434"/>
          <xdr:cNvSpPr>
            <a:spLocks noChangeShapeType="1"/>
          </xdr:cNvSpPr>
        </xdr:nvSpPr>
        <xdr:spPr bwMode="auto">
          <a:xfrm flipV="1">
            <a:off x="695325" y="10953750"/>
            <a:ext cx="1885950" cy="1085850"/>
          </a:xfrm>
          <a:prstGeom prst="line">
            <a:avLst/>
          </a:prstGeom>
          <a:noFill/>
          <a:ln w="9525">
            <a:solidFill>
              <a:srgbClr val="000000"/>
            </a:solidFill>
            <a:round/>
            <a:headEnd/>
            <a:tailEnd/>
          </a:ln>
        </xdr:spPr>
      </xdr:sp>
      <xdr:sp macro="" textlink="">
        <xdr:nvSpPr>
          <xdr:cNvPr id="10391" name="Line 435"/>
          <xdr:cNvSpPr>
            <a:spLocks noChangeShapeType="1"/>
          </xdr:cNvSpPr>
        </xdr:nvSpPr>
        <xdr:spPr bwMode="auto">
          <a:xfrm flipV="1">
            <a:off x="2562225" y="10439400"/>
            <a:ext cx="381000" cy="514350"/>
          </a:xfrm>
          <a:prstGeom prst="line">
            <a:avLst/>
          </a:prstGeom>
          <a:noFill/>
          <a:ln w="9525">
            <a:solidFill>
              <a:srgbClr val="000000"/>
            </a:solidFill>
            <a:round/>
            <a:headEnd/>
            <a:tailEnd/>
          </a:ln>
        </xdr:spPr>
      </xdr:sp>
      <xdr:sp macro="" textlink="">
        <xdr:nvSpPr>
          <xdr:cNvPr id="10392" name="Freeform 207"/>
          <xdr:cNvSpPr>
            <a:spLocks/>
          </xdr:cNvSpPr>
        </xdr:nvSpPr>
        <xdr:spPr bwMode="auto">
          <a:xfrm>
            <a:off x="771525" y="6953250"/>
            <a:ext cx="2105025" cy="1190625"/>
          </a:xfrm>
          <a:custGeom>
            <a:avLst/>
            <a:gdLst>
              <a:gd name="T0" fmla="*/ 2147483647 w 221"/>
              <a:gd name="T1" fmla="*/ 2147483647 h 125"/>
              <a:gd name="T2" fmla="*/ 2147483647 w 221"/>
              <a:gd name="T3" fmla="*/ 2147483647 h 125"/>
              <a:gd name="T4" fmla="*/ 2147483647 w 221"/>
              <a:gd name="T5" fmla="*/ 2086689461 h 125"/>
              <a:gd name="T6" fmla="*/ 2147483647 w 221"/>
              <a:gd name="T7" fmla="*/ 1542335844 h 125"/>
              <a:gd name="T8" fmla="*/ 2147483647 w 221"/>
              <a:gd name="T9" fmla="*/ 1179433135 h 125"/>
              <a:gd name="T10" fmla="*/ 2147483647 w 221"/>
              <a:gd name="T11" fmla="*/ 725805120 h 125"/>
              <a:gd name="T12" fmla="*/ 2147483647 w 221"/>
              <a:gd name="T13" fmla="*/ 0 h 125"/>
              <a:gd name="T14" fmla="*/ 0 w 221"/>
              <a:gd name="T15" fmla="*/ 2147483647 h 125"/>
              <a:gd name="T16" fmla="*/ 2147483647 w 221"/>
              <a:gd name="T17" fmla="*/ 2147483647 h 125"/>
              <a:gd name="T18" fmla="*/ 2147483647 w 221"/>
              <a:gd name="T19" fmla="*/ 2147483647 h 125"/>
              <a:gd name="T20" fmla="*/ 2147483647 w 221"/>
              <a:gd name="T21" fmla="*/ 2147483647 h 1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221"/>
              <a:gd name="T34" fmla="*/ 0 h 125"/>
              <a:gd name="T35" fmla="*/ 221 w 221"/>
              <a:gd name="T36" fmla="*/ 125 h 1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221" h="125">
                <a:moveTo>
                  <a:pt x="45" y="117"/>
                </a:moveTo>
                <a:lnTo>
                  <a:pt x="198" y="30"/>
                </a:lnTo>
                <a:lnTo>
                  <a:pt x="211" y="23"/>
                </a:lnTo>
                <a:lnTo>
                  <a:pt x="221" y="17"/>
                </a:lnTo>
                <a:lnTo>
                  <a:pt x="212" y="13"/>
                </a:lnTo>
                <a:lnTo>
                  <a:pt x="192" y="8"/>
                </a:lnTo>
                <a:lnTo>
                  <a:pt x="192" y="0"/>
                </a:lnTo>
                <a:lnTo>
                  <a:pt x="0" y="107"/>
                </a:lnTo>
                <a:lnTo>
                  <a:pt x="30" y="125"/>
                </a:lnTo>
                <a:lnTo>
                  <a:pt x="36" y="122"/>
                </a:lnTo>
                <a:lnTo>
                  <a:pt x="45" y="117"/>
                </a:lnTo>
                <a:close/>
              </a:path>
            </a:pathLst>
          </a:custGeom>
          <a:gradFill rotWithShape="1">
            <a:gsLst>
              <a:gs pos="0">
                <a:srgbClr val="FFFFFF"/>
              </a:gs>
              <a:gs pos="100000">
                <a:srgbClr val="69FFFF"/>
              </a:gs>
            </a:gsLst>
            <a:lin ang="5400000" scaled="1"/>
          </a:gradFill>
          <a:ln w="57150" cmpd="sng">
            <a:solidFill>
              <a:srgbClr val="A6CAF0"/>
            </a:solidFill>
            <a:round/>
            <a:headEnd/>
            <a:tailEnd/>
          </a:ln>
        </xdr:spPr>
      </xdr:sp>
      <xdr:sp macro="" textlink="">
        <xdr:nvSpPr>
          <xdr:cNvPr id="10393" name="Freeform 208"/>
          <xdr:cNvSpPr>
            <a:spLocks/>
          </xdr:cNvSpPr>
        </xdr:nvSpPr>
        <xdr:spPr bwMode="auto">
          <a:xfrm>
            <a:off x="571500" y="6686550"/>
            <a:ext cx="2019300" cy="1276350"/>
          </a:xfrm>
          <a:custGeom>
            <a:avLst/>
            <a:gdLst>
              <a:gd name="T0" fmla="*/ 1270158980 w 212"/>
              <a:gd name="T1" fmla="*/ 2147483647 h 134"/>
              <a:gd name="T2" fmla="*/ 2147483647 w 212"/>
              <a:gd name="T3" fmla="*/ 2147483647 h 134"/>
              <a:gd name="T4" fmla="*/ 2147483647 w 212"/>
              <a:gd name="T5" fmla="*/ 2147483647 h 134"/>
              <a:gd name="T6" fmla="*/ 2147483647 w 212"/>
              <a:gd name="T7" fmla="*/ 0 h 134"/>
              <a:gd name="T8" fmla="*/ 0 w 212"/>
              <a:gd name="T9" fmla="*/ 2147483647 h 134"/>
              <a:gd name="T10" fmla="*/ 1270158980 w 212"/>
              <a:gd name="T11" fmla="*/ 2147483647 h 134"/>
              <a:gd name="T12" fmla="*/ 0 60000 65536"/>
              <a:gd name="T13" fmla="*/ 0 60000 65536"/>
              <a:gd name="T14" fmla="*/ 0 60000 65536"/>
              <a:gd name="T15" fmla="*/ 0 60000 65536"/>
              <a:gd name="T16" fmla="*/ 0 60000 65536"/>
              <a:gd name="T17" fmla="*/ 0 60000 65536"/>
              <a:gd name="T18" fmla="*/ 0 w 212"/>
              <a:gd name="T19" fmla="*/ 0 h 134"/>
              <a:gd name="T20" fmla="*/ 212 w 212"/>
              <a:gd name="T21" fmla="*/ 134 h 134"/>
            </a:gdLst>
            <a:ahLst/>
            <a:cxnLst>
              <a:cxn ang="T12">
                <a:pos x="T0" y="T1"/>
              </a:cxn>
              <a:cxn ang="T13">
                <a:pos x="T2" y="T3"/>
              </a:cxn>
              <a:cxn ang="T14">
                <a:pos x="T4" y="T5"/>
              </a:cxn>
              <a:cxn ang="T15">
                <a:pos x="T6" y="T7"/>
              </a:cxn>
              <a:cxn ang="T16">
                <a:pos x="T8" y="T9"/>
              </a:cxn>
              <a:cxn ang="T17">
                <a:pos x="T10" y="T11"/>
              </a:cxn>
            </a:cxnLst>
            <a:rect l="T18" t="T19" r="T20" b="T21"/>
            <a:pathLst>
              <a:path w="212" h="134">
                <a:moveTo>
                  <a:pt x="14" y="134"/>
                </a:moveTo>
                <a:lnTo>
                  <a:pt x="38" y="125"/>
                </a:lnTo>
                <a:lnTo>
                  <a:pt x="212" y="27"/>
                </a:lnTo>
                <a:lnTo>
                  <a:pt x="212" y="0"/>
                </a:lnTo>
                <a:lnTo>
                  <a:pt x="0" y="117"/>
                </a:lnTo>
                <a:lnTo>
                  <a:pt x="14" y="134"/>
                </a:lnTo>
                <a:close/>
              </a:path>
            </a:pathLst>
          </a:custGeom>
          <a:gradFill rotWithShape="1">
            <a:gsLst>
              <a:gs pos="0">
                <a:srgbClr val="69FFFF"/>
              </a:gs>
              <a:gs pos="100000">
                <a:srgbClr val="FFFFFF"/>
              </a:gs>
            </a:gsLst>
            <a:lin ang="5400000" scaled="1"/>
          </a:gradFill>
          <a:ln w="38100" cmpd="sng">
            <a:solidFill>
              <a:srgbClr val="A6CAF0"/>
            </a:solidFill>
            <a:round/>
            <a:headEnd/>
            <a:tailEnd/>
          </a:ln>
        </xdr:spPr>
      </xdr:sp>
      <xdr:sp macro="" textlink="">
        <xdr:nvSpPr>
          <xdr:cNvPr id="10394" name="Freeform 209"/>
          <xdr:cNvSpPr>
            <a:spLocks/>
          </xdr:cNvSpPr>
        </xdr:nvSpPr>
        <xdr:spPr bwMode="auto">
          <a:xfrm>
            <a:off x="885825" y="8058150"/>
            <a:ext cx="161925" cy="3838575"/>
          </a:xfrm>
          <a:custGeom>
            <a:avLst/>
            <a:gdLst>
              <a:gd name="T0" fmla="*/ 1360884360 w 17"/>
              <a:gd name="T1" fmla="*/ 2147483647 h 403"/>
              <a:gd name="T2" fmla="*/ 0 w 17"/>
              <a:gd name="T3" fmla="*/ 2147483647 h 403"/>
              <a:gd name="T4" fmla="*/ 90725621 w 17"/>
              <a:gd name="T5" fmla="*/ 0 h 403"/>
              <a:gd name="T6" fmla="*/ 1542335528 w 17"/>
              <a:gd name="T7" fmla="*/ 997981870 h 403"/>
              <a:gd name="T8" fmla="*/ 1451609944 w 17"/>
              <a:gd name="T9" fmla="*/ 2147483647 h 403"/>
              <a:gd name="T10" fmla="*/ 1360884360 w 17"/>
              <a:gd name="T11" fmla="*/ 2147483647 h 403"/>
              <a:gd name="T12" fmla="*/ 1360884360 w 17"/>
              <a:gd name="T13" fmla="*/ 2147483647 h 403"/>
              <a:gd name="T14" fmla="*/ 1360884360 w 17"/>
              <a:gd name="T15" fmla="*/ 2147483647 h 403"/>
              <a:gd name="T16" fmla="*/ 0 60000 65536"/>
              <a:gd name="T17" fmla="*/ 0 60000 65536"/>
              <a:gd name="T18" fmla="*/ 0 60000 65536"/>
              <a:gd name="T19" fmla="*/ 0 60000 65536"/>
              <a:gd name="T20" fmla="*/ 0 60000 65536"/>
              <a:gd name="T21" fmla="*/ 0 60000 65536"/>
              <a:gd name="T22" fmla="*/ 0 60000 65536"/>
              <a:gd name="T23" fmla="*/ 0 60000 65536"/>
              <a:gd name="T24" fmla="*/ 0 w 17"/>
              <a:gd name="T25" fmla="*/ 0 h 403"/>
              <a:gd name="T26" fmla="*/ 17 w 17"/>
              <a:gd name="T27" fmla="*/ 403 h 40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7" h="403">
                <a:moveTo>
                  <a:pt x="15" y="395"/>
                </a:moveTo>
                <a:lnTo>
                  <a:pt x="0" y="403"/>
                </a:lnTo>
                <a:lnTo>
                  <a:pt x="1" y="0"/>
                </a:lnTo>
                <a:lnTo>
                  <a:pt x="17" y="11"/>
                </a:lnTo>
                <a:lnTo>
                  <a:pt x="16" y="60"/>
                </a:lnTo>
                <a:lnTo>
                  <a:pt x="15" y="351"/>
                </a:lnTo>
                <a:lnTo>
                  <a:pt x="15" y="367"/>
                </a:lnTo>
                <a:lnTo>
                  <a:pt x="15" y="395"/>
                </a:lnTo>
                <a:close/>
              </a:path>
            </a:pathLst>
          </a:custGeom>
          <a:gradFill rotWithShape="1">
            <a:gsLst>
              <a:gs pos="0">
                <a:srgbClr val="FFFFFF"/>
              </a:gs>
              <a:gs pos="100000">
                <a:srgbClr val="69FFFF"/>
              </a:gs>
            </a:gsLst>
            <a:lin ang="18900000" scaled="1"/>
          </a:gradFill>
          <a:ln w="38100" cmpd="sng">
            <a:solidFill>
              <a:srgbClr val="A6CAF0"/>
            </a:solidFill>
            <a:round/>
            <a:headEnd/>
            <a:tailEnd/>
          </a:ln>
        </xdr:spPr>
      </xdr:sp>
      <xdr:sp macro="" textlink="">
        <xdr:nvSpPr>
          <xdr:cNvPr id="10395" name="Freeform 210"/>
          <xdr:cNvSpPr>
            <a:spLocks/>
          </xdr:cNvSpPr>
        </xdr:nvSpPr>
        <xdr:spPr bwMode="auto">
          <a:xfrm>
            <a:off x="790594" y="10906125"/>
            <a:ext cx="1847831" cy="1304887"/>
          </a:xfrm>
          <a:custGeom>
            <a:avLst/>
            <a:gdLst>
              <a:gd name="T0" fmla="*/ 19002 w 9238"/>
              <a:gd name="T1" fmla="*/ 1047721 h 9448"/>
              <a:gd name="T2" fmla="*/ 1847831 w 9238"/>
              <a:gd name="T3" fmla="*/ 0 h 9448"/>
              <a:gd name="T4" fmla="*/ 1847831 w 9238"/>
              <a:gd name="T5" fmla="*/ 276225 h 9448"/>
              <a:gd name="T6" fmla="*/ 0 w 9238"/>
              <a:gd name="T7" fmla="*/ 1304887 h 9448"/>
              <a:gd name="T8" fmla="*/ 19002 w 9238"/>
              <a:gd name="T9" fmla="*/ 1047721 h 944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238" h="9448">
                <a:moveTo>
                  <a:pt x="95" y="7586"/>
                </a:moveTo>
                <a:lnTo>
                  <a:pt x="9238" y="0"/>
                </a:lnTo>
                <a:lnTo>
                  <a:pt x="9238" y="2000"/>
                </a:lnTo>
                <a:lnTo>
                  <a:pt x="0" y="9448"/>
                </a:lnTo>
                <a:cubicBezTo>
                  <a:pt x="32" y="8827"/>
                  <a:pt x="63" y="8207"/>
                  <a:pt x="95" y="7586"/>
                </a:cubicBezTo>
                <a:close/>
              </a:path>
            </a:pathLst>
          </a:custGeom>
          <a:gradFill rotWithShape="1">
            <a:gsLst>
              <a:gs pos="0">
                <a:srgbClr val="FFFFFF"/>
              </a:gs>
              <a:gs pos="100000">
                <a:srgbClr val="00FFFF"/>
              </a:gs>
            </a:gsLst>
            <a:lin ang="2700000" scaled="1"/>
          </a:gradFill>
          <a:ln w="38100" cmpd="sng">
            <a:solidFill>
              <a:srgbClr val="A6CAF0"/>
            </a:solidFill>
            <a:round/>
            <a:headEnd/>
            <a:tailEnd/>
          </a:ln>
        </xdr:spPr>
      </xdr:sp>
      <xdr:sp macro="" textlink="">
        <xdr:nvSpPr>
          <xdr:cNvPr id="10396" name="Freeform 211"/>
          <xdr:cNvSpPr>
            <a:spLocks/>
          </xdr:cNvSpPr>
        </xdr:nvSpPr>
        <xdr:spPr bwMode="auto">
          <a:xfrm>
            <a:off x="771525" y="11439525"/>
            <a:ext cx="2181225" cy="1019175"/>
          </a:xfrm>
          <a:custGeom>
            <a:avLst/>
            <a:gdLst>
              <a:gd name="T0" fmla="*/ 2147483647 w 229"/>
              <a:gd name="T1" fmla="*/ 2147483647 h 107"/>
              <a:gd name="T2" fmla="*/ 0 w 229"/>
              <a:gd name="T3" fmla="*/ 2147483647 h 107"/>
              <a:gd name="T4" fmla="*/ 2147483647 w 229"/>
              <a:gd name="T5" fmla="*/ 0 h 107"/>
              <a:gd name="T6" fmla="*/ 2147483647 w 229"/>
              <a:gd name="T7" fmla="*/ 0 h 107"/>
              <a:gd name="T8" fmla="*/ 2147483647 w 229"/>
              <a:gd name="T9" fmla="*/ 2147483647 h 107"/>
              <a:gd name="T10" fmla="*/ 0 60000 65536"/>
              <a:gd name="T11" fmla="*/ 0 60000 65536"/>
              <a:gd name="T12" fmla="*/ 0 60000 65536"/>
              <a:gd name="T13" fmla="*/ 0 60000 65536"/>
              <a:gd name="T14" fmla="*/ 0 60000 65536"/>
              <a:gd name="T15" fmla="*/ 0 w 229"/>
              <a:gd name="T16" fmla="*/ 0 h 107"/>
              <a:gd name="T17" fmla="*/ 229 w 229"/>
              <a:gd name="T18" fmla="*/ 107 h 107"/>
            </a:gdLst>
            <a:ahLst/>
            <a:cxnLst>
              <a:cxn ang="T10">
                <a:pos x="T0" y="T1"/>
              </a:cxn>
              <a:cxn ang="T11">
                <a:pos x="T2" y="T3"/>
              </a:cxn>
              <a:cxn ang="T12">
                <a:pos x="T4" y="T5"/>
              </a:cxn>
              <a:cxn ang="T13">
                <a:pos x="T6" y="T7"/>
              </a:cxn>
              <a:cxn ang="T14">
                <a:pos x="T8" y="T9"/>
              </a:cxn>
            </a:cxnLst>
            <a:rect l="T15" t="T16" r="T17" b="T18"/>
            <a:pathLst>
              <a:path w="229" h="107">
                <a:moveTo>
                  <a:pt x="37" y="107"/>
                </a:moveTo>
                <a:lnTo>
                  <a:pt x="0" y="107"/>
                </a:lnTo>
                <a:lnTo>
                  <a:pt x="192" y="0"/>
                </a:lnTo>
                <a:lnTo>
                  <a:pt x="229" y="0"/>
                </a:lnTo>
                <a:lnTo>
                  <a:pt x="37" y="107"/>
                </a:lnTo>
                <a:close/>
              </a:path>
            </a:pathLst>
          </a:custGeom>
          <a:gradFill rotWithShape="1">
            <a:gsLst>
              <a:gs pos="0">
                <a:srgbClr val="FFFFFF"/>
              </a:gs>
              <a:gs pos="100000">
                <a:srgbClr val="C0C0C0"/>
              </a:gs>
            </a:gsLst>
            <a:lin ang="5400000" scaled="1"/>
          </a:gradFill>
          <a:ln w="9525">
            <a:solidFill>
              <a:srgbClr val="000000"/>
            </a:solidFill>
            <a:round/>
            <a:headEnd/>
            <a:tailEnd/>
          </a:ln>
        </xdr:spPr>
      </xdr:sp>
      <xdr:sp macro="" textlink="">
        <xdr:nvSpPr>
          <xdr:cNvPr id="10397" name="Freeform 212"/>
          <xdr:cNvSpPr>
            <a:spLocks/>
          </xdr:cNvSpPr>
        </xdr:nvSpPr>
        <xdr:spPr bwMode="auto">
          <a:xfrm>
            <a:off x="790575" y="11210925"/>
            <a:ext cx="1819275" cy="1238250"/>
          </a:xfrm>
          <a:custGeom>
            <a:avLst/>
            <a:gdLst>
              <a:gd name="T0" fmla="*/ 0 w 191"/>
              <a:gd name="T1" fmla="*/ 2147483647 h 130"/>
              <a:gd name="T2" fmla="*/ 2147483647 w 191"/>
              <a:gd name="T3" fmla="*/ 0 h 130"/>
              <a:gd name="T4" fmla="*/ 2147483647 w 191"/>
              <a:gd name="T5" fmla="*/ 2147483647 h 130"/>
              <a:gd name="T6" fmla="*/ 0 w 191"/>
              <a:gd name="T7" fmla="*/ 2147483647 h 130"/>
              <a:gd name="T8" fmla="*/ 0 w 191"/>
              <a:gd name="T9" fmla="*/ 2147483647 h 130"/>
              <a:gd name="T10" fmla="*/ 0 60000 65536"/>
              <a:gd name="T11" fmla="*/ 0 60000 65536"/>
              <a:gd name="T12" fmla="*/ 0 60000 65536"/>
              <a:gd name="T13" fmla="*/ 0 60000 65536"/>
              <a:gd name="T14" fmla="*/ 0 60000 65536"/>
              <a:gd name="T15" fmla="*/ 0 w 191"/>
              <a:gd name="T16" fmla="*/ 0 h 130"/>
              <a:gd name="T17" fmla="*/ 191 w 191"/>
              <a:gd name="T18" fmla="*/ 130 h 130"/>
            </a:gdLst>
            <a:ahLst/>
            <a:cxnLst>
              <a:cxn ang="T10">
                <a:pos x="T0" y="T1"/>
              </a:cxn>
              <a:cxn ang="T11">
                <a:pos x="T2" y="T3"/>
              </a:cxn>
              <a:cxn ang="T12">
                <a:pos x="T4" y="T5"/>
              </a:cxn>
              <a:cxn ang="T13">
                <a:pos x="T6" y="T7"/>
              </a:cxn>
              <a:cxn ang="T14">
                <a:pos x="T8" y="T9"/>
              </a:cxn>
            </a:cxnLst>
            <a:rect l="T15" t="T16" r="T17" b="T18"/>
            <a:pathLst>
              <a:path w="191" h="130">
                <a:moveTo>
                  <a:pt x="0" y="106"/>
                </a:moveTo>
                <a:lnTo>
                  <a:pt x="191" y="0"/>
                </a:lnTo>
                <a:lnTo>
                  <a:pt x="191" y="24"/>
                </a:lnTo>
                <a:lnTo>
                  <a:pt x="0" y="130"/>
                </a:lnTo>
                <a:lnTo>
                  <a:pt x="0" y="106"/>
                </a:lnTo>
                <a:close/>
              </a:path>
            </a:pathLst>
          </a:custGeom>
          <a:gradFill rotWithShape="1">
            <a:gsLst>
              <a:gs pos="0">
                <a:srgbClr val="FFFFFF"/>
              </a:gs>
              <a:gs pos="100000">
                <a:srgbClr val="C0C0C0"/>
              </a:gs>
            </a:gsLst>
            <a:lin ang="2700000" scaled="1"/>
          </a:gradFill>
          <a:ln w="9525">
            <a:solidFill>
              <a:srgbClr val="000000"/>
            </a:solidFill>
            <a:round/>
            <a:headEnd/>
            <a:tailEnd/>
          </a:ln>
        </xdr:spPr>
      </xdr:sp>
      <xdr:sp macro="" textlink="">
        <xdr:nvSpPr>
          <xdr:cNvPr id="10398" name="Freeform 213"/>
          <xdr:cNvSpPr>
            <a:spLocks/>
          </xdr:cNvSpPr>
        </xdr:nvSpPr>
        <xdr:spPr bwMode="auto">
          <a:xfrm>
            <a:off x="1123950" y="11439525"/>
            <a:ext cx="1828800" cy="1057275"/>
          </a:xfrm>
          <a:custGeom>
            <a:avLst/>
            <a:gdLst>
              <a:gd name="T0" fmla="*/ 0 w 192"/>
              <a:gd name="T1" fmla="*/ 2147483647 h 111"/>
              <a:gd name="T2" fmla="*/ 2147483647 w 192"/>
              <a:gd name="T3" fmla="*/ 0 h 111"/>
              <a:gd name="T4" fmla="*/ 2147483647 w 192"/>
              <a:gd name="T5" fmla="*/ 362902549 h 111"/>
              <a:gd name="T6" fmla="*/ 0 w 192"/>
              <a:gd name="T7" fmla="*/ 2147483647 h 111"/>
              <a:gd name="T8" fmla="*/ 0 w 192"/>
              <a:gd name="T9" fmla="*/ 2147483647 h 111"/>
              <a:gd name="T10" fmla="*/ 0 60000 65536"/>
              <a:gd name="T11" fmla="*/ 0 60000 65536"/>
              <a:gd name="T12" fmla="*/ 0 60000 65536"/>
              <a:gd name="T13" fmla="*/ 0 60000 65536"/>
              <a:gd name="T14" fmla="*/ 0 60000 65536"/>
              <a:gd name="T15" fmla="*/ 0 w 192"/>
              <a:gd name="T16" fmla="*/ 0 h 111"/>
              <a:gd name="T17" fmla="*/ 192 w 192"/>
              <a:gd name="T18" fmla="*/ 111 h 111"/>
            </a:gdLst>
            <a:ahLst/>
            <a:cxnLst>
              <a:cxn ang="T10">
                <a:pos x="T0" y="T1"/>
              </a:cxn>
              <a:cxn ang="T11">
                <a:pos x="T2" y="T3"/>
              </a:cxn>
              <a:cxn ang="T12">
                <a:pos x="T4" y="T5"/>
              </a:cxn>
              <a:cxn ang="T13">
                <a:pos x="T6" y="T7"/>
              </a:cxn>
              <a:cxn ang="T14">
                <a:pos x="T8" y="T9"/>
              </a:cxn>
            </a:cxnLst>
            <a:rect l="T15" t="T16" r="T17" b="T18"/>
            <a:pathLst>
              <a:path w="192" h="111">
                <a:moveTo>
                  <a:pt x="0" y="107"/>
                </a:moveTo>
                <a:lnTo>
                  <a:pt x="192" y="0"/>
                </a:lnTo>
                <a:lnTo>
                  <a:pt x="192" y="4"/>
                </a:lnTo>
                <a:lnTo>
                  <a:pt x="0" y="111"/>
                </a:lnTo>
                <a:lnTo>
                  <a:pt x="0" y="107"/>
                </a:lnTo>
                <a:close/>
              </a:path>
            </a:pathLst>
          </a:custGeom>
          <a:solidFill>
            <a:srgbClr val="969696"/>
          </a:solidFill>
          <a:ln w="9525">
            <a:solidFill>
              <a:srgbClr val="000000"/>
            </a:solidFill>
            <a:round/>
            <a:headEnd/>
            <a:tailEnd/>
          </a:ln>
        </xdr:spPr>
      </xdr:sp>
      <xdr:sp macro="" textlink="">
        <xdr:nvSpPr>
          <xdr:cNvPr id="10399" name="Freeform 214"/>
          <xdr:cNvSpPr>
            <a:spLocks/>
          </xdr:cNvSpPr>
        </xdr:nvSpPr>
        <xdr:spPr bwMode="auto">
          <a:xfrm>
            <a:off x="752475" y="12230100"/>
            <a:ext cx="381000" cy="266700"/>
          </a:xfrm>
          <a:custGeom>
            <a:avLst/>
            <a:gdLst>
              <a:gd name="T0" fmla="*/ 362902510 w 40"/>
              <a:gd name="T1" fmla="*/ 0 h 28"/>
              <a:gd name="T2" fmla="*/ 362902510 w 40"/>
              <a:gd name="T3" fmla="*/ 2147483647 h 28"/>
              <a:gd name="T4" fmla="*/ 2147483647 w 40"/>
              <a:gd name="T5" fmla="*/ 2147483647 h 28"/>
              <a:gd name="T6" fmla="*/ 2147483647 w 40"/>
              <a:gd name="T7" fmla="*/ 2147483647 h 28"/>
              <a:gd name="T8" fmla="*/ 0 w 40"/>
              <a:gd name="T9" fmla="*/ 2147483647 h 28"/>
              <a:gd name="T10" fmla="*/ 0 w 40"/>
              <a:gd name="T11" fmla="*/ 0 h 28"/>
              <a:gd name="T12" fmla="*/ 362902510 w 40"/>
              <a:gd name="T13" fmla="*/ 0 h 28"/>
              <a:gd name="T14" fmla="*/ 0 60000 65536"/>
              <a:gd name="T15" fmla="*/ 0 60000 65536"/>
              <a:gd name="T16" fmla="*/ 0 60000 65536"/>
              <a:gd name="T17" fmla="*/ 0 60000 65536"/>
              <a:gd name="T18" fmla="*/ 0 60000 65536"/>
              <a:gd name="T19" fmla="*/ 0 60000 65536"/>
              <a:gd name="T20" fmla="*/ 0 60000 65536"/>
              <a:gd name="T21" fmla="*/ 0 w 40"/>
              <a:gd name="T22" fmla="*/ 0 h 28"/>
              <a:gd name="T23" fmla="*/ 40 w 40"/>
              <a:gd name="T24" fmla="*/ 28 h 2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0" h="28">
                <a:moveTo>
                  <a:pt x="4" y="0"/>
                </a:moveTo>
                <a:lnTo>
                  <a:pt x="4" y="24"/>
                </a:lnTo>
                <a:lnTo>
                  <a:pt x="40" y="24"/>
                </a:lnTo>
                <a:lnTo>
                  <a:pt x="40" y="28"/>
                </a:lnTo>
                <a:lnTo>
                  <a:pt x="0" y="28"/>
                </a:lnTo>
                <a:lnTo>
                  <a:pt x="0" y="0"/>
                </a:lnTo>
                <a:lnTo>
                  <a:pt x="4" y="0"/>
                </a:lnTo>
                <a:close/>
              </a:path>
            </a:pathLst>
          </a:custGeom>
          <a:solidFill>
            <a:srgbClr val="969696"/>
          </a:solidFill>
          <a:ln w="9525">
            <a:solidFill>
              <a:srgbClr val="000000"/>
            </a:solidFill>
            <a:round/>
            <a:headEnd/>
            <a:tailEnd/>
          </a:ln>
        </xdr:spPr>
      </xdr:sp>
      <xdr:sp macro="" textlink="">
        <xdr:nvSpPr>
          <xdr:cNvPr id="10400" name="Line 446"/>
          <xdr:cNvSpPr>
            <a:spLocks noChangeShapeType="1"/>
          </xdr:cNvSpPr>
        </xdr:nvSpPr>
        <xdr:spPr bwMode="auto">
          <a:xfrm>
            <a:off x="552450" y="7772400"/>
            <a:ext cx="0" cy="0"/>
          </a:xfrm>
          <a:prstGeom prst="line">
            <a:avLst/>
          </a:prstGeom>
          <a:noFill/>
          <a:ln w="9525">
            <a:solidFill>
              <a:srgbClr val="000000"/>
            </a:solidFill>
            <a:round/>
            <a:headEnd/>
            <a:tailEnd/>
          </a:ln>
        </xdr:spPr>
      </xdr:sp>
      <xdr:sp macro="" textlink="">
        <xdr:nvSpPr>
          <xdr:cNvPr id="10401" name="Line 447"/>
          <xdr:cNvSpPr>
            <a:spLocks noChangeShapeType="1"/>
          </xdr:cNvSpPr>
        </xdr:nvSpPr>
        <xdr:spPr bwMode="auto">
          <a:xfrm flipV="1">
            <a:off x="561975" y="6657975"/>
            <a:ext cx="2038350" cy="1123950"/>
          </a:xfrm>
          <a:prstGeom prst="line">
            <a:avLst/>
          </a:prstGeom>
          <a:noFill/>
          <a:ln w="19050">
            <a:solidFill>
              <a:srgbClr val="000000"/>
            </a:solidFill>
            <a:round/>
            <a:headEnd/>
            <a:tailEnd/>
          </a:ln>
        </xdr:spPr>
      </xdr:sp>
      <xdr:grpSp>
        <xdr:nvGrpSpPr>
          <xdr:cNvPr id="10402" name="Group 217"/>
          <xdr:cNvGrpSpPr>
            <a:grpSpLocks/>
          </xdr:cNvGrpSpPr>
        </xdr:nvGrpSpPr>
        <xdr:grpSpPr bwMode="auto">
          <a:xfrm>
            <a:off x="276225" y="6477000"/>
            <a:ext cx="2247900" cy="1285875"/>
            <a:chOff x="304800" y="57150"/>
            <a:chExt cx="236" cy="135"/>
          </a:xfrm>
        </xdr:grpSpPr>
        <xdr:sp macro="" textlink="">
          <xdr:nvSpPr>
            <xdr:cNvPr id="10405" name="Freeform 226"/>
            <xdr:cNvSpPr>
              <a:spLocks/>
            </xdr:cNvSpPr>
          </xdr:nvSpPr>
          <xdr:spPr bwMode="auto">
            <a:xfrm>
              <a:off x="304844" y="57150"/>
              <a:ext cx="192" cy="134"/>
            </a:xfrm>
            <a:custGeom>
              <a:avLst/>
              <a:gdLst>
                <a:gd name="T0" fmla="*/ 0 w 192"/>
                <a:gd name="T1" fmla="*/ 107 h 134"/>
                <a:gd name="T2" fmla="*/ 192 w 192"/>
                <a:gd name="T3" fmla="*/ 0 h 134"/>
                <a:gd name="T4" fmla="*/ 192 w 192"/>
                <a:gd name="T5" fmla="*/ 28 h 134"/>
                <a:gd name="T6" fmla="*/ 0 w 192"/>
                <a:gd name="T7" fmla="*/ 134 h 134"/>
                <a:gd name="T8" fmla="*/ 0 w 192"/>
                <a:gd name="T9" fmla="*/ 107 h 134"/>
                <a:gd name="T10" fmla="*/ 0 60000 65536"/>
                <a:gd name="T11" fmla="*/ 0 60000 65536"/>
                <a:gd name="T12" fmla="*/ 0 60000 65536"/>
                <a:gd name="T13" fmla="*/ 0 60000 65536"/>
                <a:gd name="T14" fmla="*/ 0 60000 65536"/>
                <a:gd name="T15" fmla="*/ 0 w 192"/>
                <a:gd name="T16" fmla="*/ 0 h 134"/>
                <a:gd name="T17" fmla="*/ 192 w 192"/>
                <a:gd name="T18" fmla="*/ 134 h 134"/>
              </a:gdLst>
              <a:ahLst/>
              <a:cxnLst>
                <a:cxn ang="T10">
                  <a:pos x="T0" y="T1"/>
                </a:cxn>
                <a:cxn ang="T11">
                  <a:pos x="T2" y="T3"/>
                </a:cxn>
                <a:cxn ang="T12">
                  <a:pos x="T4" y="T5"/>
                </a:cxn>
                <a:cxn ang="T13">
                  <a:pos x="T6" y="T7"/>
                </a:cxn>
                <a:cxn ang="T14">
                  <a:pos x="T8" y="T9"/>
                </a:cxn>
              </a:cxnLst>
              <a:rect l="T15" t="T16" r="T17" b="T18"/>
              <a:pathLst>
                <a:path w="192" h="134">
                  <a:moveTo>
                    <a:pt x="0" y="107"/>
                  </a:moveTo>
                  <a:lnTo>
                    <a:pt x="192" y="0"/>
                  </a:lnTo>
                  <a:lnTo>
                    <a:pt x="192" y="28"/>
                  </a:lnTo>
                  <a:lnTo>
                    <a:pt x="0" y="134"/>
                  </a:lnTo>
                  <a:lnTo>
                    <a:pt x="0" y="107"/>
                  </a:lnTo>
                  <a:close/>
                </a:path>
              </a:pathLst>
            </a:custGeom>
            <a:gradFill rotWithShape="1">
              <a:gsLst>
                <a:gs pos="0">
                  <a:srgbClr val="C0C0C0"/>
                </a:gs>
                <a:gs pos="100000">
                  <a:srgbClr val="FFFFFF"/>
                </a:gs>
              </a:gsLst>
              <a:lin ang="2700000" scaled="1"/>
            </a:gradFill>
            <a:ln w="9525">
              <a:solidFill>
                <a:srgbClr val="000000"/>
              </a:solidFill>
              <a:round/>
              <a:headEnd/>
              <a:tailEnd/>
            </a:ln>
          </xdr:spPr>
        </xdr:sp>
        <xdr:sp macro="" textlink="">
          <xdr:nvSpPr>
            <xdr:cNvPr id="10406" name="Freeform 227"/>
            <xdr:cNvSpPr>
              <a:spLocks/>
            </xdr:cNvSpPr>
          </xdr:nvSpPr>
          <xdr:spPr bwMode="auto">
            <a:xfrm>
              <a:off x="304800" y="57150"/>
              <a:ext cx="236" cy="107"/>
            </a:xfrm>
            <a:custGeom>
              <a:avLst/>
              <a:gdLst>
                <a:gd name="T0" fmla="*/ 44 w 236"/>
                <a:gd name="T1" fmla="*/ 107 h 107"/>
                <a:gd name="T2" fmla="*/ 0 w 236"/>
                <a:gd name="T3" fmla="*/ 107 h 107"/>
                <a:gd name="T4" fmla="*/ 195 w 236"/>
                <a:gd name="T5" fmla="*/ 0 h 107"/>
                <a:gd name="T6" fmla="*/ 236 w 236"/>
                <a:gd name="T7" fmla="*/ 0 h 107"/>
                <a:gd name="T8" fmla="*/ 44 w 236"/>
                <a:gd name="T9" fmla="*/ 107 h 107"/>
                <a:gd name="T10" fmla="*/ 0 60000 65536"/>
                <a:gd name="T11" fmla="*/ 0 60000 65536"/>
                <a:gd name="T12" fmla="*/ 0 60000 65536"/>
                <a:gd name="T13" fmla="*/ 0 60000 65536"/>
                <a:gd name="T14" fmla="*/ 0 60000 65536"/>
                <a:gd name="T15" fmla="*/ 0 w 236"/>
                <a:gd name="T16" fmla="*/ 0 h 107"/>
                <a:gd name="T17" fmla="*/ 236 w 236"/>
                <a:gd name="T18" fmla="*/ 107 h 107"/>
              </a:gdLst>
              <a:ahLst/>
              <a:cxnLst>
                <a:cxn ang="T10">
                  <a:pos x="T0" y="T1"/>
                </a:cxn>
                <a:cxn ang="T11">
                  <a:pos x="T2" y="T3"/>
                </a:cxn>
                <a:cxn ang="T12">
                  <a:pos x="T4" y="T5"/>
                </a:cxn>
                <a:cxn ang="T13">
                  <a:pos x="T6" y="T7"/>
                </a:cxn>
                <a:cxn ang="T14">
                  <a:pos x="T8" y="T9"/>
                </a:cxn>
              </a:cxnLst>
              <a:rect l="T15" t="T16" r="T17" b="T18"/>
              <a:pathLst>
                <a:path w="236" h="107">
                  <a:moveTo>
                    <a:pt x="44" y="107"/>
                  </a:moveTo>
                  <a:lnTo>
                    <a:pt x="0" y="107"/>
                  </a:lnTo>
                  <a:lnTo>
                    <a:pt x="195" y="0"/>
                  </a:lnTo>
                  <a:lnTo>
                    <a:pt x="236" y="0"/>
                  </a:lnTo>
                  <a:lnTo>
                    <a:pt x="44" y="107"/>
                  </a:lnTo>
                  <a:close/>
                </a:path>
              </a:pathLst>
            </a:custGeom>
            <a:gradFill rotWithShape="1">
              <a:gsLst>
                <a:gs pos="0">
                  <a:srgbClr val="FFFFFF"/>
                </a:gs>
                <a:gs pos="100000">
                  <a:srgbClr val="C0C0C0"/>
                </a:gs>
              </a:gsLst>
              <a:lin ang="5400000" scaled="1"/>
            </a:gradFill>
            <a:ln w="9525">
              <a:solidFill>
                <a:srgbClr val="000000"/>
              </a:solidFill>
              <a:round/>
              <a:headEnd/>
              <a:tailEnd/>
            </a:ln>
          </xdr:spPr>
        </xdr:sp>
        <xdr:sp macro="" textlink="">
          <xdr:nvSpPr>
            <xdr:cNvPr id="10407" name="Freeform 228"/>
            <xdr:cNvSpPr>
              <a:spLocks/>
            </xdr:cNvSpPr>
          </xdr:nvSpPr>
          <xdr:spPr bwMode="auto">
            <a:xfrm>
              <a:off x="304800" y="57257"/>
              <a:ext cx="45" cy="28"/>
            </a:xfrm>
            <a:custGeom>
              <a:avLst/>
              <a:gdLst>
                <a:gd name="T0" fmla="*/ 41 w 45"/>
                <a:gd name="T1" fmla="*/ 28 h 28"/>
                <a:gd name="T2" fmla="*/ 41 w 45"/>
                <a:gd name="T3" fmla="*/ 3 h 28"/>
                <a:gd name="T4" fmla="*/ 0 w 45"/>
                <a:gd name="T5" fmla="*/ 3 h 28"/>
                <a:gd name="T6" fmla="*/ 0 w 45"/>
                <a:gd name="T7" fmla="*/ 0 h 28"/>
                <a:gd name="T8" fmla="*/ 45 w 45"/>
                <a:gd name="T9" fmla="*/ 0 h 28"/>
                <a:gd name="T10" fmla="*/ 45 w 45"/>
                <a:gd name="T11" fmla="*/ 28 h 28"/>
                <a:gd name="T12" fmla="*/ 41 w 45"/>
                <a:gd name="T13" fmla="*/ 28 h 28"/>
                <a:gd name="T14" fmla="*/ 0 60000 65536"/>
                <a:gd name="T15" fmla="*/ 0 60000 65536"/>
                <a:gd name="T16" fmla="*/ 0 60000 65536"/>
                <a:gd name="T17" fmla="*/ 0 60000 65536"/>
                <a:gd name="T18" fmla="*/ 0 60000 65536"/>
                <a:gd name="T19" fmla="*/ 0 60000 65536"/>
                <a:gd name="T20" fmla="*/ 0 60000 65536"/>
                <a:gd name="T21" fmla="*/ 0 w 45"/>
                <a:gd name="T22" fmla="*/ 0 h 28"/>
                <a:gd name="T23" fmla="*/ 45 w 45"/>
                <a:gd name="T24" fmla="*/ 28 h 2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5" h="28">
                  <a:moveTo>
                    <a:pt x="41" y="28"/>
                  </a:moveTo>
                  <a:lnTo>
                    <a:pt x="41" y="3"/>
                  </a:lnTo>
                  <a:lnTo>
                    <a:pt x="0" y="3"/>
                  </a:lnTo>
                  <a:lnTo>
                    <a:pt x="0" y="0"/>
                  </a:lnTo>
                  <a:lnTo>
                    <a:pt x="45" y="0"/>
                  </a:lnTo>
                  <a:lnTo>
                    <a:pt x="45" y="28"/>
                  </a:lnTo>
                  <a:lnTo>
                    <a:pt x="41" y="28"/>
                  </a:lnTo>
                  <a:close/>
                </a:path>
              </a:pathLst>
            </a:custGeom>
            <a:solidFill>
              <a:srgbClr val="969696"/>
            </a:solidFill>
            <a:ln w="9525">
              <a:solidFill>
                <a:srgbClr val="000000"/>
              </a:solidFill>
              <a:round/>
              <a:headEnd/>
              <a:tailEnd/>
            </a:ln>
          </xdr:spPr>
        </xdr:sp>
      </xdr:grpSp>
      <xdr:sp macro="" textlink="">
        <xdr:nvSpPr>
          <xdr:cNvPr id="10403" name="Rectangle 218"/>
          <xdr:cNvSpPr>
            <a:spLocks noChangeArrowheads="1"/>
          </xdr:cNvSpPr>
        </xdr:nvSpPr>
        <xdr:spPr bwMode="auto">
          <a:xfrm>
            <a:off x="561975" y="7734299"/>
            <a:ext cx="390525" cy="4572000"/>
          </a:xfrm>
          <a:prstGeom prst="rect">
            <a:avLst/>
          </a:prstGeom>
          <a:solidFill>
            <a:srgbClr val="69FFFF"/>
          </a:solidFill>
          <a:ln w="19050">
            <a:solidFill>
              <a:srgbClr val="000000"/>
            </a:solidFill>
            <a:miter lim="800000"/>
            <a:headEnd/>
            <a:tailEnd/>
          </a:ln>
        </xdr:spPr>
      </xdr:sp>
      <xdr:sp macro="" textlink="">
        <xdr:nvSpPr>
          <xdr:cNvPr id="10404" name="Freeform 219"/>
          <xdr:cNvSpPr>
            <a:spLocks/>
          </xdr:cNvSpPr>
        </xdr:nvSpPr>
        <xdr:spPr bwMode="auto">
          <a:xfrm>
            <a:off x="1057275" y="7115175"/>
            <a:ext cx="1876425" cy="4705350"/>
          </a:xfrm>
          <a:custGeom>
            <a:avLst/>
            <a:gdLst>
              <a:gd name="T0" fmla="*/ 0 w 197"/>
              <a:gd name="T1" fmla="*/ 2147483647 h 494"/>
              <a:gd name="T2" fmla="*/ 0 w 197"/>
              <a:gd name="T3" fmla="*/ 2147483647 h 494"/>
              <a:gd name="T4" fmla="*/ 0 w 197"/>
              <a:gd name="T5" fmla="*/ 2147483647 h 494"/>
              <a:gd name="T6" fmla="*/ 90725634 w 197"/>
              <a:gd name="T7" fmla="*/ 2147483647 h 494"/>
              <a:gd name="T8" fmla="*/ 725805073 w 197"/>
              <a:gd name="T9" fmla="*/ 2147483647 h 494"/>
              <a:gd name="T10" fmla="*/ 2086689324 w 197"/>
              <a:gd name="T11" fmla="*/ 2147483647 h 494"/>
              <a:gd name="T12" fmla="*/ 2147483647 w 197"/>
              <a:gd name="T13" fmla="*/ 2147483647 h 494"/>
              <a:gd name="T14" fmla="*/ 2147483647 w 197"/>
              <a:gd name="T15" fmla="*/ 2147483647 h 494"/>
              <a:gd name="T16" fmla="*/ 2147483647 w 197"/>
              <a:gd name="T17" fmla="*/ 2147483647 h 494"/>
              <a:gd name="T18" fmla="*/ 2147483647 w 197"/>
              <a:gd name="T19" fmla="*/ 1179433131 h 494"/>
              <a:gd name="T20" fmla="*/ 2147483647 w 197"/>
              <a:gd name="T21" fmla="*/ 362902559 h 494"/>
              <a:gd name="T22" fmla="*/ 2147483647 w 197"/>
              <a:gd name="T23" fmla="*/ 0 h 494"/>
              <a:gd name="T24" fmla="*/ 2147483647 w 197"/>
              <a:gd name="T25" fmla="*/ 0 h 494"/>
              <a:gd name="T26" fmla="*/ 2147483647 w 197"/>
              <a:gd name="T27" fmla="*/ 2147483647 h 494"/>
              <a:gd name="T28" fmla="*/ 2147483647 w 197"/>
              <a:gd name="T29" fmla="*/ 2147483647 h 494"/>
              <a:gd name="T30" fmla="*/ 2147483647 w 197"/>
              <a:gd name="T31" fmla="*/ 2147483647 h 494"/>
              <a:gd name="T32" fmla="*/ 2147483647 w 197"/>
              <a:gd name="T33" fmla="*/ 2147483647 h 494"/>
              <a:gd name="T34" fmla="*/ 1633061339 w 197"/>
              <a:gd name="T35" fmla="*/ 2147483647 h 494"/>
              <a:gd name="T36" fmla="*/ 453628133 w 197"/>
              <a:gd name="T37" fmla="*/ 2147483647 h 494"/>
              <a:gd name="T38" fmla="*/ 90725634 w 197"/>
              <a:gd name="T39" fmla="*/ 2147483647 h 494"/>
              <a:gd name="T40" fmla="*/ 0 w 197"/>
              <a:gd name="T41" fmla="*/ 2147483647 h 49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97"/>
              <a:gd name="T64" fmla="*/ 0 h 494"/>
              <a:gd name="T65" fmla="*/ 197 w 197"/>
              <a:gd name="T66" fmla="*/ 494 h 494"/>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97" h="494">
                <a:moveTo>
                  <a:pt x="0" y="188"/>
                </a:moveTo>
                <a:lnTo>
                  <a:pt x="0" y="172"/>
                </a:lnTo>
                <a:lnTo>
                  <a:pt x="0" y="121"/>
                </a:lnTo>
                <a:lnTo>
                  <a:pt x="1" y="109"/>
                </a:lnTo>
                <a:lnTo>
                  <a:pt x="8" y="106"/>
                </a:lnTo>
                <a:lnTo>
                  <a:pt x="23" y="97"/>
                </a:lnTo>
                <a:lnTo>
                  <a:pt x="77" y="67"/>
                </a:lnTo>
                <a:lnTo>
                  <a:pt x="120" y="42"/>
                </a:lnTo>
                <a:lnTo>
                  <a:pt x="146" y="27"/>
                </a:lnTo>
                <a:lnTo>
                  <a:pt x="172" y="13"/>
                </a:lnTo>
                <a:lnTo>
                  <a:pt x="186" y="4"/>
                </a:lnTo>
                <a:lnTo>
                  <a:pt x="194" y="0"/>
                </a:lnTo>
                <a:lnTo>
                  <a:pt x="197" y="0"/>
                </a:lnTo>
                <a:lnTo>
                  <a:pt x="196" y="72"/>
                </a:lnTo>
                <a:lnTo>
                  <a:pt x="196" y="343"/>
                </a:lnTo>
                <a:lnTo>
                  <a:pt x="196" y="393"/>
                </a:lnTo>
                <a:lnTo>
                  <a:pt x="190" y="397"/>
                </a:lnTo>
                <a:lnTo>
                  <a:pt x="18" y="491"/>
                </a:lnTo>
                <a:lnTo>
                  <a:pt x="5" y="494"/>
                </a:lnTo>
                <a:lnTo>
                  <a:pt x="1" y="492"/>
                </a:lnTo>
                <a:lnTo>
                  <a:pt x="0" y="188"/>
                </a:lnTo>
                <a:close/>
              </a:path>
            </a:pathLst>
          </a:custGeom>
          <a:gradFill rotWithShape="1">
            <a:gsLst>
              <a:gs pos="0">
                <a:srgbClr val="FFFFFF"/>
              </a:gs>
              <a:gs pos="100000">
                <a:srgbClr val="69FFFF"/>
              </a:gs>
            </a:gsLst>
            <a:lin ang="2700000" scaled="1"/>
          </a:gradFill>
          <a:ln w="57150" cmpd="sng">
            <a:solidFill>
              <a:srgbClr val="A6CAF0"/>
            </a:solidFill>
            <a:round/>
            <a:headEnd/>
            <a:tailEnd/>
          </a:ln>
        </xdr:spPr>
      </xdr:sp>
      <xdr:sp macro="" textlink="">
        <xdr:nvSpPr>
          <xdr:cNvPr id="13" name="Freeform 12"/>
          <xdr:cNvSpPr/>
        </xdr:nvSpPr>
        <xdr:spPr bwMode="auto">
          <a:xfrm>
            <a:off x="3943350" y="7737196"/>
            <a:ext cx="180975" cy="4383405"/>
          </a:xfrm>
          <a:custGeom>
            <a:avLst/>
            <a:gdLst>
              <a:gd name="connsiteX0" fmla="*/ 180975 w 180975"/>
              <a:gd name="connsiteY0" fmla="*/ 0 h 4086225"/>
              <a:gd name="connsiteX1" fmla="*/ 0 w 180975"/>
              <a:gd name="connsiteY1" fmla="*/ 361950 h 4086225"/>
              <a:gd name="connsiteX2" fmla="*/ 0 w 180975"/>
              <a:gd name="connsiteY2" fmla="*/ 4086225 h 4086225"/>
              <a:gd name="connsiteX3" fmla="*/ 180975 w 180975"/>
              <a:gd name="connsiteY3" fmla="*/ 3762375 h 4086225"/>
              <a:gd name="connsiteX4" fmla="*/ 180975 w 180975"/>
              <a:gd name="connsiteY4" fmla="*/ 0 h 4086225"/>
              <a:gd name="connsiteX0" fmla="*/ 171450 w 180975"/>
              <a:gd name="connsiteY0" fmla="*/ 0 h 4619625"/>
              <a:gd name="connsiteX1" fmla="*/ 0 w 180975"/>
              <a:gd name="connsiteY1" fmla="*/ 895350 h 4619625"/>
              <a:gd name="connsiteX2" fmla="*/ 0 w 180975"/>
              <a:gd name="connsiteY2" fmla="*/ 4619625 h 4619625"/>
              <a:gd name="connsiteX3" fmla="*/ 180975 w 180975"/>
              <a:gd name="connsiteY3" fmla="*/ 4295775 h 4619625"/>
              <a:gd name="connsiteX4" fmla="*/ 171450 w 180975"/>
              <a:gd name="connsiteY4" fmla="*/ 0 h 4619625"/>
              <a:gd name="connsiteX0" fmla="*/ 171450 w 180975"/>
              <a:gd name="connsiteY0" fmla="*/ 0 h 4619625"/>
              <a:gd name="connsiteX1" fmla="*/ 0 w 180975"/>
              <a:gd name="connsiteY1" fmla="*/ 381000 h 4619625"/>
              <a:gd name="connsiteX2" fmla="*/ 0 w 180975"/>
              <a:gd name="connsiteY2" fmla="*/ 4619625 h 4619625"/>
              <a:gd name="connsiteX3" fmla="*/ 180975 w 180975"/>
              <a:gd name="connsiteY3" fmla="*/ 4295775 h 4619625"/>
              <a:gd name="connsiteX4" fmla="*/ 171450 w 180975"/>
              <a:gd name="connsiteY4" fmla="*/ 0 h 4619625"/>
              <a:gd name="connsiteX0" fmla="*/ 171450 w 180975"/>
              <a:gd name="connsiteY0" fmla="*/ 0 h 5143500"/>
              <a:gd name="connsiteX1" fmla="*/ 0 w 180975"/>
              <a:gd name="connsiteY1" fmla="*/ 381000 h 5143500"/>
              <a:gd name="connsiteX2" fmla="*/ 0 w 180975"/>
              <a:gd name="connsiteY2" fmla="*/ 5143500 h 5143500"/>
              <a:gd name="connsiteX3" fmla="*/ 180975 w 180975"/>
              <a:gd name="connsiteY3" fmla="*/ 4295775 h 5143500"/>
              <a:gd name="connsiteX4" fmla="*/ 171450 w 180975"/>
              <a:gd name="connsiteY4" fmla="*/ 0 h 5143500"/>
              <a:gd name="connsiteX0" fmla="*/ 171450 w 180975"/>
              <a:gd name="connsiteY0" fmla="*/ 0 h 5143500"/>
              <a:gd name="connsiteX1" fmla="*/ 0 w 180975"/>
              <a:gd name="connsiteY1" fmla="*/ 381000 h 5143500"/>
              <a:gd name="connsiteX2" fmla="*/ 0 w 180975"/>
              <a:gd name="connsiteY2" fmla="*/ 5143500 h 5143500"/>
              <a:gd name="connsiteX3" fmla="*/ 180975 w 180975"/>
              <a:gd name="connsiteY3" fmla="*/ 4819650 h 5143500"/>
              <a:gd name="connsiteX4" fmla="*/ 171450 w 180975"/>
              <a:gd name="connsiteY4" fmla="*/ 0 h 51435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80975" h="5143500">
                <a:moveTo>
                  <a:pt x="171450" y="0"/>
                </a:moveTo>
                <a:lnTo>
                  <a:pt x="0" y="381000"/>
                </a:lnTo>
                <a:lnTo>
                  <a:pt x="0" y="5143500"/>
                </a:lnTo>
                <a:lnTo>
                  <a:pt x="180975" y="4819650"/>
                </a:lnTo>
                <a:lnTo>
                  <a:pt x="171450" y="0"/>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2" name="Freeform 11"/>
          <xdr:cNvSpPr/>
        </xdr:nvSpPr>
        <xdr:spPr bwMode="auto">
          <a:xfrm>
            <a:off x="4114801" y="7009245"/>
            <a:ext cx="2159864" cy="4839854"/>
          </a:xfrm>
          <a:custGeom>
            <a:avLst/>
            <a:gdLst>
              <a:gd name="connsiteX0" fmla="*/ 2124075 w 2257425"/>
              <a:gd name="connsiteY0" fmla="*/ 0 h 4152900"/>
              <a:gd name="connsiteX1" fmla="*/ 0 w 2257425"/>
              <a:gd name="connsiteY1" fmla="*/ 390525 h 4152900"/>
              <a:gd name="connsiteX2" fmla="*/ 0 w 2257425"/>
              <a:gd name="connsiteY2" fmla="*/ 4152900 h 4152900"/>
              <a:gd name="connsiteX3" fmla="*/ 2257425 w 2257425"/>
              <a:gd name="connsiteY3" fmla="*/ 3457575 h 4152900"/>
              <a:gd name="connsiteX4" fmla="*/ 2124075 w 2257425"/>
              <a:gd name="connsiteY4" fmla="*/ 0 h 4152900"/>
              <a:gd name="connsiteX0" fmla="*/ 2143125 w 2276475"/>
              <a:gd name="connsiteY0" fmla="*/ 123825 h 4276725"/>
              <a:gd name="connsiteX1" fmla="*/ 0 w 2276475"/>
              <a:gd name="connsiteY1" fmla="*/ 0 h 4276725"/>
              <a:gd name="connsiteX2" fmla="*/ 19050 w 2276475"/>
              <a:gd name="connsiteY2" fmla="*/ 4276725 h 4276725"/>
              <a:gd name="connsiteX3" fmla="*/ 2276475 w 2276475"/>
              <a:gd name="connsiteY3" fmla="*/ 3581400 h 4276725"/>
              <a:gd name="connsiteX4" fmla="*/ 2143125 w 2276475"/>
              <a:gd name="connsiteY4" fmla="*/ 123825 h 4276725"/>
              <a:gd name="connsiteX0" fmla="*/ 2114550 w 2276475"/>
              <a:gd name="connsiteY0" fmla="*/ 0 h 4686300"/>
              <a:gd name="connsiteX1" fmla="*/ 0 w 2276475"/>
              <a:gd name="connsiteY1" fmla="*/ 409575 h 4686300"/>
              <a:gd name="connsiteX2" fmla="*/ 19050 w 2276475"/>
              <a:gd name="connsiteY2" fmla="*/ 4686300 h 4686300"/>
              <a:gd name="connsiteX3" fmla="*/ 2276475 w 2276475"/>
              <a:gd name="connsiteY3" fmla="*/ 3990975 h 4686300"/>
              <a:gd name="connsiteX4" fmla="*/ 2114550 w 2276475"/>
              <a:gd name="connsiteY4" fmla="*/ 0 h 4686300"/>
              <a:gd name="connsiteX0" fmla="*/ 2124075 w 2276475"/>
              <a:gd name="connsiteY0" fmla="*/ 0 h 4686300"/>
              <a:gd name="connsiteX1" fmla="*/ 0 w 2276475"/>
              <a:gd name="connsiteY1" fmla="*/ 409575 h 4686300"/>
              <a:gd name="connsiteX2" fmla="*/ 19050 w 2276475"/>
              <a:gd name="connsiteY2" fmla="*/ 4686300 h 4686300"/>
              <a:gd name="connsiteX3" fmla="*/ 2276475 w 2276475"/>
              <a:gd name="connsiteY3" fmla="*/ 3990975 h 4686300"/>
              <a:gd name="connsiteX4" fmla="*/ 2124075 w 2276475"/>
              <a:gd name="connsiteY4" fmla="*/ 0 h 4686300"/>
              <a:gd name="connsiteX0" fmla="*/ 2124075 w 2124075"/>
              <a:gd name="connsiteY0" fmla="*/ 0 h 4686300"/>
              <a:gd name="connsiteX1" fmla="*/ 0 w 2124075"/>
              <a:gd name="connsiteY1" fmla="*/ 409575 h 4686300"/>
              <a:gd name="connsiteX2" fmla="*/ 19050 w 2124075"/>
              <a:gd name="connsiteY2" fmla="*/ 4686300 h 4686300"/>
              <a:gd name="connsiteX3" fmla="*/ 2124075 w 2124075"/>
              <a:gd name="connsiteY3" fmla="*/ 4048125 h 4686300"/>
              <a:gd name="connsiteX4" fmla="*/ 2124075 w 2124075"/>
              <a:gd name="connsiteY4" fmla="*/ 0 h 4686300"/>
              <a:gd name="connsiteX0" fmla="*/ 2124075 w 2124075"/>
              <a:gd name="connsiteY0" fmla="*/ 0 h 4686300"/>
              <a:gd name="connsiteX1" fmla="*/ 0 w 2124075"/>
              <a:gd name="connsiteY1" fmla="*/ 409575 h 4686300"/>
              <a:gd name="connsiteX2" fmla="*/ 19050 w 2124075"/>
              <a:gd name="connsiteY2" fmla="*/ 4686300 h 4686300"/>
              <a:gd name="connsiteX3" fmla="*/ 2124075 w 2124075"/>
              <a:gd name="connsiteY3" fmla="*/ 4048125 h 4686300"/>
              <a:gd name="connsiteX4" fmla="*/ 2124075 w 2124075"/>
              <a:gd name="connsiteY4" fmla="*/ 0 h 4686300"/>
              <a:gd name="connsiteX0" fmla="*/ 2124075 w 2124075"/>
              <a:gd name="connsiteY0" fmla="*/ 0 h 5210175"/>
              <a:gd name="connsiteX1" fmla="*/ 0 w 2124075"/>
              <a:gd name="connsiteY1" fmla="*/ 409575 h 5210175"/>
              <a:gd name="connsiteX2" fmla="*/ 19050 w 2124075"/>
              <a:gd name="connsiteY2" fmla="*/ 5210175 h 5210175"/>
              <a:gd name="connsiteX3" fmla="*/ 2124075 w 2124075"/>
              <a:gd name="connsiteY3" fmla="*/ 4048125 h 5210175"/>
              <a:gd name="connsiteX4" fmla="*/ 2124075 w 2124075"/>
              <a:gd name="connsiteY4" fmla="*/ 0 h 5210175"/>
              <a:gd name="connsiteX0" fmla="*/ 2124075 w 2124075"/>
              <a:gd name="connsiteY0" fmla="*/ 0 h 5210175"/>
              <a:gd name="connsiteX1" fmla="*/ 0 w 2124075"/>
              <a:gd name="connsiteY1" fmla="*/ 409575 h 5210175"/>
              <a:gd name="connsiteX2" fmla="*/ 19050 w 2124075"/>
              <a:gd name="connsiteY2" fmla="*/ 5210175 h 5210175"/>
              <a:gd name="connsiteX3" fmla="*/ 2124075 w 2124075"/>
              <a:gd name="connsiteY3" fmla="*/ 4543425 h 5210175"/>
              <a:gd name="connsiteX4" fmla="*/ 2124075 w 2124075"/>
              <a:gd name="connsiteY4" fmla="*/ 0 h 5210175"/>
              <a:gd name="connsiteX0" fmla="*/ 2131240 w 2131240"/>
              <a:gd name="connsiteY0" fmla="*/ 0 h 4841975"/>
              <a:gd name="connsiteX1" fmla="*/ 0 w 2131240"/>
              <a:gd name="connsiteY1" fmla="*/ 41375 h 4841975"/>
              <a:gd name="connsiteX2" fmla="*/ 19050 w 2131240"/>
              <a:gd name="connsiteY2" fmla="*/ 4841975 h 4841975"/>
              <a:gd name="connsiteX3" fmla="*/ 2124075 w 2131240"/>
              <a:gd name="connsiteY3" fmla="*/ 4175225 h 4841975"/>
              <a:gd name="connsiteX4" fmla="*/ 2131240 w 2131240"/>
              <a:gd name="connsiteY4" fmla="*/ 0 h 4841975"/>
              <a:gd name="connsiteX0" fmla="*/ 2145572 w 2145572"/>
              <a:gd name="connsiteY0" fmla="*/ 0 h 4841975"/>
              <a:gd name="connsiteX1" fmla="*/ 0 w 2145572"/>
              <a:gd name="connsiteY1" fmla="*/ 777775 h 4841975"/>
              <a:gd name="connsiteX2" fmla="*/ 33382 w 2145572"/>
              <a:gd name="connsiteY2" fmla="*/ 4841975 h 4841975"/>
              <a:gd name="connsiteX3" fmla="*/ 2138407 w 2145572"/>
              <a:gd name="connsiteY3" fmla="*/ 4175225 h 4841975"/>
              <a:gd name="connsiteX4" fmla="*/ 2145572 w 2145572"/>
              <a:gd name="connsiteY4" fmla="*/ 0 h 4841975"/>
              <a:gd name="connsiteX0" fmla="*/ 2131239 w 2131239"/>
              <a:gd name="connsiteY0" fmla="*/ 0 h 4841975"/>
              <a:gd name="connsiteX1" fmla="*/ 0 w 2131239"/>
              <a:gd name="connsiteY1" fmla="*/ 740954 h 4841975"/>
              <a:gd name="connsiteX2" fmla="*/ 19049 w 2131239"/>
              <a:gd name="connsiteY2" fmla="*/ 4841975 h 4841975"/>
              <a:gd name="connsiteX3" fmla="*/ 2124074 w 2131239"/>
              <a:gd name="connsiteY3" fmla="*/ 4175225 h 4841975"/>
              <a:gd name="connsiteX4" fmla="*/ 2131239 w 2131239"/>
              <a:gd name="connsiteY4" fmla="*/ 0 h 48419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31239" h="4841975">
                <a:moveTo>
                  <a:pt x="2131239" y="0"/>
                </a:moveTo>
                <a:lnTo>
                  <a:pt x="0" y="740954"/>
                </a:lnTo>
                <a:cubicBezTo>
                  <a:pt x="6350" y="2107961"/>
                  <a:pt x="12699" y="3474968"/>
                  <a:pt x="19049" y="4841975"/>
                </a:cubicBezTo>
                <a:lnTo>
                  <a:pt x="2124074" y="4175225"/>
                </a:lnTo>
                <a:cubicBezTo>
                  <a:pt x="2126462" y="2783483"/>
                  <a:pt x="2128851" y="1391742"/>
                  <a:pt x="2131239" y="0"/>
                </a:cubicBez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16200000" scaled="1"/>
            <a:tileRect/>
          </a:gra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1" name="Freeform 10"/>
          <xdr:cNvSpPr/>
        </xdr:nvSpPr>
        <xdr:spPr bwMode="auto">
          <a:xfrm>
            <a:off x="6267451" y="7000732"/>
            <a:ext cx="304800" cy="933592"/>
          </a:xfrm>
          <a:custGeom>
            <a:avLst/>
            <a:gdLst>
              <a:gd name="connsiteX0" fmla="*/ 295275 w 295275"/>
              <a:gd name="connsiteY0" fmla="*/ 209550 h 742950"/>
              <a:gd name="connsiteX1" fmla="*/ 0 w 295275"/>
              <a:gd name="connsiteY1" fmla="*/ 0 h 742950"/>
              <a:gd name="connsiteX2" fmla="*/ 0 w 295275"/>
              <a:gd name="connsiteY2" fmla="*/ 742950 h 742950"/>
              <a:gd name="connsiteX3" fmla="*/ 209550 w 295275"/>
              <a:gd name="connsiteY3" fmla="*/ 685800 h 742950"/>
              <a:gd name="connsiteX4" fmla="*/ 295275 w 295275"/>
              <a:gd name="connsiteY4" fmla="*/ 209550 h 742950"/>
              <a:gd name="connsiteX0" fmla="*/ 295275 w 295275"/>
              <a:gd name="connsiteY0" fmla="*/ 752475 h 1285875"/>
              <a:gd name="connsiteX1" fmla="*/ 0 w 295275"/>
              <a:gd name="connsiteY1" fmla="*/ 0 h 1285875"/>
              <a:gd name="connsiteX2" fmla="*/ 0 w 295275"/>
              <a:gd name="connsiteY2" fmla="*/ 1285875 h 1285875"/>
              <a:gd name="connsiteX3" fmla="*/ 209550 w 295275"/>
              <a:gd name="connsiteY3" fmla="*/ 1228725 h 1285875"/>
              <a:gd name="connsiteX4" fmla="*/ 295275 w 295275"/>
              <a:gd name="connsiteY4" fmla="*/ 752475 h 1285875"/>
              <a:gd name="connsiteX0" fmla="*/ 304800 w 304800"/>
              <a:gd name="connsiteY0" fmla="*/ 228600 h 1285875"/>
              <a:gd name="connsiteX1" fmla="*/ 0 w 304800"/>
              <a:gd name="connsiteY1" fmla="*/ 0 h 1285875"/>
              <a:gd name="connsiteX2" fmla="*/ 0 w 304800"/>
              <a:gd name="connsiteY2" fmla="*/ 1285875 h 1285875"/>
              <a:gd name="connsiteX3" fmla="*/ 209550 w 304800"/>
              <a:gd name="connsiteY3" fmla="*/ 1228725 h 1285875"/>
              <a:gd name="connsiteX4" fmla="*/ 304800 w 304800"/>
              <a:gd name="connsiteY4" fmla="*/ 228600 h 1285875"/>
              <a:gd name="connsiteX0" fmla="*/ 304800 w 304800"/>
              <a:gd name="connsiteY0" fmla="*/ 228600 h 1285875"/>
              <a:gd name="connsiteX1" fmla="*/ 0 w 304800"/>
              <a:gd name="connsiteY1" fmla="*/ 0 h 1285875"/>
              <a:gd name="connsiteX2" fmla="*/ 0 w 304800"/>
              <a:gd name="connsiteY2" fmla="*/ 1285875 h 1285875"/>
              <a:gd name="connsiteX3" fmla="*/ 295275 w 304800"/>
              <a:gd name="connsiteY3" fmla="*/ 1219200 h 1285875"/>
              <a:gd name="connsiteX4" fmla="*/ 304800 w 304800"/>
              <a:gd name="connsiteY4" fmla="*/ 228600 h 1285875"/>
              <a:gd name="connsiteX0" fmla="*/ 304800 w 304800"/>
              <a:gd name="connsiteY0" fmla="*/ 602155 h 1285875"/>
              <a:gd name="connsiteX1" fmla="*/ 0 w 304800"/>
              <a:gd name="connsiteY1" fmla="*/ 0 h 1285875"/>
              <a:gd name="connsiteX2" fmla="*/ 0 w 304800"/>
              <a:gd name="connsiteY2" fmla="*/ 1285875 h 1285875"/>
              <a:gd name="connsiteX3" fmla="*/ 295275 w 304800"/>
              <a:gd name="connsiteY3" fmla="*/ 1219200 h 1285875"/>
              <a:gd name="connsiteX4" fmla="*/ 304800 w 304800"/>
              <a:gd name="connsiteY4" fmla="*/ 602155 h 1285875"/>
              <a:gd name="connsiteX0" fmla="*/ 304800 w 304800"/>
              <a:gd name="connsiteY0" fmla="*/ 249744 h 933464"/>
              <a:gd name="connsiteX1" fmla="*/ 7109 w 304800"/>
              <a:gd name="connsiteY1" fmla="*/ 0 h 933464"/>
              <a:gd name="connsiteX2" fmla="*/ 0 w 304800"/>
              <a:gd name="connsiteY2" fmla="*/ 933464 h 933464"/>
              <a:gd name="connsiteX3" fmla="*/ 295275 w 304800"/>
              <a:gd name="connsiteY3" fmla="*/ 866789 h 933464"/>
              <a:gd name="connsiteX4" fmla="*/ 304800 w 304800"/>
              <a:gd name="connsiteY4" fmla="*/ 249744 h 93346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4800" h="933464">
                <a:moveTo>
                  <a:pt x="304800" y="249744"/>
                </a:moveTo>
                <a:lnTo>
                  <a:pt x="7109" y="0"/>
                </a:lnTo>
                <a:cubicBezTo>
                  <a:pt x="4739" y="311155"/>
                  <a:pt x="2370" y="622309"/>
                  <a:pt x="0" y="933464"/>
                </a:cubicBezTo>
                <a:lnTo>
                  <a:pt x="295275" y="866789"/>
                </a:lnTo>
                <a:lnTo>
                  <a:pt x="304800" y="249744"/>
                </a:lnTo>
                <a:close/>
              </a:path>
            </a:pathLst>
          </a:custGeom>
          <a:solidFill>
            <a:schemeClr val="accent1">
              <a:lumMod val="40000"/>
              <a:lumOff val="6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 name="Freeform 2"/>
          <xdr:cNvSpPr/>
        </xdr:nvSpPr>
        <xdr:spPr bwMode="auto">
          <a:xfrm>
            <a:off x="4572000" y="7274683"/>
            <a:ext cx="2019300" cy="5204972"/>
          </a:xfrm>
          <a:custGeom>
            <a:avLst/>
            <a:gdLst>
              <a:gd name="connsiteX0" fmla="*/ 0 w 1981200"/>
              <a:gd name="connsiteY0" fmla="*/ 1123950 h 4867275"/>
              <a:gd name="connsiteX1" fmla="*/ 1981200 w 1981200"/>
              <a:gd name="connsiteY1" fmla="*/ 0 h 4867275"/>
              <a:gd name="connsiteX2" fmla="*/ 1981200 w 1981200"/>
              <a:gd name="connsiteY2" fmla="*/ 3781425 h 4867275"/>
              <a:gd name="connsiteX3" fmla="*/ 0 w 1981200"/>
              <a:gd name="connsiteY3" fmla="*/ 4867275 h 4867275"/>
              <a:gd name="connsiteX4" fmla="*/ 0 w 1981200"/>
              <a:gd name="connsiteY4" fmla="*/ 1123950 h 4867275"/>
              <a:gd name="connsiteX0" fmla="*/ 0 w 1981200"/>
              <a:gd name="connsiteY0" fmla="*/ 1123950 h 4867275"/>
              <a:gd name="connsiteX1" fmla="*/ 1981200 w 1981200"/>
              <a:gd name="connsiteY1" fmla="*/ 0 h 4867275"/>
              <a:gd name="connsiteX2" fmla="*/ 1981200 w 1981200"/>
              <a:gd name="connsiteY2" fmla="*/ 3752850 h 4867275"/>
              <a:gd name="connsiteX3" fmla="*/ 0 w 1981200"/>
              <a:gd name="connsiteY3" fmla="*/ 4867275 h 4867275"/>
              <a:gd name="connsiteX4" fmla="*/ 0 w 1981200"/>
              <a:gd name="connsiteY4" fmla="*/ 1123950 h 4867275"/>
              <a:gd name="connsiteX0" fmla="*/ 0 w 1981200"/>
              <a:gd name="connsiteY0" fmla="*/ 1123950 h 4895850"/>
              <a:gd name="connsiteX1" fmla="*/ 1981200 w 1981200"/>
              <a:gd name="connsiteY1" fmla="*/ 0 h 4895850"/>
              <a:gd name="connsiteX2" fmla="*/ 1981200 w 1981200"/>
              <a:gd name="connsiteY2" fmla="*/ 3752850 h 4895850"/>
              <a:gd name="connsiteX3" fmla="*/ 0 w 1981200"/>
              <a:gd name="connsiteY3" fmla="*/ 4895850 h 4895850"/>
              <a:gd name="connsiteX4" fmla="*/ 0 w 1981200"/>
              <a:gd name="connsiteY4" fmla="*/ 1123950 h 4895850"/>
              <a:gd name="connsiteX0" fmla="*/ 0 w 1990725"/>
              <a:gd name="connsiteY0" fmla="*/ 1619250 h 5391150"/>
              <a:gd name="connsiteX1" fmla="*/ 1990725 w 1990725"/>
              <a:gd name="connsiteY1" fmla="*/ 0 h 5391150"/>
              <a:gd name="connsiteX2" fmla="*/ 1981200 w 1990725"/>
              <a:gd name="connsiteY2" fmla="*/ 4248150 h 5391150"/>
              <a:gd name="connsiteX3" fmla="*/ 0 w 1990725"/>
              <a:gd name="connsiteY3" fmla="*/ 5391150 h 5391150"/>
              <a:gd name="connsiteX4" fmla="*/ 0 w 1990725"/>
              <a:gd name="connsiteY4" fmla="*/ 1619250 h 5391150"/>
              <a:gd name="connsiteX0" fmla="*/ 0 w 2000250"/>
              <a:gd name="connsiteY0" fmla="*/ 1133475 h 5391150"/>
              <a:gd name="connsiteX1" fmla="*/ 2000250 w 2000250"/>
              <a:gd name="connsiteY1" fmla="*/ 0 h 5391150"/>
              <a:gd name="connsiteX2" fmla="*/ 1990725 w 2000250"/>
              <a:gd name="connsiteY2" fmla="*/ 4248150 h 5391150"/>
              <a:gd name="connsiteX3" fmla="*/ 9525 w 2000250"/>
              <a:gd name="connsiteY3" fmla="*/ 5391150 h 5391150"/>
              <a:gd name="connsiteX4" fmla="*/ 0 w 2000250"/>
              <a:gd name="connsiteY4" fmla="*/ 1133475 h 5391150"/>
              <a:gd name="connsiteX0" fmla="*/ 0 w 2000250"/>
              <a:gd name="connsiteY0" fmla="*/ 1095375 h 5391150"/>
              <a:gd name="connsiteX1" fmla="*/ 2000250 w 2000250"/>
              <a:gd name="connsiteY1" fmla="*/ 0 h 5391150"/>
              <a:gd name="connsiteX2" fmla="*/ 1990725 w 2000250"/>
              <a:gd name="connsiteY2" fmla="*/ 4248150 h 5391150"/>
              <a:gd name="connsiteX3" fmla="*/ 9525 w 2000250"/>
              <a:gd name="connsiteY3" fmla="*/ 5391150 h 5391150"/>
              <a:gd name="connsiteX4" fmla="*/ 0 w 2000250"/>
              <a:gd name="connsiteY4" fmla="*/ 1095375 h 5391150"/>
              <a:gd name="connsiteX0" fmla="*/ 0 w 2000250"/>
              <a:gd name="connsiteY0" fmla="*/ 1095375 h 5934075"/>
              <a:gd name="connsiteX1" fmla="*/ 2000250 w 2000250"/>
              <a:gd name="connsiteY1" fmla="*/ 0 h 5934075"/>
              <a:gd name="connsiteX2" fmla="*/ 1990725 w 2000250"/>
              <a:gd name="connsiteY2" fmla="*/ 4248150 h 5934075"/>
              <a:gd name="connsiteX3" fmla="*/ 9525 w 2000250"/>
              <a:gd name="connsiteY3" fmla="*/ 5934075 h 5934075"/>
              <a:gd name="connsiteX4" fmla="*/ 0 w 2000250"/>
              <a:gd name="connsiteY4" fmla="*/ 1095375 h 5934075"/>
              <a:gd name="connsiteX0" fmla="*/ 0 w 2000250"/>
              <a:gd name="connsiteY0" fmla="*/ 1095375 h 5934075"/>
              <a:gd name="connsiteX1" fmla="*/ 2000250 w 2000250"/>
              <a:gd name="connsiteY1" fmla="*/ 0 h 5934075"/>
              <a:gd name="connsiteX2" fmla="*/ 1981200 w 2000250"/>
              <a:gd name="connsiteY2" fmla="*/ 4762500 h 5934075"/>
              <a:gd name="connsiteX3" fmla="*/ 9525 w 2000250"/>
              <a:gd name="connsiteY3" fmla="*/ 5934075 h 5934075"/>
              <a:gd name="connsiteX4" fmla="*/ 0 w 2000250"/>
              <a:gd name="connsiteY4" fmla="*/ 1095375 h 5934075"/>
              <a:gd name="connsiteX0" fmla="*/ 0 w 2019300"/>
              <a:gd name="connsiteY0" fmla="*/ 1095375 h 5934075"/>
              <a:gd name="connsiteX1" fmla="*/ 2000250 w 2019300"/>
              <a:gd name="connsiteY1" fmla="*/ 0 h 5934075"/>
              <a:gd name="connsiteX2" fmla="*/ 2019300 w 2019300"/>
              <a:gd name="connsiteY2" fmla="*/ 4733506 h 5934075"/>
              <a:gd name="connsiteX3" fmla="*/ 9525 w 2019300"/>
              <a:gd name="connsiteY3" fmla="*/ 5934075 h 5934075"/>
              <a:gd name="connsiteX4" fmla="*/ 0 w 2019300"/>
              <a:gd name="connsiteY4" fmla="*/ 1095375 h 5934075"/>
              <a:gd name="connsiteX0" fmla="*/ 0 w 2026390"/>
              <a:gd name="connsiteY0" fmla="*/ 1223590 h 5934075"/>
              <a:gd name="connsiteX1" fmla="*/ 2007340 w 2026390"/>
              <a:gd name="connsiteY1" fmla="*/ 0 h 5934075"/>
              <a:gd name="connsiteX2" fmla="*/ 2026390 w 2026390"/>
              <a:gd name="connsiteY2" fmla="*/ 4733506 h 5934075"/>
              <a:gd name="connsiteX3" fmla="*/ 16615 w 2026390"/>
              <a:gd name="connsiteY3" fmla="*/ 5934075 h 5934075"/>
              <a:gd name="connsiteX4" fmla="*/ 0 w 2026390"/>
              <a:gd name="connsiteY4" fmla="*/ 1223590 h 5934075"/>
              <a:gd name="connsiteX0" fmla="*/ 0 w 2026390"/>
              <a:gd name="connsiteY0" fmla="*/ 1215577 h 5926062"/>
              <a:gd name="connsiteX1" fmla="*/ 2021520 w 2026390"/>
              <a:gd name="connsiteY1" fmla="*/ 0 h 5926062"/>
              <a:gd name="connsiteX2" fmla="*/ 2026390 w 2026390"/>
              <a:gd name="connsiteY2" fmla="*/ 4725493 h 5926062"/>
              <a:gd name="connsiteX3" fmla="*/ 16615 w 2026390"/>
              <a:gd name="connsiteY3" fmla="*/ 5926062 h 5926062"/>
              <a:gd name="connsiteX4" fmla="*/ 0 w 2026390"/>
              <a:gd name="connsiteY4" fmla="*/ 1215577 h 5926062"/>
              <a:gd name="connsiteX0" fmla="*/ 0 w 2019300"/>
              <a:gd name="connsiteY0" fmla="*/ 1255645 h 5926062"/>
              <a:gd name="connsiteX1" fmla="*/ 2014430 w 2019300"/>
              <a:gd name="connsiteY1" fmla="*/ 0 h 5926062"/>
              <a:gd name="connsiteX2" fmla="*/ 2019300 w 2019300"/>
              <a:gd name="connsiteY2" fmla="*/ 4725493 h 5926062"/>
              <a:gd name="connsiteX3" fmla="*/ 9525 w 2019300"/>
              <a:gd name="connsiteY3" fmla="*/ 5926062 h 5926062"/>
              <a:gd name="connsiteX4" fmla="*/ 0 w 2019300"/>
              <a:gd name="connsiteY4" fmla="*/ 1255645 h 59260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19300" h="5926062">
                <a:moveTo>
                  <a:pt x="0" y="1255645"/>
                </a:moveTo>
                <a:lnTo>
                  <a:pt x="2014430" y="0"/>
                </a:lnTo>
                <a:cubicBezTo>
                  <a:pt x="2016053" y="1575164"/>
                  <a:pt x="2017677" y="3150329"/>
                  <a:pt x="2019300" y="4725493"/>
                </a:cubicBezTo>
                <a:lnTo>
                  <a:pt x="9525" y="5926062"/>
                </a:lnTo>
                <a:cubicBezTo>
                  <a:pt x="3987" y="4355900"/>
                  <a:pt x="5538" y="2825807"/>
                  <a:pt x="0" y="1255645"/>
                </a:cubicBezTo>
                <a:close/>
              </a:path>
            </a:pathLst>
          </a:custGeom>
          <a:gradFill flip="none" rotWithShape="1">
            <a:gsLst>
              <a:gs pos="43000">
                <a:schemeClr val="accent1">
                  <a:lumMod val="20000"/>
                  <a:lumOff val="80000"/>
                </a:schemeClr>
              </a:gs>
              <a:gs pos="71000">
                <a:schemeClr val="accent1">
                  <a:tint val="44500"/>
                  <a:satMod val="160000"/>
                </a:schemeClr>
              </a:gs>
              <a:gs pos="100000">
                <a:schemeClr val="accent1">
                  <a:tint val="23500"/>
                  <a:satMod val="160000"/>
                </a:schemeClr>
              </a:gs>
            </a:gsLst>
            <a:lin ang="2700000" scaled="1"/>
            <a:tileRect/>
          </a:gra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4" name="Freeform 3"/>
          <xdr:cNvSpPr/>
        </xdr:nvSpPr>
        <xdr:spPr bwMode="auto">
          <a:xfrm>
            <a:off x="4581525" y="7458075"/>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 name="connsiteX0" fmla="*/ 0 w 1971675"/>
              <a:gd name="connsiteY0" fmla="*/ 1123950 h 1123950"/>
              <a:gd name="connsiteX1" fmla="*/ 1971675 w 1971675"/>
              <a:gd name="connsiteY1" fmla="*/ 0 h 1123950"/>
              <a:gd name="connsiteX2" fmla="*/ 1864082 w 1971675"/>
              <a:gd name="connsiteY2" fmla="*/ 109621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64082" y="109621"/>
                </a:lnTo>
                <a:lnTo>
                  <a:pt x="209550" y="1057275"/>
                </a:lnTo>
                <a:lnTo>
                  <a:pt x="0" y="1123950"/>
                </a:lnTo>
                <a:close/>
              </a:path>
            </a:pathLst>
          </a:custGeom>
          <a:solidFill>
            <a:schemeClr val="accent1">
              <a:lumMod val="20000"/>
              <a:lumOff val="80000"/>
            </a:schemeClr>
          </a:solid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33" name="Freeform 232"/>
          <xdr:cNvSpPr/>
        </xdr:nvSpPr>
        <xdr:spPr bwMode="auto">
          <a:xfrm>
            <a:off x="4581525" y="7553325"/>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38325" y="123825"/>
                </a:lnTo>
                <a:lnTo>
                  <a:pt x="209550" y="1057275"/>
                </a:lnTo>
                <a:lnTo>
                  <a:pt x="0" y="1123950"/>
                </a:lnTo>
                <a:close/>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nvGrpSpPr>
          <xdr:cNvPr id="18" name="Group 17"/>
          <xdr:cNvGrpSpPr/>
        </xdr:nvGrpSpPr>
        <xdr:grpSpPr>
          <a:xfrm>
            <a:off x="4574833" y="7239732"/>
            <a:ext cx="2004521" cy="1444726"/>
            <a:chOff x="5184465" y="7183049"/>
            <a:chExt cx="2004474" cy="1501201"/>
          </a:xfrm>
        </xdr:grpSpPr>
        <xdr:sp macro="" textlink="">
          <xdr:nvSpPr>
            <xdr:cNvPr id="6" name="Freeform 5"/>
            <xdr:cNvSpPr/>
          </xdr:nvSpPr>
          <xdr:spPr bwMode="auto">
            <a:xfrm>
              <a:off x="5400674" y="7292114"/>
              <a:ext cx="1643170" cy="1303855"/>
            </a:xfrm>
            <a:custGeom>
              <a:avLst/>
              <a:gdLst>
                <a:gd name="connsiteX0" fmla="*/ 0 w 1627545"/>
                <a:gd name="connsiteY0" fmla="*/ 1038311 h 1038311"/>
                <a:gd name="connsiteX1" fmla="*/ 0 w 1627545"/>
                <a:gd name="connsiteY1" fmla="*/ 935338 h 1038311"/>
                <a:gd name="connsiteX2" fmla="*/ 1627545 w 1627545"/>
                <a:gd name="connsiteY2" fmla="*/ 0 h 1038311"/>
                <a:gd name="connsiteX3" fmla="*/ 1627545 w 1627545"/>
                <a:gd name="connsiteY3" fmla="*/ 94392 h 1038311"/>
                <a:gd name="connsiteX4" fmla="*/ 0 w 1627545"/>
                <a:gd name="connsiteY4" fmla="*/ 1038311 h 1038311"/>
                <a:gd name="connsiteX0" fmla="*/ 0 w 1656148"/>
                <a:gd name="connsiteY0" fmla="*/ 1055473 h 1055473"/>
                <a:gd name="connsiteX1" fmla="*/ 0 w 1656148"/>
                <a:gd name="connsiteY1" fmla="*/ 952500 h 1055473"/>
                <a:gd name="connsiteX2" fmla="*/ 1656148 w 1656148"/>
                <a:gd name="connsiteY2" fmla="*/ 0 h 1055473"/>
                <a:gd name="connsiteX3" fmla="*/ 1627545 w 1656148"/>
                <a:gd name="connsiteY3" fmla="*/ 111554 h 1055473"/>
                <a:gd name="connsiteX4" fmla="*/ 0 w 1656148"/>
                <a:gd name="connsiteY4" fmla="*/ 1055473 h 1055473"/>
                <a:gd name="connsiteX0" fmla="*/ 0 w 1656149"/>
                <a:gd name="connsiteY0" fmla="*/ 1055473 h 1055473"/>
                <a:gd name="connsiteX1" fmla="*/ 0 w 1656149"/>
                <a:gd name="connsiteY1" fmla="*/ 952500 h 1055473"/>
                <a:gd name="connsiteX2" fmla="*/ 1656148 w 1656149"/>
                <a:gd name="connsiteY2" fmla="*/ 0 h 1055473"/>
                <a:gd name="connsiteX3" fmla="*/ 1656149 w 1656149"/>
                <a:gd name="connsiteY3" fmla="*/ 91531 h 1055473"/>
                <a:gd name="connsiteX4" fmla="*/ 0 w 1656149"/>
                <a:gd name="connsiteY4" fmla="*/ 1055473 h 1055473"/>
                <a:gd name="connsiteX0" fmla="*/ 0 w 1661870"/>
                <a:gd name="connsiteY0" fmla="*/ 1055473 h 1055473"/>
                <a:gd name="connsiteX1" fmla="*/ 0 w 1661870"/>
                <a:gd name="connsiteY1" fmla="*/ 952500 h 1055473"/>
                <a:gd name="connsiteX2" fmla="*/ 1656148 w 1661870"/>
                <a:gd name="connsiteY2" fmla="*/ 0 h 1055473"/>
                <a:gd name="connsiteX3" fmla="*/ 1661870 w 1661870"/>
                <a:gd name="connsiteY3" fmla="*/ 91531 h 1055473"/>
                <a:gd name="connsiteX4" fmla="*/ 0 w 1661870"/>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8 w 1656148"/>
                <a:gd name="connsiteY3" fmla="*/ 94392 h 1055473"/>
                <a:gd name="connsiteX4" fmla="*/ 0 w 1656148"/>
                <a:gd name="connsiteY4" fmla="*/ 1055473 h 1055473"/>
                <a:gd name="connsiteX0" fmla="*/ 0 w 1661869"/>
                <a:gd name="connsiteY0" fmla="*/ 1055473 h 1055473"/>
                <a:gd name="connsiteX1" fmla="*/ 0 w 1661869"/>
                <a:gd name="connsiteY1" fmla="*/ 952500 h 1055473"/>
                <a:gd name="connsiteX2" fmla="*/ 1656148 w 1661869"/>
                <a:gd name="connsiteY2" fmla="*/ 0 h 1055473"/>
                <a:gd name="connsiteX3" fmla="*/ 1661869 w 1661869"/>
                <a:gd name="connsiteY3" fmla="*/ 91532 h 1055473"/>
                <a:gd name="connsiteX4" fmla="*/ 0 w 1661869"/>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7 w 1656148"/>
                <a:gd name="connsiteY3" fmla="*/ 91532 h 1055473"/>
                <a:gd name="connsiteX4" fmla="*/ 0 w 1656148"/>
                <a:gd name="connsiteY4" fmla="*/ 1055473 h 1055473"/>
                <a:gd name="connsiteX0" fmla="*/ 0 w 1653288"/>
                <a:gd name="connsiteY0" fmla="*/ 1049752 h 1049752"/>
                <a:gd name="connsiteX1" fmla="*/ 0 w 1653288"/>
                <a:gd name="connsiteY1" fmla="*/ 946779 h 1049752"/>
                <a:gd name="connsiteX2" fmla="*/ 1653288 w 1653288"/>
                <a:gd name="connsiteY2" fmla="*/ 0 h 1049752"/>
                <a:gd name="connsiteX3" fmla="*/ 1653287 w 1653288"/>
                <a:gd name="connsiteY3" fmla="*/ 85811 h 1049752"/>
                <a:gd name="connsiteX4" fmla="*/ 0 w 1653288"/>
                <a:gd name="connsiteY4" fmla="*/ 1049752 h 1049752"/>
                <a:gd name="connsiteX0" fmla="*/ 0 w 1653288"/>
                <a:gd name="connsiteY0" fmla="*/ 1049752 h 1049752"/>
                <a:gd name="connsiteX1" fmla="*/ 0 w 1653288"/>
                <a:gd name="connsiteY1" fmla="*/ 359303 h 1049752"/>
                <a:gd name="connsiteX2" fmla="*/ 1653288 w 1653288"/>
                <a:gd name="connsiteY2" fmla="*/ 0 h 1049752"/>
                <a:gd name="connsiteX3" fmla="*/ 1653287 w 1653288"/>
                <a:gd name="connsiteY3" fmla="*/ 85811 h 1049752"/>
                <a:gd name="connsiteX4" fmla="*/ 0 w 1653288"/>
                <a:gd name="connsiteY4" fmla="*/ 1049752 h 1049752"/>
                <a:gd name="connsiteX0" fmla="*/ 0 w 1653287"/>
                <a:gd name="connsiteY0" fmla="*/ 1608336 h 1608336"/>
                <a:gd name="connsiteX1" fmla="*/ 0 w 1653287"/>
                <a:gd name="connsiteY1" fmla="*/ 917887 h 1608336"/>
                <a:gd name="connsiteX2" fmla="*/ 1643786 w 1653287"/>
                <a:gd name="connsiteY2" fmla="*/ 0 h 1608336"/>
                <a:gd name="connsiteX3" fmla="*/ 1653287 w 1653287"/>
                <a:gd name="connsiteY3" fmla="*/ 644395 h 1608336"/>
                <a:gd name="connsiteX4" fmla="*/ 0 w 1653287"/>
                <a:gd name="connsiteY4" fmla="*/ 1608336 h 1608336"/>
                <a:gd name="connsiteX0" fmla="*/ 0 w 1653287"/>
                <a:gd name="connsiteY0" fmla="*/ 1608336 h 1608336"/>
                <a:gd name="connsiteX1" fmla="*/ 0 w 1653287"/>
                <a:gd name="connsiteY1" fmla="*/ 1160988 h 1608336"/>
                <a:gd name="connsiteX2" fmla="*/ 1643786 w 1653287"/>
                <a:gd name="connsiteY2" fmla="*/ 0 h 1608336"/>
                <a:gd name="connsiteX3" fmla="*/ 1653287 w 1653287"/>
                <a:gd name="connsiteY3" fmla="*/ 644395 h 1608336"/>
                <a:gd name="connsiteX4" fmla="*/ 0 w 1653287"/>
                <a:gd name="connsiteY4" fmla="*/ 1608336 h 1608336"/>
                <a:gd name="connsiteX0" fmla="*/ 0 w 1653287"/>
                <a:gd name="connsiteY0" fmla="*/ 1355313 h 1355313"/>
                <a:gd name="connsiteX1" fmla="*/ 0 w 1653287"/>
                <a:gd name="connsiteY1" fmla="*/ 907965 h 1355313"/>
                <a:gd name="connsiteX2" fmla="*/ 1641354 w 1653287"/>
                <a:gd name="connsiteY2" fmla="*/ 0 h 1355313"/>
                <a:gd name="connsiteX3" fmla="*/ 1653287 w 1653287"/>
                <a:gd name="connsiteY3" fmla="*/ 391372 h 1355313"/>
                <a:gd name="connsiteX4" fmla="*/ 0 w 1653287"/>
                <a:gd name="connsiteY4" fmla="*/ 1355313 h 1355313"/>
                <a:gd name="connsiteX0" fmla="*/ 0 w 1653287"/>
                <a:gd name="connsiteY0" fmla="*/ 1355313 h 1355313"/>
                <a:gd name="connsiteX1" fmla="*/ 0 w 1653287"/>
                <a:gd name="connsiteY1" fmla="*/ 981926 h 1355313"/>
                <a:gd name="connsiteX2" fmla="*/ 1641354 w 1653287"/>
                <a:gd name="connsiteY2" fmla="*/ 0 h 1355313"/>
                <a:gd name="connsiteX3" fmla="*/ 1653287 w 1653287"/>
                <a:gd name="connsiteY3" fmla="*/ 391372 h 1355313"/>
                <a:gd name="connsiteX4" fmla="*/ 0 w 1653287"/>
                <a:gd name="connsiteY4" fmla="*/ 1355313 h 1355313"/>
                <a:gd name="connsiteX0" fmla="*/ 0 w 1653287"/>
                <a:gd name="connsiteY0" fmla="*/ 1333125 h 1333125"/>
                <a:gd name="connsiteX1" fmla="*/ 0 w 1653287"/>
                <a:gd name="connsiteY1" fmla="*/ 959738 h 1333125"/>
                <a:gd name="connsiteX2" fmla="*/ 1634281 w 1653287"/>
                <a:gd name="connsiteY2" fmla="*/ 0 h 1333125"/>
                <a:gd name="connsiteX3" fmla="*/ 1653287 w 1653287"/>
                <a:gd name="connsiteY3" fmla="*/ 369184 h 1333125"/>
                <a:gd name="connsiteX4" fmla="*/ 0 w 1653287"/>
                <a:gd name="connsiteY4" fmla="*/ 1333125 h 1333125"/>
                <a:gd name="connsiteX0" fmla="*/ 0 w 1653287"/>
                <a:gd name="connsiteY0" fmla="*/ 1310938 h 1310938"/>
                <a:gd name="connsiteX1" fmla="*/ 0 w 1653287"/>
                <a:gd name="connsiteY1" fmla="*/ 959738 h 1310938"/>
                <a:gd name="connsiteX2" fmla="*/ 1634281 w 1653287"/>
                <a:gd name="connsiteY2" fmla="*/ 0 h 1310938"/>
                <a:gd name="connsiteX3" fmla="*/ 1653287 w 1653287"/>
                <a:gd name="connsiteY3" fmla="*/ 369184 h 1310938"/>
                <a:gd name="connsiteX4" fmla="*/ 0 w 1653287"/>
                <a:gd name="connsiteY4" fmla="*/ 1310938 h 1310938"/>
                <a:gd name="connsiteX0" fmla="*/ 0 w 1660359"/>
                <a:gd name="connsiteY0" fmla="*/ 1325730 h 1325730"/>
                <a:gd name="connsiteX1" fmla="*/ 7072 w 1660359"/>
                <a:gd name="connsiteY1" fmla="*/ 959738 h 1325730"/>
                <a:gd name="connsiteX2" fmla="*/ 1641353 w 1660359"/>
                <a:gd name="connsiteY2" fmla="*/ 0 h 1325730"/>
                <a:gd name="connsiteX3" fmla="*/ 1660359 w 1660359"/>
                <a:gd name="connsiteY3" fmla="*/ 369184 h 1325730"/>
                <a:gd name="connsiteX4" fmla="*/ 0 w 1660359"/>
                <a:gd name="connsiteY4" fmla="*/ 1325730 h 1325730"/>
                <a:gd name="connsiteX0" fmla="*/ 0 w 1646214"/>
                <a:gd name="connsiteY0" fmla="*/ 1325730 h 1325730"/>
                <a:gd name="connsiteX1" fmla="*/ 7072 w 1646214"/>
                <a:gd name="connsiteY1" fmla="*/ 959738 h 1325730"/>
                <a:gd name="connsiteX2" fmla="*/ 1641353 w 1646214"/>
                <a:gd name="connsiteY2" fmla="*/ 0 h 1325730"/>
                <a:gd name="connsiteX3" fmla="*/ 1646214 w 1646214"/>
                <a:gd name="connsiteY3" fmla="*/ 369184 h 1325730"/>
                <a:gd name="connsiteX4" fmla="*/ 0 w 1646214"/>
                <a:gd name="connsiteY4" fmla="*/ 1325730 h 1325730"/>
                <a:gd name="connsiteX0" fmla="*/ 14145 w 1639142"/>
                <a:gd name="connsiteY0" fmla="*/ 1318333 h 1318333"/>
                <a:gd name="connsiteX1" fmla="*/ 0 w 1639142"/>
                <a:gd name="connsiteY1" fmla="*/ 959738 h 1318333"/>
                <a:gd name="connsiteX2" fmla="*/ 1634281 w 1639142"/>
                <a:gd name="connsiteY2" fmla="*/ 0 h 1318333"/>
                <a:gd name="connsiteX3" fmla="*/ 1639142 w 1639142"/>
                <a:gd name="connsiteY3" fmla="*/ 369184 h 1318333"/>
                <a:gd name="connsiteX4" fmla="*/ 14145 w 1639142"/>
                <a:gd name="connsiteY4" fmla="*/ 1318333 h 131833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39142" h="1318333">
                  <a:moveTo>
                    <a:pt x="14145" y="1318333"/>
                  </a:moveTo>
                  <a:lnTo>
                    <a:pt x="0" y="959738"/>
                  </a:lnTo>
                  <a:cubicBezTo>
                    <a:pt x="551096" y="644145"/>
                    <a:pt x="1083185" y="315593"/>
                    <a:pt x="1634281" y="0"/>
                  </a:cubicBezTo>
                  <a:cubicBezTo>
                    <a:pt x="1634281" y="30510"/>
                    <a:pt x="1639142" y="338674"/>
                    <a:pt x="1639142" y="369184"/>
                  </a:cubicBezTo>
                  <a:lnTo>
                    <a:pt x="14145" y="1318333"/>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7" name="Freeform 6"/>
            <xdr:cNvSpPr/>
          </xdr:nvSpPr>
          <xdr:spPr bwMode="auto">
            <a:xfrm>
              <a:off x="5184465" y="8240837"/>
              <a:ext cx="216208" cy="443413"/>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682902 h 682902"/>
                <a:gd name="connsiteX1" fmla="*/ 200225 w 200225"/>
                <a:gd name="connsiteY1" fmla="*/ 617114 h 682902"/>
                <a:gd name="connsiteX2" fmla="*/ 194505 w 200225"/>
                <a:gd name="connsiteY2" fmla="*/ 519862 h 682902"/>
                <a:gd name="connsiteX3" fmla="*/ 0 w 200225"/>
                <a:gd name="connsiteY3" fmla="*/ 624 h 682902"/>
                <a:gd name="connsiteX4" fmla="*/ 2861 w 200225"/>
                <a:gd name="connsiteY4" fmla="*/ 682902 h 682902"/>
                <a:gd name="connsiteX0" fmla="*/ 2861 w 200225"/>
                <a:gd name="connsiteY0" fmla="*/ 654164 h 654164"/>
                <a:gd name="connsiteX1" fmla="*/ 200225 w 200225"/>
                <a:gd name="connsiteY1" fmla="*/ 588376 h 654164"/>
                <a:gd name="connsiteX2" fmla="*/ 194505 w 200225"/>
                <a:gd name="connsiteY2" fmla="*/ 491124 h 654164"/>
                <a:gd name="connsiteX3" fmla="*/ 0 w 200225"/>
                <a:gd name="connsiteY3" fmla="*/ 658 h 654164"/>
                <a:gd name="connsiteX4" fmla="*/ 2861 w 200225"/>
                <a:gd name="connsiteY4" fmla="*/ 654164 h 654164"/>
                <a:gd name="connsiteX0" fmla="*/ 2861 w 200225"/>
                <a:gd name="connsiteY0" fmla="*/ 719293 h 719293"/>
                <a:gd name="connsiteX1" fmla="*/ 200225 w 200225"/>
                <a:gd name="connsiteY1" fmla="*/ 653505 h 719293"/>
                <a:gd name="connsiteX2" fmla="*/ 184971 w 200225"/>
                <a:gd name="connsiteY2" fmla="*/ 0 h 719293"/>
                <a:gd name="connsiteX3" fmla="*/ 0 w 200225"/>
                <a:gd name="connsiteY3" fmla="*/ 65787 h 719293"/>
                <a:gd name="connsiteX4" fmla="*/ 2861 w 200225"/>
                <a:gd name="connsiteY4" fmla="*/ 719293 h 719293"/>
                <a:gd name="connsiteX0" fmla="*/ 7629 w 204993"/>
                <a:gd name="connsiteY0" fmla="*/ 719293 h 719293"/>
                <a:gd name="connsiteX1" fmla="*/ 204993 w 204993"/>
                <a:gd name="connsiteY1" fmla="*/ 653505 h 719293"/>
                <a:gd name="connsiteX2" fmla="*/ 189739 w 204993"/>
                <a:gd name="connsiteY2" fmla="*/ 0 h 719293"/>
                <a:gd name="connsiteX3" fmla="*/ 0 w 204993"/>
                <a:gd name="connsiteY3" fmla="*/ 284803 h 719293"/>
                <a:gd name="connsiteX4" fmla="*/ 7629 w 204993"/>
                <a:gd name="connsiteY4" fmla="*/ 719293 h 719293"/>
                <a:gd name="connsiteX0" fmla="*/ 7629 w 204993"/>
                <a:gd name="connsiteY0" fmla="*/ 493362 h 493362"/>
                <a:gd name="connsiteX1" fmla="*/ 204993 w 204993"/>
                <a:gd name="connsiteY1" fmla="*/ 427574 h 493362"/>
                <a:gd name="connsiteX2" fmla="*/ 204041 w 204993"/>
                <a:gd name="connsiteY2" fmla="*/ 0 h 493362"/>
                <a:gd name="connsiteX3" fmla="*/ 0 w 204993"/>
                <a:gd name="connsiteY3" fmla="*/ 58872 h 493362"/>
                <a:gd name="connsiteX4" fmla="*/ 7629 w 204993"/>
                <a:gd name="connsiteY4" fmla="*/ 493362 h 493362"/>
                <a:gd name="connsiteX0" fmla="*/ 2862 w 204993"/>
                <a:gd name="connsiteY0" fmla="*/ 507195 h 507195"/>
                <a:gd name="connsiteX1" fmla="*/ 204993 w 204993"/>
                <a:gd name="connsiteY1" fmla="*/ 427574 h 507195"/>
                <a:gd name="connsiteX2" fmla="*/ 204041 w 204993"/>
                <a:gd name="connsiteY2" fmla="*/ 0 h 507195"/>
                <a:gd name="connsiteX3" fmla="*/ 0 w 204993"/>
                <a:gd name="connsiteY3" fmla="*/ 58872 h 507195"/>
                <a:gd name="connsiteX4" fmla="*/ 2862 w 204993"/>
                <a:gd name="connsiteY4" fmla="*/ 507195 h 507195"/>
                <a:gd name="connsiteX0" fmla="*/ 9959 w 212090"/>
                <a:gd name="connsiteY0" fmla="*/ 507195 h 507195"/>
                <a:gd name="connsiteX1" fmla="*/ 212090 w 212090"/>
                <a:gd name="connsiteY1" fmla="*/ 427574 h 507195"/>
                <a:gd name="connsiteX2" fmla="*/ 211138 w 212090"/>
                <a:gd name="connsiteY2" fmla="*/ 0 h 507195"/>
                <a:gd name="connsiteX3" fmla="*/ 0 w 212090"/>
                <a:gd name="connsiteY3" fmla="*/ 143854 h 507195"/>
                <a:gd name="connsiteX4" fmla="*/ 9959 w 212090"/>
                <a:gd name="connsiteY4" fmla="*/ 507195 h 507195"/>
                <a:gd name="connsiteX0" fmla="*/ 9959 w 218244"/>
                <a:gd name="connsiteY0" fmla="*/ 450541 h 450541"/>
                <a:gd name="connsiteX1" fmla="*/ 212090 w 218244"/>
                <a:gd name="connsiteY1" fmla="*/ 370920 h 450541"/>
                <a:gd name="connsiteX2" fmla="*/ 218234 w 218244"/>
                <a:gd name="connsiteY2" fmla="*/ 0 h 450541"/>
                <a:gd name="connsiteX3" fmla="*/ 0 w 218244"/>
                <a:gd name="connsiteY3" fmla="*/ 87200 h 450541"/>
                <a:gd name="connsiteX4" fmla="*/ 9959 w 218244"/>
                <a:gd name="connsiteY4" fmla="*/ 450541 h 450541"/>
                <a:gd name="connsiteX0" fmla="*/ 9959 w 212090"/>
                <a:gd name="connsiteY0" fmla="*/ 443458 h 443458"/>
                <a:gd name="connsiteX1" fmla="*/ 212090 w 212090"/>
                <a:gd name="connsiteY1" fmla="*/ 363837 h 443458"/>
                <a:gd name="connsiteX2" fmla="*/ 196944 w 212090"/>
                <a:gd name="connsiteY2" fmla="*/ 0 h 443458"/>
                <a:gd name="connsiteX3" fmla="*/ 0 w 212090"/>
                <a:gd name="connsiteY3" fmla="*/ 80117 h 443458"/>
                <a:gd name="connsiteX4" fmla="*/ 9959 w 212090"/>
                <a:gd name="connsiteY4" fmla="*/ 443458 h 443458"/>
                <a:gd name="connsiteX0" fmla="*/ 101 w 216425"/>
                <a:gd name="connsiteY0" fmla="*/ 436376 h 436376"/>
                <a:gd name="connsiteX1" fmla="*/ 216425 w 216425"/>
                <a:gd name="connsiteY1" fmla="*/ 363837 h 436376"/>
                <a:gd name="connsiteX2" fmla="*/ 201279 w 216425"/>
                <a:gd name="connsiteY2" fmla="*/ 0 h 436376"/>
                <a:gd name="connsiteX3" fmla="*/ 4335 w 216425"/>
                <a:gd name="connsiteY3" fmla="*/ 80117 h 436376"/>
                <a:gd name="connsiteX4" fmla="*/ 101 w 216425"/>
                <a:gd name="connsiteY4" fmla="*/ 436376 h 436376"/>
                <a:gd name="connsiteX0" fmla="*/ 101 w 209328"/>
                <a:gd name="connsiteY0" fmla="*/ 436376 h 436376"/>
                <a:gd name="connsiteX1" fmla="*/ 209328 w 209328"/>
                <a:gd name="connsiteY1" fmla="*/ 335509 h 436376"/>
                <a:gd name="connsiteX2" fmla="*/ 201279 w 209328"/>
                <a:gd name="connsiteY2" fmla="*/ 0 h 436376"/>
                <a:gd name="connsiteX3" fmla="*/ 4335 w 209328"/>
                <a:gd name="connsiteY3" fmla="*/ 80117 h 436376"/>
                <a:gd name="connsiteX4" fmla="*/ 101 w 209328"/>
                <a:gd name="connsiteY4" fmla="*/ 436376 h 436376"/>
                <a:gd name="connsiteX0" fmla="*/ 101 w 209328"/>
                <a:gd name="connsiteY0" fmla="*/ 436376 h 436376"/>
                <a:gd name="connsiteX1" fmla="*/ 209328 w 209328"/>
                <a:gd name="connsiteY1" fmla="*/ 349672 h 436376"/>
                <a:gd name="connsiteX2" fmla="*/ 201279 w 209328"/>
                <a:gd name="connsiteY2" fmla="*/ 0 h 436376"/>
                <a:gd name="connsiteX3" fmla="*/ 4335 w 209328"/>
                <a:gd name="connsiteY3" fmla="*/ 80117 h 436376"/>
                <a:gd name="connsiteX4" fmla="*/ 101 w 209328"/>
                <a:gd name="connsiteY4" fmla="*/ 436376 h 436376"/>
                <a:gd name="connsiteX0" fmla="*/ 101 w 223522"/>
                <a:gd name="connsiteY0" fmla="*/ 436376 h 436376"/>
                <a:gd name="connsiteX1" fmla="*/ 223522 w 223522"/>
                <a:gd name="connsiteY1" fmla="*/ 335509 h 436376"/>
                <a:gd name="connsiteX2" fmla="*/ 201279 w 223522"/>
                <a:gd name="connsiteY2" fmla="*/ 0 h 436376"/>
                <a:gd name="connsiteX3" fmla="*/ 4335 w 223522"/>
                <a:gd name="connsiteY3" fmla="*/ 80117 h 436376"/>
                <a:gd name="connsiteX4" fmla="*/ 101 w 223522"/>
                <a:gd name="connsiteY4" fmla="*/ 436376 h 436376"/>
                <a:gd name="connsiteX0" fmla="*/ 101 w 223522"/>
                <a:gd name="connsiteY0" fmla="*/ 436376 h 436376"/>
                <a:gd name="connsiteX1" fmla="*/ 223522 w 223522"/>
                <a:gd name="connsiteY1" fmla="*/ 349672 h 436376"/>
                <a:gd name="connsiteX2" fmla="*/ 201279 w 223522"/>
                <a:gd name="connsiteY2" fmla="*/ 0 h 436376"/>
                <a:gd name="connsiteX3" fmla="*/ 4335 w 223522"/>
                <a:gd name="connsiteY3" fmla="*/ 80117 h 436376"/>
                <a:gd name="connsiteX4" fmla="*/ 101 w 223522"/>
                <a:gd name="connsiteY4" fmla="*/ 436376 h 436376"/>
                <a:gd name="connsiteX0" fmla="*/ 101 w 216425"/>
                <a:gd name="connsiteY0" fmla="*/ 436376 h 436376"/>
                <a:gd name="connsiteX1" fmla="*/ 216425 w 216425"/>
                <a:gd name="connsiteY1" fmla="*/ 342591 h 436376"/>
                <a:gd name="connsiteX2" fmla="*/ 201279 w 216425"/>
                <a:gd name="connsiteY2" fmla="*/ 0 h 436376"/>
                <a:gd name="connsiteX3" fmla="*/ 4335 w 216425"/>
                <a:gd name="connsiteY3" fmla="*/ 80117 h 436376"/>
                <a:gd name="connsiteX4" fmla="*/ 101 w 216425"/>
                <a:gd name="connsiteY4" fmla="*/ 436376 h 436376"/>
                <a:gd name="connsiteX0" fmla="*/ 101 w 216425"/>
                <a:gd name="connsiteY0" fmla="*/ 436376 h 436376"/>
                <a:gd name="connsiteX1" fmla="*/ 216425 w 216425"/>
                <a:gd name="connsiteY1" fmla="*/ 342591 h 436376"/>
                <a:gd name="connsiteX2" fmla="*/ 215473 w 216425"/>
                <a:gd name="connsiteY2" fmla="*/ 0 h 436376"/>
                <a:gd name="connsiteX3" fmla="*/ 4335 w 216425"/>
                <a:gd name="connsiteY3" fmla="*/ 80117 h 436376"/>
                <a:gd name="connsiteX4" fmla="*/ 101 w 216425"/>
                <a:gd name="connsiteY4" fmla="*/ 436376 h 436376"/>
                <a:gd name="connsiteX0" fmla="*/ 101 w 216425"/>
                <a:gd name="connsiteY0" fmla="*/ 422212 h 422212"/>
                <a:gd name="connsiteX1" fmla="*/ 216425 w 216425"/>
                <a:gd name="connsiteY1" fmla="*/ 328427 h 422212"/>
                <a:gd name="connsiteX2" fmla="*/ 201280 w 216425"/>
                <a:gd name="connsiteY2" fmla="*/ 0 h 422212"/>
                <a:gd name="connsiteX3" fmla="*/ 4335 w 216425"/>
                <a:gd name="connsiteY3" fmla="*/ 65953 h 422212"/>
                <a:gd name="connsiteX4" fmla="*/ 101 w 216425"/>
                <a:gd name="connsiteY4" fmla="*/ 422212 h 422212"/>
                <a:gd name="connsiteX0" fmla="*/ 101 w 216425"/>
                <a:gd name="connsiteY0" fmla="*/ 422212 h 422212"/>
                <a:gd name="connsiteX1" fmla="*/ 216425 w 216425"/>
                <a:gd name="connsiteY1" fmla="*/ 349673 h 422212"/>
                <a:gd name="connsiteX2" fmla="*/ 201280 w 216425"/>
                <a:gd name="connsiteY2" fmla="*/ 0 h 422212"/>
                <a:gd name="connsiteX3" fmla="*/ 4335 w 216425"/>
                <a:gd name="connsiteY3" fmla="*/ 65953 h 422212"/>
                <a:gd name="connsiteX4" fmla="*/ 101 w 216425"/>
                <a:gd name="connsiteY4" fmla="*/ 422212 h 422212"/>
                <a:gd name="connsiteX0" fmla="*/ 101 w 209328"/>
                <a:gd name="connsiteY0" fmla="*/ 422212 h 422212"/>
                <a:gd name="connsiteX1" fmla="*/ 209328 w 209328"/>
                <a:gd name="connsiteY1" fmla="*/ 349673 h 422212"/>
                <a:gd name="connsiteX2" fmla="*/ 201280 w 209328"/>
                <a:gd name="connsiteY2" fmla="*/ 0 h 422212"/>
                <a:gd name="connsiteX3" fmla="*/ 4335 w 209328"/>
                <a:gd name="connsiteY3" fmla="*/ 65953 h 422212"/>
                <a:gd name="connsiteX4" fmla="*/ 101 w 209328"/>
                <a:gd name="connsiteY4" fmla="*/ 422212 h 422212"/>
                <a:gd name="connsiteX0" fmla="*/ 101 w 230618"/>
                <a:gd name="connsiteY0" fmla="*/ 422212 h 422212"/>
                <a:gd name="connsiteX1" fmla="*/ 230618 w 230618"/>
                <a:gd name="connsiteY1" fmla="*/ 349673 h 422212"/>
                <a:gd name="connsiteX2" fmla="*/ 201280 w 230618"/>
                <a:gd name="connsiteY2" fmla="*/ 0 h 422212"/>
                <a:gd name="connsiteX3" fmla="*/ 4335 w 230618"/>
                <a:gd name="connsiteY3" fmla="*/ 65953 h 422212"/>
                <a:gd name="connsiteX4" fmla="*/ 101 w 230618"/>
                <a:gd name="connsiteY4" fmla="*/ 422212 h 422212"/>
                <a:gd name="connsiteX0" fmla="*/ 101 w 216423"/>
                <a:gd name="connsiteY0" fmla="*/ 422212 h 422212"/>
                <a:gd name="connsiteX1" fmla="*/ 216423 w 216423"/>
                <a:gd name="connsiteY1" fmla="*/ 349673 h 422212"/>
                <a:gd name="connsiteX2" fmla="*/ 201280 w 216423"/>
                <a:gd name="connsiteY2" fmla="*/ 0 h 422212"/>
                <a:gd name="connsiteX3" fmla="*/ 4335 w 216423"/>
                <a:gd name="connsiteY3" fmla="*/ 65953 h 422212"/>
                <a:gd name="connsiteX4" fmla="*/ 101 w 216423"/>
                <a:gd name="connsiteY4" fmla="*/ 422212 h 422212"/>
                <a:gd name="connsiteX0" fmla="*/ 101 w 216423"/>
                <a:gd name="connsiteY0" fmla="*/ 429294 h 429294"/>
                <a:gd name="connsiteX1" fmla="*/ 216423 w 216423"/>
                <a:gd name="connsiteY1" fmla="*/ 356755 h 429294"/>
                <a:gd name="connsiteX2" fmla="*/ 215474 w 216423"/>
                <a:gd name="connsiteY2" fmla="*/ 0 h 429294"/>
                <a:gd name="connsiteX3" fmla="*/ 4335 w 216423"/>
                <a:gd name="connsiteY3" fmla="*/ 73035 h 429294"/>
                <a:gd name="connsiteX4" fmla="*/ 101 w 216423"/>
                <a:gd name="connsiteY4" fmla="*/ 429294 h 4292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6423" h="429294">
                  <a:moveTo>
                    <a:pt x="101" y="429294"/>
                  </a:moveTo>
                  <a:lnTo>
                    <a:pt x="216423" y="356755"/>
                  </a:lnTo>
                  <a:cubicBezTo>
                    <a:pt x="216106" y="214230"/>
                    <a:pt x="215791" y="142525"/>
                    <a:pt x="215474" y="0"/>
                  </a:cubicBezTo>
                  <a:lnTo>
                    <a:pt x="4335" y="73035"/>
                  </a:lnTo>
                  <a:cubicBezTo>
                    <a:pt x="5289" y="105452"/>
                    <a:pt x="-853" y="396877"/>
                    <a:pt x="101" y="429294"/>
                  </a:cubicBezTo>
                  <a:close/>
                </a:path>
              </a:pathLst>
            </a:custGeom>
            <a:solidFill>
              <a:schemeClr val="accent1">
                <a:lumMod val="20000"/>
                <a:lumOff val="8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38" name="Freeform 237"/>
            <xdr:cNvSpPr/>
          </xdr:nvSpPr>
          <xdr:spPr bwMode="auto">
            <a:xfrm>
              <a:off x="7039255" y="7183049"/>
              <a:ext cx="149684" cy="475051"/>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220247 h 220247"/>
                <a:gd name="connsiteX1" fmla="*/ 200225 w 200225"/>
                <a:gd name="connsiteY1" fmla="*/ 154459 h 220247"/>
                <a:gd name="connsiteX2" fmla="*/ 134438 w 200225"/>
                <a:gd name="connsiteY2" fmla="*/ 0 h 220247"/>
                <a:gd name="connsiteX3" fmla="*/ 0 w 200225"/>
                <a:gd name="connsiteY3" fmla="*/ 122995 h 220247"/>
                <a:gd name="connsiteX4" fmla="*/ 2861 w 200225"/>
                <a:gd name="connsiteY4" fmla="*/ 220247 h 220247"/>
                <a:gd name="connsiteX0" fmla="*/ 2861 w 134438"/>
                <a:gd name="connsiteY0" fmla="*/ 220247 h 220247"/>
                <a:gd name="connsiteX1" fmla="*/ 134437 w 134438"/>
                <a:gd name="connsiteY1" fmla="*/ 128715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17274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08693 h 220247"/>
                <a:gd name="connsiteX2" fmla="*/ 134438 w 134438"/>
                <a:gd name="connsiteY2" fmla="*/ 0 h 220247"/>
                <a:gd name="connsiteX3" fmla="*/ 0 w 134438"/>
                <a:gd name="connsiteY3" fmla="*/ 122995 h 220247"/>
                <a:gd name="connsiteX4" fmla="*/ 2861 w 13443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2973 h 220247"/>
                <a:gd name="connsiteX4" fmla="*/ 31 w 13160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5834 h 220247"/>
                <a:gd name="connsiteX4" fmla="*/ 31 w 131608"/>
                <a:gd name="connsiteY4" fmla="*/ 220247 h 220247"/>
                <a:gd name="connsiteX0" fmla="*/ 5721 w 111555"/>
                <a:gd name="connsiteY0" fmla="*/ 194503 h 194503"/>
                <a:gd name="connsiteX1" fmla="*/ 111554 w 111555"/>
                <a:gd name="connsiteY1" fmla="*/ 108693 h 194503"/>
                <a:gd name="connsiteX2" fmla="*/ 111555 w 111555"/>
                <a:gd name="connsiteY2" fmla="*/ 0 h 194503"/>
                <a:gd name="connsiteX3" fmla="*/ 0 w 111555"/>
                <a:gd name="connsiteY3" fmla="*/ 105834 h 194503"/>
                <a:gd name="connsiteX4" fmla="*/ 5721 w 111555"/>
                <a:gd name="connsiteY4" fmla="*/ 194503 h 194503"/>
                <a:gd name="connsiteX0" fmla="*/ 275 w 111829"/>
                <a:gd name="connsiteY0" fmla="*/ 200223 h 200223"/>
                <a:gd name="connsiteX1" fmla="*/ 111828 w 111829"/>
                <a:gd name="connsiteY1" fmla="*/ 108693 h 200223"/>
                <a:gd name="connsiteX2" fmla="*/ 111829 w 111829"/>
                <a:gd name="connsiteY2" fmla="*/ 0 h 200223"/>
                <a:gd name="connsiteX3" fmla="*/ 274 w 111829"/>
                <a:gd name="connsiteY3" fmla="*/ 105834 h 200223"/>
                <a:gd name="connsiteX4" fmla="*/ 275 w 111829"/>
                <a:gd name="connsiteY4" fmla="*/ 200223 h 200223"/>
                <a:gd name="connsiteX0" fmla="*/ 18639 w 130193"/>
                <a:gd name="connsiteY0" fmla="*/ 611104 h 611104"/>
                <a:gd name="connsiteX1" fmla="*/ 130192 w 130193"/>
                <a:gd name="connsiteY1" fmla="*/ 519574 h 611104"/>
                <a:gd name="connsiteX2" fmla="*/ 130193 w 130193"/>
                <a:gd name="connsiteY2" fmla="*/ 410881 h 611104"/>
                <a:gd name="connsiteX3" fmla="*/ 0 w 130193"/>
                <a:gd name="connsiteY3" fmla="*/ 1856 h 611104"/>
                <a:gd name="connsiteX4" fmla="*/ 18639 w 130193"/>
                <a:gd name="connsiteY4" fmla="*/ 611104 h 611104"/>
                <a:gd name="connsiteX0" fmla="*/ 9320 w 120874"/>
                <a:gd name="connsiteY0" fmla="*/ 601607 h 601607"/>
                <a:gd name="connsiteX1" fmla="*/ 120873 w 120874"/>
                <a:gd name="connsiteY1" fmla="*/ 510077 h 601607"/>
                <a:gd name="connsiteX2" fmla="*/ 120874 w 120874"/>
                <a:gd name="connsiteY2" fmla="*/ 401384 h 601607"/>
                <a:gd name="connsiteX3" fmla="*/ 0 w 120874"/>
                <a:gd name="connsiteY3" fmla="*/ 1893 h 601607"/>
                <a:gd name="connsiteX4" fmla="*/ 9320 w 120874"/>
                <a:gd name="connsiteY4" fmla="*/ 601607 h 601607"/>
                <a:gd name="connsiteX0" fmla="*/ 9320 w 120874"/>
                <a:gd name="connsiteY0" fmla="*/ 762754 h 762754"/>
                <a:gd name="connsiteX1" fmla="*/ 120873 w 120874"/>
                <a:gd name="connsiteY1" fmla="*/ 671224 h 762754"/>
                <a:gd name="connsiteX2" fmla="*/ 120874 w 120874"/>
                <a:gd name="connsiteY2" fmla="*/ 0 h 762754"/>
                <a:gd name="connsiteX3" fmla="*/ 0 w 120874"/>
                <a:gd name="connsiteY3" fmla="*/ 163040 h 762754"/>
                <a:gd name="connsiteX4" fmla="*/ 9320 w 120874"/>
                <a:gd name="connsiteY4" fmla="*/ 762754 h 762754"/>
                <a:gd name="connsiteX0" fmla="*/ 9320 w 120874"/>
                <a:gd name="connsiteY0" fmla="*/ 705547 h 705547"/>
                <a:gd name="connsiteX1" fmla="*/ 120873 w 120874"/>
                <a:gd name="connsiteY1" fmla="*/ 614017 h 705547"/>
                <a:gd name="connsiteX2" fmla="*/ 120874 w 120874"/>
                <a:gd name="connsiteY2" fmla="*/ 0 h 705547"/>
                <a:gd name="connsiteX3" fmla="*/ 0 w 120874"/>
                <a:gd name="connsiteY3" fmla="*/ 105833 h 705547"/>
                <a:gd name="connsiteX4" fmla="*/ 9320 w 120874"/>
                <a:gd name="connsiteY4" fmla="*/ 705547 h 705547"/>
                <a:gd name="connsiteX0" fmla="*/ 9320 w 120874"/>
                <a:gd name="connsiteY0" fmla="*/ 705547 h 705547"/>
                <a:gd name="connsiteX1" fmla="*/ 120873 w 120874"/>
                <a:gd name="connsiteY1" fmla="*/ 614017 h 705547"/>
                <a:gd name="connsiteX2" fmla="*/ 120874 w 120874"/>
                <a:gd name="connsiteY2" fmla="*/ 0 h 705547"/>
                <a:gd name="connsiteX3" fmla="*/ 0 w 120874"/>
                <a:gd name="connsiteY3" fmla="*/ 344736 h 705547"/>
                <a:gd name="connsiteX4" fmla="*/ 9320 w 120874"/>
                <a:gd name="connsiteY4" fmla="*/ 705547 h 705547"/>
                <a:gd name="connsiteX0" fmla="*/ 9320 w 129526"/>
                <a:gd name="connsiteY0" fmla="*/ 493436 h 493436"/>
                <a:gd name="connsiteX1" fmla="*/ 120873 w 129526"/>
                <a:gd name="connsiteY1" fmla="*/ 401906 h 493436"/>
                <a:gd name="connsiteX2" fmla="*/ 129526 w 129526"/>
                <a:gd name="connsiteY2" fmla="*/ 0 h 493436"/>
                <a:gd name="connsiteX3" fmla="*/ 0 w 129526"/>
                <a:gd name="connsiteY3" fmla="*/ 132625 h 493436"/>
                <a:gd name="connsiteX4" fmla="*/ 9320 w 129526"/>
                <a:gd name="connsiteY4" fmla="*/ 493436 h 493436"/>
                <a:gd name="connsiteX0" fmla="*/ 9320 w 129526"/>
                <a:gd name="connsiteY0" fmla="*/ 493436 h 493436"/>
                <a:gd name="connsiteX1" fmla="*/ 125200 w 129526"/>
                <a:gd name="connsiteY1" fmla="*/ 397441 h 493436"/>
                <a:gd name="connsiteX2" fmla="*/ 129526 w 129526"/>
                <a:gd name="connsiteY2" fmla="*/ 0 h 493436"/>
                <a:gd name="connsiteX3" fmla="*/ 0 w 129526"/>
                <a:gd name="connsiteY3" fmla="*/ 132625 h 493436"/>
                <a:gd name="connsiteX4" fmla="*/ 9320 w 129526"/>
                <a:gd name="connsiteY4" fmla="*/ 493436 h 493436"/>
                <a:gd name="connsiteX0" fmla="*/ 9320 w 135966"/>
                <a:gd name="connsiteY0" fmla="*/ 445425 h 445425"/>
                <a:gd name="connsiteX1" fmla="*/ 125200 w 135966"/>
                <a:gd name="connsiteY1" fmla="*/ 349430 h 445425"/>
                <a:gd name="connsiteX2" fmla="*/ 135966 w 135966"/>
                <a:gd name="connsiteY2" fmla="*/ 0 h 445425"/>
                <a:gd name="connsiteX3" fmla="*/ 0 w 135966"/>
                <a:gd name="connsiteY3" fmla="*/ 84614 h 445425"/>
                <a:gd name="connsiteX4" fmla="*/ 9320 w 135966"/>
                <a:gd name="connsiteY4" fmla="*/ 445425 h 445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5966" h="445425">
                  <a:moveTo>
                    <a:pt x="9320" y="445425"/>
                  </a:moveTo>
                  <a:lnTo>
                    <a:pt x="125200" y="349430"/>
                  </a:lnTo>
                  <a:cubicBezTo>
                    <a:pt x="125200" y="306525"/>
                    <a:pt x="135966" y="42905"/>
                    <a:pt x="135966" y="0"/>
                  </a:cubicBezTo>
                  <a:cubicBezTo>
                    <a:pt x="98781" y="35278"/>
                    <a:pt x="37185" y="49336"/>
                    <a:pt x="0" y="84614"/>
                  </a:cubicBezTo>
                  <a:cubicBezTo>
                    <a:pt x="954" y="117031"/>
                    <a:pt x="8366" y="413008"/>
                    <a:pt x="9320" y="445425"/>
                  </a:cubicBezTo>
                  <a:close/>
                </a:path>
              </a:pathLst>
            </a:custGeom>
            <a:solidFill>
              <a:schemeClr val="accent1">
                <a:lumMod val="40000"/>
                <a:lumOff val="6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nvGrpSpPr>
          <xdr:cNvPr id="10333" name="Group 239"/>
          <xdr:cNvGrpSpPr>
            <a:grpSpLocks/>
          </xdr:cNvGrpSpPr>
        </xdr:nvGrpSpPr>
        <xdr:grpSpPr bwMode="auto">
          <a:xfrm>
            <a:off x="4581525" y="8162925"/>
            <a:ext cx="1974021" cy="1220287"/>
            <a:chOff x="6543675" y="19316700"/>
            <a:chExt cx="1974021" cy="1220287"/>
          </a:xfrm>
        </xdr:grpSpPr>
        <xdr:sp macro="" textlink="">
          <xdr:nvSpPr>
            <xdr:cNvPr id="241" name="Freeform 240"/>
            <xdr:cNvSpPr/>
          </xdr:nvSpPr>
          <xdr:spPr>
            <a:xfrm>
              <a:off x="6543675" y="19316700"/>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 name="connsiteX0" fmla="*/ 0 w 1971675"/>
                <a:gd name="connsiteY0" fmla="*/ 1123950 h 1123950"/>
                <a:gd name="connsiteX1" fmla="*/ 1971675 w 1971675"/>
                <a:gd name="connsiteY1" fmla="*/ 0 h 1123950"/>
                <a:gd name="connsiteX2" fmla="*/ 1864082 w 1971675"/>
                <a:gd name="connsiteY2" fmla="*/ 109621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64082" y="109621"/>
                  </a:lnTo>
                  <a:lnTo>
                    <a:pt x="209550" y="1057275"/>
                  </a:lnTo>
                  <a:lnTo>
                    <a:pt x="0" y="1123950"/>
                  </a:lnTo>
                  <a:close/>
                </a:path>
              </a:pathLst>
            </a:custGeom>
            <a:solidFill>
              <a:schemeClr val="accent1">
                <a:lumMod val="20000"/>
                <a:lumOff val="80000"/>
              </a:schemeClr>
            </a:solid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42" name="Freeform 241"/>
            <xdr:cNvSpPr/>
          </xdr:nvSpPr>
          <xdr:spPr>
            <a:xfrm>
              <a:off x="6543675" y="19411950"/>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38325" y="123825"/>
                  </a:lnTo>
                  <a:lnTo>
                    <a:pt x="209550" y="1057275"/>
                  </a:lnTo>
                  <a:lnTo>
                    <a:pt x="0" y="1123950"/>
                  </a:lnTo>
                  <a:close/>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43" name="Freeform 242"/>
            <xdr:cNvSpPr/>
          </xdr:nvSpPr>
          <xdr:spPr>
            <a:xfrm>
              <a:off x="6753225" y="19431000"/>
              <a:ext cx="1657350" cy="1038225"/>
            </a:xfrm>
            <a:custGeom>
              <a:avLst/>
              <a:gdLst>
                <a:gd name="connsiteX0" fmla="*/ 0 w 1627545"/>
                <a:gd name="connsiteY0" fmla="*/ 1038311 h 1038311"/>
                <a:gd name="connsiteX1" fmla="*/ 0 w 1627545"/>
                <a:gd name="connsiteY1" fmla="*/ 935338 h 1038311"/>
                <a:gd name="connsiteX2" fmla="*/ 1627545 w 1627545"/>
                <a:gd name="connsiteY2" fmla="*/ 0 h 1038311"/>
                <a:gd name="connsiteX3" fmla="*/ 1627545 w 1627545"/>
                <a:gd name="connsiteY3" fmla="*/ 94392 h 1038311"/>
                <a:gd name="connsiteX4" fmla="*/ 0 w 1627545"/>
                <a:gd name="connsiteY4" fmla="*/ 1038311 h 1038311"/>
                <a:gd name="connsiteX0" fmla="*/ 0 w 1656148"/>
                <a:gd name="connsiteY0" fmla="*/ 1055473 h 1055473"/>
                <a:gd name="connsiteX1" fmla="*/ 0 w 1656148"/>
                <a:gd name="connsiteY1" fmla="*/ 952500 h 1055473"/>
                <a:gd name="connsiteX2" fmla="*/ 1656148 w 1656148"/>
                <a:gd name="connsiteY2" fmla="*/ 0 h 1055473"/>
                <a:gd name="connsiteX3" fmla="*/ 1627545 w 1656148"/>
                <a:gd name="connsiteY3" fmla="*/ 111554 h 1055473"/>
                <a:gd name="connsiteX4" fmla="*/ 0 w 1656148"/>
                <a:gd name="connsiteY4" fmla="*/ 1055473 h 1055473"/>
                <a:gd name="connsiteX0" fmla="*/ 0 w 1656149"/>
                <a:gd name="connsiteY0" fmla="*/ 1055473 h 1055473"/>
                <a:gd name="connsiteX1" fmla="*/ 0 w 1656149"/>
                <a:gd name="connsiteY1" fmla="*/ 952500 h 1055473"/>
                <a:gd name="connsiteX2" fmla="*/ 1656148 w 1656149"/>
                <a:gd name="connsiteY2" fmla="*/ 0 h 1055473"/>
                <a:gd name="connsiteX3" fmla="*/ 1656149 w 1656149"/>
                <a:gd name="connsiteY3" fmla="*/ 91531 h 1055473"/>
                <a:gd name="connsiteX4" fmla="*/ 0 w 1656149"/>
                <a:gd name="connsiteY4" fmla="*/ 1055473 h 1055473"/>
                <a:gd name="connsiteX0" fmla="*/ 0 w 1661870"/>
                <a:gd name="connsiteY0" fmla="*/ 1055473 h 1055473"/>
                <a:gd name="connsiteX1" fmla="*/ 0 w 1661870"/>
                <a:gd name="connsiteY1" fmla="*/ 952500 h 1055473"/>
                <a:gd name="connsiteX2" fmla="*/ 1656148 w 1661870"/>
                <a:gd name="connsiteY2" fmla="*/ 0 h 1055473"/>
                <a:gd name="connsiteX3" fmla="*/ 1661870 w 1661870"/>
                <a:gd name="connsiteY3" fmla="*/ 91531 h 1055473"/>
                <a:gd name="connsiteX4" fmla="*/ 0 w 1661870"/>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8 w 1656148"/>
                <a:gd name="connsiteY3" fmla="*/ 94392 h 1055473"/>
                <a:gd name="connsiteX4" fmla="*/ 0 w 1656148"/>
                <a:gd name="connsiteY4" fmla="*/ 1055473 h 1055473"/>
                <a:gd name="connsiteX0" fmla="*/ 0 w 1661869"/>
                <a:gd name="connsiteY0" fmla="*/ 1055473 h 1055473"/>
                <a:gd name="connsiteX1" fmla="*/ 0 w 1661869"/>
                <a:gd name="connsiteY1" fmla="*/ 952500 h 1055473"/>
                <a:gd name="connsiteX2" fmla="*/ 1656148 w 1661869"/>
                <a:gd name="connsiteY2" fmla="*/ 0 h 1055473"/>
                <a:gd name="connsiteX3" fmla="*/ 1661869 w 1661869"/>
                <a:gd name="connsiteY3" fmla="*/ 91532 h 1055473"/>
                <a:gd name="connsiteX4" fmla="*/ 0 w 1661869"/>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7 w 1656148"/>
                <a:gd name="connsiteY3" fmla="*/ 91532 h 1055473"/>
                <a:gd name="connsiteX4" fmla="*/ 0 w 1656148"/>
                <a:gd name="connsiteY4" fmla="*/ 1055473 h 1055473"/>
                <a:gd name="connsiteX0" fmla="*/ 0 w 1653288"/>
                <a:gd name="connsiteY0" fmla="*/ 1049752 h 1049752"/>
                <a:gd name="connsiteX1" fmla="*/ 0 w 1653288"/>
                <a:gd name="connsiteY1" fmla="*/ 946779 h 1049752"/>
                <a:gd name="connsiteX2" fmla="*/ 1653288 w 1653288"/>
                <a:gd name="connsiteY2" fmla="*/ 0 h 1049752"/>
                <a:gd name="connsiteX3" fmla="*/ 1653287 w 1653288"/>
                <a:gd name="connsiteY3" fmla="*/ 85811 h 1049752"/>
                <a:gd name="connsiteX4" fmla="*/ 0 w 1653288"/>
                <a:gd name="connsiteY4" fmla="*/ 1049752 h 104975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53288" h="1049752">
                  <a:moveTo>
                    <a:pt x="0" y="1049752"/>
                  </a:moveTo>
                  <a:lnTo>
                    <a:pt x="0" y="946779"/>
                  </a:lnTo>
                  <a:lnTo>
                    <a:pt x="1653288" y="0"/>
                  </a:lnTo>
                  <a:cubicBezTo>
                    <a:pt x="1653288" y="30510"/>
                    <a:pt x="1653287" y="55301"/>
                    <a:pt x="1653287" y="85811"/>
                  </a:cubicBezTo>
                  <a:lnTo>
                    <a:pt x="0" y="1049752"/>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44" name="Freeform 243"/>
            <xdr:cNvSpPr/>
          </xdr:nvSpPr>
          <xdr:spPr>
            <a:xfrm>
              <a:off x="6553200" y="20373975"/>
              <a:ext cx="200025" cy="161925"/>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0225" h="163040">
                  <a:moveTo>
                    <a:pt x="2861" y="163040"/>
                  </a:moveTo>
                  <a:lnTo>
                    <a:pt x="200225" y="97252"/>
                  </a:lnTo>
                  <a:lnTo>
                    <a:pt x="194505" y="0"/>
                  </a:lnTo>
                  <a:lnTo>
                    <a:pt x="0" y="65788"/>
                  </a:lnTo>
                  <a:cubicBezTo>
                    <a:pt x="954" y="98205"/>
                    <a:pt x="1907" y="130623"/>
                    <a:pt x="2861" y="163040"/>
                  </a:cubicBezTo>
                  <a:close/>
                </a:path>
              </a:pathLst>
            </a:custGeom>
            <a:solidFill>
              <a:schemeClr val="accent1">
                <a:lumMod val="20000"/>
                <a:lumOff val="8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45" name="Freeform 244"/>
            <xdr:cNvSpPr/>
          </xdr:nvSpPr>
          <xdr:spPr>
            <a:xfrm>
              <a:off x="8401050" y="19316700"/>
              <a:ext cx="114300" cy="200025"/>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220247 h 220247"/>
                <a:gd name="connsiteX1" fmla="*/ 200225 w 200225"/>
                <a:gd name="connsiteY1" fmla="*/ 154459 h 220247"/>
                <a:gd name="connsiteX2" fmla="*/ 134438 w 200225"/>
                <a:gd name="connsiteY2" fmla="*/ 0 h 220247"/>
                <a:gd name="connsiteX3" fmla="*/ 0 w 200225"/>
                <a:gd name="connsiteY3" fmla="*/ 122995 h 220247"/>
                <a:gd name="connsiteX4" fmla="*/ 2861 w 200225"/>
                <a:gd name="connsiteY4" fmla="*/ 220247 h 220247"/>
                <a:gd name="connsiteX0" fmla="*/ 2861 w 134438"/>
                <a:gd name="connsiteY0" fmla="*/ 220247 h 220247"/>
                <a:gd name="connsiteX1" fmla="*/ 134437 w 134438"/>
                <a:gd name="connsiteY1" fmla="*/ 128715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17274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08693 h 220247"/>
                <a:gd name="connsiteX2" fmla="*/ 134438 w 134438"/>
                <a:gd name="connsiteY2" fmla="*/ 0 h 220247"/>
                <a:gd name="connsiteX3" fmla="*/ 0 w 134438"/>
                <a:gd name="connsiteY3" fmla="*/ 122995 h 220247"/>
                <a:gd name="connsiteX4" fmla="*/ 2861 w 13443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2973 h 220247"/>
                <a:gd name="connsiteX4" fmla="*/ 31 w 13160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5834 h 220247"/>
                <a:gd name="connsiteX4" fmla="*/ 31 w 131608"/>
                <a:gd name="connsiteY4" fmla="*/ 220247 h 220247"/>
                <a:gd name="connsiteX0" fmla="*/ 5721 w 111555"/>
                <a:gd name="connsiteY0" fmla="*/ 194503 h 194503"/>
                <a:gd name="connsiteX1" fmla="*/ 111554 w 111555"/>
                <a:gd name="connsiteY1" fmla="*/ 108693 h 194503"/>
                <a:gd name="connsiteX2" fmla="*/ 111555 w 111555"/>
                <a:gd name="connsiteY2" fmla="*/ 0 h 194503"/>
                <a:gd name="connsiteX3" fmla="*/ 0 w 111555"/>
                <a:gd name="connsiteY3" fmla="*/ 105834 h 194503"/>
                <a:gd name="connsiteX4" fmla="*/ 5721 w 111555"/>
                <a:gd name="connsiteY4" fmla="*/ 194503 h 194503"/>
                <a:gd name="connsiteX0" fmla="*/ 275 w 111829"/>
                <a:gd name="connsiteY0" fmla="*/ 200223 h 200223"/>
                <a:gd name="connsiteX1" fmla="*/ 111828 w 111829"/>
                <a:gd name="connsiteY1" fmla="*/ 108693 h 200223"/>
                <a:gd name="connsiteX2" fmla="*/ 111829 w 111829"/>
                <a:gd name="connsiteY2" fmla="*/ 0 h 200223"/>
                <a:gd name="connsiteX3" fmla="*/ 274 w 111829"/>
                <a:gd name="connsiteY3" fmla="*/ 105834 h 200223"/>
                <a:gd name="connsiteX4" fmla="*/ 275 w 111829"/>
                <a:gd name="connsiteY4" fmla="*/ 200223 h 20022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1829" h="200223">
                  <a:moveTo>
                    <a:pt x="275" y="200223"/>
                  </a:moveTo>
                  <a:lnTo>
                    <a:pt x="111828" y="108693"/>
                  </a:lnTo>
                  <a:cubicBezTo>
                    <a:pt x="111828" y="65788"/>
                    <a:pt x="111829" y="42905"/>
                    <a:pt x="111829" y="0"/>
                  </a:cubicBezTo>
                  <a:lnTo>
                    <a:pt x="274" y="105834"/>
                  </a:lnTo>
                  <a:cubicBezTo>
                    <a:pt x="1228" y="138251"/>
                    <a:pt x="-679" y="167806"/>
                    <a:pt x="275" y="200223"/>
                  </a:cubicBezTo>
                  <a:close/>
                </a:path>
              </a:pathLst>
            </a:custGeom>
            <a:solidFill>
              <a:schemeClr val="accent1">
                <a:lumMod val="40000"/>
                <a:lumOff val="6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nvGrpSpPr>
          <xdr:cNvPr id="10334" name="Group 245"/>
          <xdr:cNvGrpSpPr>
            <a:grpSpLocks/>
          </xdr:cNvGrpSpPr>
        </xdr:nvGrpSpPr>
        <xdr:grpSpPr bwMode="auto">
          <a:xfrm>
            <a:off x="4581525" y="8848725"/>
            <a:ext cx="1974021" cy="1220287"/>
            <a:chOff x="6543675" y="19316700"/>
            <a:chExt cx="1974021" cy="1220287"/>
          </a:xfrm>
        </xdr:grpSpPr>
        <xdr:sp macro="" textlink="">
          <xdr:nvSpPr>
            <xdr:cNvPr id="247" name="Freeform 246"/>
            <xdr:cNvSpPr/>
          </xdr:nvSpPr>
          <xdr:spPr>
            <a:xfrm>
              <a:off x="6543675" y="19316700"/>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 name="connsiteX0" fmla="*/ 0 w 1971675"/>
                <a:gd name="connsiteY0" fmla="*/ 1123950 h 1123950"/>
                <a:gd name="connsiteX1" fmla="*/ 1971675 w 1971675"/>
                <a:gd name="connsiteY1" fmla="*/ 0 h 1123950"/>
                <a:gd name="connsiteX2" fmla="*/ 1864082 w 1971675"/>
                <a:gd name="connsiteY2" fmla="*/ 109621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64082" y="109621"/>
                  </a:lnTo>
                  <a:lnTo>
                    <a:pt x="209550" y="1057275"/>
                  </a:lnTo>
                  <a:lnTo>
                    <a:pt x="0" y="1123950"/>
                  </a:lnTo>
                  <a:close/>
                </a:path>
              </a:pathLst>
            </a:custGeom>
            <a:solidFill>
              <a:schemeClr val="accent1">
                <a:lumMod val="20000"/>
                <a:lumOff val="80000"/>
              </a:schemeClr>
            </a:solid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48" name="Freeform 247"/>
            <xdr:cNvSpPr/>
          </xdr:nvSpPr>
          <xdr:spPr>
            <a:xfrm>
              <a:off x="6543675" y="19411950"/>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38325" y="123825"/>
                  </a:lnTo>
                  <a:lnTo>
                    <a:pt x="209550" y="1057275"/>
                  </a:lnTo>
                  <a:lnTo>
                    <a:pt x="0" y="1123950"/>
                  </a:lnTo>
                  <a:close/>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49" name="Freeform 248"/>
            <xdr:cNvSpPr/>
          </xdr:nvSpPr>
          <xdr:spPr>
            <a:xfrm>
              <a:off x="6753225" y="19431000"/>
              <a:ext cx="1657350" cy="1038225"/>
            </a:xfrm>
            <a:custGeom>
              <a:avLst/>
              <a:gdLst>
                <a:gd name="connsiteX0" fmla="*/ 0 w 1627545"/>
                <a:gd name="connsiteY0" fmla="*/ 1038311 h 1038311"/>
                <a:gd name="connsiteX1" fmla="*/ 0 w 1627545"/>
                <a:gd name="connsiteY1" fmla="*/ 935338 h 1038311"/>
                <a:gd name="connsiteX2" fmla="*/ 1627545 w 1627545"/>
                <a:gd name="connsiteY2" fmla="*/ 0 h 1038311"/>
                <a:gd name="connsiteX3" fmla="*/ 1627545 w 1627545"/>
                <a:gd name="connsiteY3" fmla="*/ 94392 h 1038311"/>
                <a:gd name="connsiteX4" fmla="*/ 0 w 1627545"/>
                <a:gd name="connsiteY4" fmla="*/ 1038311 h 1038311"/>
                <a:gd name="connsiteX0" fmla="*/ 0 w 1656148"/>
                <a:gd name="connsiteY0" fmla="*/ 1055473 h 1055473"/>
                <a:gd name="connsiteX1" fmla="*/ 0 w 1656148"/>
                <a:gd name="connsiteY1" fmla="*/ 952500 h 1055473"/>
                <a:gd name="connsiteX2" fmla="*/ 1656148 w 1656148"/>
                <a:gd name="connsiteY2" fmla="*/ 0 h 1055473"/>
                <a:gd name="connsiteX3" fmla="*/ 1627545 w 1656148"/>
                <a:gd name="connsiteY3" fmla="*/ 111554 h 1055473"/>
                <a:gd name="connsiteX4" fmla="*/ 0 w 1656148"/>
                <a:gd name="connsiteY4" fmla="*/ 1055473 h 1055473"/>
                <a:gd name="connsiteX0" fmla="*/ 0 w 1656149"/>
                <a:gd name="connsiteY0" fmla="*/ 1055473 h 1055473"/>
                <a:gd name="connsiteX1" fmla="*/ 0 w 1656149"/>
                <a:gd name="connsiteY1" fmla="*/ 952500 h 1055473"/>
                <a:gd name="connsiteX2" fmla="*/ 1656148 w 1656149"/>
                <a:gd name="connsiteY2" fmla="*/ 0 h 1055473"/>
                <a:gd name="connsiteX3" fmla="*/ 1656149 w 1656149"/>
                <a:gd name="connsiteY3" fmla="*/ 91531 h 1055473"/>
                <a:gd name="connsiteX4" fmla="*/ 0 w 1656149"/>
                <a:gd name="connsiteY4" fmla="*/ 1055473 h 1055473"/>
                <a:gd name="connsiteX0" fmla="*/ 0 w 1661870"/>
                <a:gd name="connsiteY0" fmla="*/ 1055473 h 1055473"/>
                <a:gd name="connsiteX1" fmla="*/ 0 w 1661870"/>
                <a:gd name="connsiteY1" fmla="*/ 952500 h 1055473"/>
                <a:gd name="connsiteX2" fmla="*/ 1656148 w 1661870"/>
                <a:gd name="connsiteY2" fmla="*/ 0 h 1055473"/>
                <a:gd name="connsiteX3" fmla="*/ 1661870 w 1661870"/>
                <a:gd name="connsiteY3" fmla="*/ 91531 h 1055473"/>
                <a:gd name="connsiteX4" fmla="*/ 0 w 1661870"/>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8 w 1656148"/>
                <a:gd name="connsiteY3" fmla="*/ 94392 h 1055473"/>
                <a:gd name="connsiteX4" fmla="*/ 0 w 1656148"/>
                <a:gd name="connsiteY4" fmla="*/ 1055473 h 1055473"/>
                <a:gd name="connsiteX0" fmla="*/ 0 w 1661869"/>
                <a:gd name="connsiteY0" fmla="*/ 1055473 h 1055473"/>
                <a:gd name="connsiteX1" fmla="*/ 0 w 1661869"/>
                <a:gd name="connsiteY1" fmla="*/ 952500 h 1055473"/>
                <a:gd name="connsiteX2" fmla="*/ 1656148 w 1661869"/>
                <a:gd name="connsiteY2" fmla="*/ 0 h 1055473"/>
                <a:gd name="connsiteX3" fmla="*/ 1661869 w 1661869"/>
                <a:gd name="connsiteY3" fmla="*/ 91532 h 1055473"/>
                <a:gd name="connsiteX4" fmla="*/ 0 w 1661869"/>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7 w 1656148"/>
                <a:gd name="connsiteY3" fmla="*/ 91532 h 1055473"/>
                <a:gd name="connsiteX4" fmla="*/ 0 w 1656148"/>
                <a:gd name="connsiteY4" fmla="*/ 1055473 h 1055473"/>
                <a:gd name="connsiteX0" fmla="*/ 0 w 1653288"/>
                <a:gd name="connsiteY0" fmla="*/ 1049752 h 1049752"/>
                <a:gd name="connsiteX1" fmla="*/ 0 w 1653288"/>
                <a:gd name="connsiteY1" fmla="*/ 946779 h 1049752"/>
                <a:gd name="connsiteX2" fmla="*/ 1653288 w 1653288"/>
                <a:gd name="connsiteY2" fmla="*/ 0 h 1049752"/>
                <a:gd name="connsiteX3" fmla="*/ 1653287 w 1653288"/>
                <a:gd name="connsiteY3" fmla="*/ 85811 h 1049752"/>
                <a:gd name="connsiteX4" fmla="*/ 0 w 1653288"/>
                <a:gd name="connsiteY4" fmla="*/ 1049752 h 104975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53288" h="1049752">
                  <a:moveTo>
                    <a:pt x="0" y="1049752"/>
                  </a:moveTo>
                  <a:lnTo>
                    <a:pt x="0" y="946779"/>
                  </a:lnTo>
                  <a:lnTo>
                    <a:pt x="1653288" y="0"/>
                  </a:lnTo>
                  <a:cubicBezTo>
                    <a:pt x="1653288" y="30510"/>
                    <a:pt x="1653287" y="55301"/>
                    <a:pt x="1653287" y="85811"/>
                  </a:cubicBezTo>
                  <a:lnTo>
                    <a:pt x="0" y="1049752"/>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50" name="Freeform 249"/>
            <xdr:cNvSpPr/>
          </xdr:nvSpPr>
          <xdr:spPr>
            <a:xfrm>
              <a:off x="6553200" y="20373975"/>
              <a:ext cx="200025" cy="161925"/>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0225" h="163040">
                  <a:moveTo>
                    <a:pt x="2861" y="163040"/>
                  </a:moveTo>
                  <a:lnTo>
                    <a:pt x="200225" y="97252"/>
                  </a:lnTo>
                  <a:lnTo>
                    <a:pt x="194505" y="0"/>
                  </a:lnTo>
                  <a:lnTo>
                    <a:pt x="0" y="65788"/>
                  </a:lnTo>
                  <a:cubicBezTo>
                    <a:pt x="954" y="98205"/>
                    <a:pt x="1907" y="130623"/>
                    <a:pt x="2861" y="163040"/>
                  </a:cubicBezTo>
                  <a:close/>
                </a:path>
              </a:pathLst>
            </a:custGeom>
            <a:solidFill>
              <a:schemeClr val="accent1">
                <a:lumMod val="20000"/>
                <a:lumOff val="8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51" name="Freeform 250"/>
            <xdr:cNvSpPr/>
          </xdr:nvSpPr>
          <xdr:spPr>
            <a:xfrm>
              <a:off x="8401050" y="19316700"/>
              <a:ext cx="114300" cy="200025"/>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220247 h 220247"/>
                <a:gd name="connsiteX1" fmla="*/ 200225 w 200225"/>
                <a:gd name="connsiteY1" fmla="*/ 154459 h 220247"/>
                <a:gd name="connsiteX2" fmla="*/ 134438 w 200225"/>
                <a:gd name="connsiteY2" fmla="*/ 0 h 220247"/>
                <a:gd name="connsiteX3" fmla="*/ 0 w 200225"/>
                <a:gd name="connsiteY3" fmla="*/ 122995 h 220247"/>
                <a:gd name="connsiteX4" fmla="*/ 2861 w 200225"/>
                <a:gd name="connsiteY4" fmla="*/ 220247 h 220247"/>
                <a:gd name="connsiteX0" fmla="*/ 2861 w 134438"/>
                <a:gd name="connsiteY0" fmla="*/ 220247 h 220247"/>
                <a:gd name="connsiteX1" fmla="*/ 134437 w 134438"/>
                <a:gd name="connsiteY1" fmla="*/ 128715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17274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08693 h 220247"/>
                <a:gd name="connsiteX2" fmla="*/ 134438 w 134438"/>
                <a:gd name="connsiteY2" fmla="*/ 0 h 220247"/>
                <a:gd name="connsiteX3" fmla="*/ 0 w 134438"/>
                <a:gd name="connsiteY3" fmla="*/ 122995 h 220247"/>
                <a:gd name="connsiteX4" fmla="*/ 2861 w 13443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2973 h 220247"/>
                <a:gd name="connsiteX4" fmla="*/ 31 w 13160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5834 h 220247"/>
                <a:gd name="connsiteX4" fmla="*/ 31 w 131608"/>
                <a:gd name="connsiteY4" fmla="*/ 220247 h 220247"/>
                <a:gd name="connsiteX0" fmla="*/ 5721 w 111555"/>
                <a:gd name="connsiteY0" fmla="*/ 194503 h 194503"/>
                <a:gd name="connsiteX1" fmla="*/ 111554 w 111555"/>
                <a:gd name="connsiteY1" fmla="*/ 108693 h 194503"/>
                <a:gd name="connsiteX2" fmla="*/ 111555 w 111555"/>
                <a:gd name="connsiteY2" fmla="*/ 0 h 194503"/>
                <a:gd name="connsiteX3" fmla="*/ 0 w 111555"/>
                <a:gd name="connsiteY3" fmla="*/ 105834 h 194503"/>
                <a:gd name="connsiteX4" fmla="*/ 5721 w 111555"/>
                <a:gd name="connsiteY4" fmla="*/ 194503 h 194503"/>
                <a:gd name="connsiteX0" fmla="*/ 275 w 111829"/>
                <a:gd name="connsiteY0" fmla="*/ 200223 h 200223"/>
                <a:gd name="connsiteX1" fmla="*/ 111828 w 111829"/>
                <a:gd name="connsiteY1" fmla="*/ 108693 h 200223"/>
                <a:gd name="connsiteX2" fmla="*/ 111829 w 111829"/>
                <a:gd name="connsiteY2" fmla="*/ 0 h 200223"/>
                <a:gd name="connsiteX3" fmla="*/ 274 w 111829"/>
                <a:gd name="connsiteY3" fmla="*/ 105834 h 200223"/>
                <a:gd name="connsiteX4" fmla="*/ 275 w 111829"/>
                <a:gd name="connsiteY4" fmla="*/ 200223 h 20022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1829" h="200223">
                  <a:moveTo>
                    <a:pt x="275" y="200223"/>
                  </a:moveTo>
                  <a:lnTo>
                    <a:pt x="111828" y="108693"/>
                  </a:lnTo>
                  <a:cubicBezTo>
                    <a:pt x="111828" y="65788"/>
                    <a:pt x="111829" y="42905"/>
                    <a:pt x="111829" y="0"/>
                  </a:cubicBezTo>
                  <a:lnTo>
                    <a:pt x="274" y="105834"/>
                  </a:lnTo>
                  <a:cubicBezTo>
                    <a:pt x="1228" y="138251"/>
                    <a:pt x="-679" y="167806"/>
                    <a:pt x="275" y="200223"/>
                  </a:cubicBezTo>
                  <a:close/>
                </a:path>
              </a:pathLst>
            </a:custGeom>
            <a:solidFill>
              <a:schemeClr val="accent1">
                <a:lumMod val="40000"/>
                <a:lumOff val="6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nvGrpSpPr>
          <xdr:cNvPr id="10335" name="Group 251"/>
          <xdr:cNvGrpSpPr>
            <a:grpSpLocks/>
          </xdr:cNvGrpSpPr>
        </xdr:nvGrpSpPr>
        <xdr:grpSpPr bwMode="auto">
          <a:xfrm>
            <a:off x="4581525" y="9553575"/>
            <a:ext cx="1974021" cy="1220287"/>
            <a:chOff x="6543675" y="19316700"/>
            <a:chExt cx="1974021" cy="1220287"/>
          </a:xfrm>
        </xdr:grpSpPr>
        <xdr:sp macro="" textlink="">
          <xdr:nvSpPr>
            <xdr:cNvPr id="253" name="Freeform 252"/>
            <xdr:cNvSpPr/>
          </xdr:nvSpPr>
          <xdr:spPr>
            <a:xfrm>
              <a:off x="6543675" y="19316700"/>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 name="connsiteX0" fmla="*/ 0 w 1971675"/>
                <a:gd name="connsiteY0" fmla="*/ 1123950 h 1123950"/>
                <a:gd name="connsiteX1" fmla="*/ 1971675 w 1971675"/>
                <a:gd name="connsiteY1" fmla="*/ 0 h 1123950"/>
                <a:gd name="connsiteX2" fmla="*/ 1864082 w 1971675"/>
                <a:gd name="connsiteY2" fmla="*/ 109621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64082" y="109621"/>
                  </a:lnTo>
                  <a:lnTo>
                    <a:pt x="209550" y="1057275"/>
                  </a:lnTo>
                  <a:lnTo>
                    <a:pt x="0" y="1123950"/>
                  </a:lnTo>
                  <a:close/>
                </a:path>
              </a:pathLst>
            </a:custGeom>
            <a:solidFill>
              <a:schemeClr val="accent1">
                <a:lumMod val="20000"/>
                <a:lumOff val="80000"/>
              </a:schemeClr>
            </a:solid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54" name="Freeform 253"/>
            <xdr:cNvSpPr/>
          </xdr:nvSpPr>
          <xdr:spPr>
            <a:xfrm>
              <a:off x="6543675" y="19411950"/>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38325" y="123825"/>
                  </a:lnTo>
                  <a:lnTo>
                    <a:pt x="209550" y="1057275"/>
                  </a:lnTo>
                  <a:lnTo>
                    <a:pt x="0" y="1123950"/>
                  </a:lnTo>
                  <a:close/>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55" name="Freeform 254"/>
            <xdr:cNvSpPr/>
          </xdr:nvSpPr>
          <xdr:spPr>
            <a:xfrm>
              <a:off x="6753225" y="19431000"/>
              <a:ext cx="1657350" cy="1038225"/>
            </a:xfrm>
            <a:custGeom>
              <a:avLst/>
              <a:gdLst>
                <a:gd name="connsiteX0" fmla="*/ 0 w 1627545"/>
                <a:gd name="connsiteY0" fmla="*/ 1038311 h 1038311"/>
                <a:gd name="connsiteX1" fmla="*/ 0 w 1627545"/>
                <a:gd name="connsiteY1" fmla="*/ 935338 h 1038311"/>
                <a:gd name="connsiteX2" fmla="*/ 1627545 w 1627545"/>
                <a:gd name="connsiteY2" fmla="*/ 0 h 1038311"/>
                <a:gd name="connsiteX3" fmla="*/ 1627545 w 1627545"/>
                <a:gd name="connsiteY3" fmla="*/ 94392 h 1038311"/>
                <a:gd name="connsiteX4" fmla="*/ 0 w 1627545"/>
                <a:gd name="connsiteY4" fmla="*/ 1038311 h 1038311"/>
                <a:gd name="connsiteX0" fmla="*/ 0 w 1656148"/>
                <a:gd name="connsiteY0" fmla="*/ 1055473 h 1055473"/>
                <a:gd name="connsiteX1" fmla="*/ 0 w 1656148"/>
                <a:gd name="connsiteY1" fmla="*/ 952500 h 1055473"/>
                <a:gd name="connsiteX2" fmla="*/ 1656148 w 1656148"/>
                <a:gd name="connsiteY2" fmla="*/ 0 h 1055473"/>
                <a:gd name="connsiteX3" fmla="*/ 1627545 w 1656148"/>
                <a:gd name="connsiteY3" fmla="*/ 111554 h 1055473"/>
                <a:gd name="connsiteX4" fmla="*/ 0 w 1656148"/>
                <a:gd name="connsiteY4" fmla="*/ 1055473 h 1055473"/>
                <a:gd name="connsiteX0" fmla="*/ 0 w 1656149"/>
                <a:gd name="connsiteY0" fmla="*/ 1055473 h 1055473"/>
                <a:gd name="connsiteX1" fmla="*/ 0 w 1656149"/>
                <a:gd name="connsiteY1" fmla="*/ 952500 h 1055473"/>
                <a:gd name="connsiteX2" fmla="*/ 1656148 w 1656149"/>
                <a:gd name="connsiteY2" fmla="*/ 0 h 1055473"/>
                <a:gd name="connsiteX3" fmla="*/ 1656149 w 1656149"/>
                <a:gd name="connsiteY3" fmla="*/ 91531 h 1055473"/>
                <a:gd name="connsiteX4" fmla="*/ 0 w 1656149"/>
                <a:gd name="connsiteY4" fmla="*/ 1055473 h 1055473"/>
                <a:gd name="connsiteX0" fmla="*/ 0 w 1661870"/>
                <a:gd name="connsiteY0" fmla="*/ 1055473 h 1055473"/>
                <a:gd name="connsiteX1" fmla="*/ 0 w 1661870"/>
                <a:gd name="connsiteY1" fmla="*/ 952500 h 1055473"/>
                <a:gd name="connsiteX2" fmla="*/ 1656148 w 1661870"/>
                <a:gd name="connsiteY2" fmla="*/ 0 h 1055473"/>
                <a:gd name="connsiteX3" fmla="*/ 1661870 w 1661870"/>
                <a:gd name="connsiteY3" fmla="*/ 91531 h 1055473"/>
                <a:gd name="connsiteX4" fmla="*/ 0 w 1661870"/>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8 w 1656148"/>
                <a:gd name="connsiteY3" fmla="*/ 94392 h 1055473"/>
                <a:gd name="connsiteX4" fmla="*/ 0 w 1656148"/>
                <a:gd name="connsiteY4" fmla="*/ 1055473 h 1055473"/>
                <a:gd name="connsiteX0" fmla="*/ 0 w 1661869"/>
                <a:gd name="connsiteY0" fmla="*/ 1055473 h 1055473"/>
                <a:gd name="connsiteX1" fmla="*/ 0 w 1661869"/>
                <a:gd name="connsiteY1" fmla="*/ 952500 h 1055473"/>
                <a:gd name="connsiteX2" fmla="*/ 1656148 w 1661869"/>
                <a:gd name="connsiteY2" fmla="*/ 0 h 1055473"/>
                <a:gd name="connsiteX3" fmla="*/ 1661869 w 1661869"/>
                <a:gd name="connsiteY3" fmla="*/ 91532 h 1055473"/>
                <a:gd name="connsiteX4" fmla="*/ 0 w 1661869"/>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7 w 1656148"/>
                <a:gd name="connsiteY3" fmla="*/ 91532 h 1055473"/>
                <a:gd name="connsiteX4" fmla="*/ 0 w 1656148"/>
                <a:gd name="connsiteY4" fmla="*/ 1055473 h 1055473"/>
                <a:gd name="connsiteX0" fmla="*/ 0 w 1653288"/>
                <a:gd name="connsiteY0" fmla="*/ 1049752 h 1049752"/>
                <a:gd name="connsiteX1" fmla="*/ 0 w 1653288"/>
                <a:gd name="connsiteY1" fmla="*/ 946779 h 1049752"/>
                <a:gd name="connsiteX2" fmla="*/ 1653288 w 1653288"/>
                <a:gd name="connsiteY2" fmla="*/ 0 h 1049752"/>
                <a:gd name="connsiteX3" fmla="*/ 1653287 w 1653288"/>
                <a:gd name="connsiteY3" fmla="*/ 85811 h 1049752"/>
                <a:gd name="connsiteX4" fmla="*/ 0 w 1653288"/>
                <a:gd name="connsiteY4" fmla="*/ 1049752 h 104975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53288" h="1049752">
                  <a:moveTo>
                    <a:pt x="0" y="1049752"/>
                  </a:moveTo>
                  <a:lnTo>
                    <a:pt x="0" y="946779"/>
                  </a:lnTo>
                  <a:lnTo>
                    <a:pt x="1653288" y="0"/>
                  </a:lnTo>
                  <a:cubicBezTo>
                    <a:pt x="1653288" y="30510"/>
                    <a:pt x="1653287" y="55301"/>
                    <a:pt x="1653287" y="85811"/>
                  </a:cubicBezTo>
                  <a:lnTo>
                    <a:pt x="0" y="1049752"/>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56" name="Freeform 255"/>
            <xdr:cNvSpPr/>
          </xdr:nvSpPr>
          <xdr:spPr>
            <a:xfrm>
              <a:off x="6553200" y="20373975"/>
              <a:ext cx="200025" cy="161925"/>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0225" h="163040">
                  <a:moveTo>
                    <a:pt x="2861" y="163040"/>
                  </a:moveTo>
                  <a:lnTo>
                    <a:pt x="200225" y="97252"/>
                  </a:lnTo>
                  <a:lnTo>
                    <a:pt x="194505" y="0"/>
                  </a:lnTo>
                  <a:lnTo>
                    <a:pt x="0" y="65788"/>
                  </a:lnTo>
                  <a:cubicBezTo>
                    <a:pt x="954" y="98205"/>
                    <a:pt x="1907" y="130623"/>
                    <a:pt x="2861" y="163040"/>
                  </a:cubicBezTo>
                  <a:close/>
                </a:path>
              </a:pathLst>
            </a:custGeom>
            <a:solidFill>
              <a:schemeClr val="accent1">
                <a:lumMod val="20000"/>
                <a:lumOff val="8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57" name="Freeform 256"/>
            <xdr:cNvSpPr/>
          </xdr:nvSpPr>
          <xdr:spPr>
            <a:xfrm>
              <a:off x="8401050" y="19316700"/>
              <a:ext cx="114300" cy="200025"/>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220247 h 220247"/>
                <a:gd name="connsiteX1" fmla="*/ 200225 w 200225"/>
                <a:gd name="connsiteY1" fmla="*/ 154459 h 220247"/>
                <a:gd name="connsiteX2" fmla="*/ 134438 w 200225"/>
                <a:gd name="connsiteY2" fmla="*/ 0 h 220247"/>
                <a:gd name="connsiteX3" fmla="*/ 0 w 200225"/>
                <a:gd name="connsiteY3" fmla="*/ 122995 h 220247"/>
                <a:gd name="connsiteX4" fmla="*/ 2861 w 200225"/>
                <a:gd name="connsiteY4" fmla="*/ 220247 h 220247"/>
                <a:gd name="connsiteX0" fmla="*/ 2861 w 134438"/>
                <a:gd name="connsiteY0" fmla="*/ 220247 h 220247"/>
                <a:gd name="connsiteX1" fmla="*/ 134437 w 134438"/>
                <a:gd name="connsiteY1" fmla="*/ 128715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17274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08693 h 220247"/>
                <a:gd name="connsiteX2" fmla="*/ 134438 w 134438"/>
                <a:gd name="connsiteY2" fmla="*/ 0 h 220247"/>
                <a:gd name="connsiteX3" fmla="*/ 0 w 134438"/>
                <a:gd name="connsiteY3" fmla="*/ 122995 h 220247"/>
                <a:gd name="connsiteX4" fmla="*/ 2861 w 13443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2973 h 220247"/>
                <a:gd name="connsiteX4" fmla="*/ 31 w 13160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5834 h 220247"/>
                <a:gd name="connsiteX4" fmla="*/ 31 w 131608"/>
                <a:gd name="connsiteY4" fmla="*/ 220247 h 220247"/>
                <a:gd name="connsiteX0" fmla="*/ 5721 w 111555"/>
                <a:gd name="connsiteY0" fmla="*/ 194503 h 194503"/>
                <a:gd name="connsiteX1" fmla="*/ 111554 w 111555"/>
                <a:gd name="connsiteY1" fmla="*/ 108693 h 194503"/>
                <a:gd name="connsiteX2" fmla="*/ 111555 w 111555"/>
                <a:gd name="connsiteY2" fmla="*/ 0 h 194503"/>
                <a:gd name="connsiteX3" fmla="*/ 0 w 111555"/>
                <a:gd name="connsiteY3" fmla="*/ 105834 h 194503"/>
                <a:gd name="connsiteX4" fmla="*/ 5721 w 111555"/>
                <a:gd name="connsiteY4" fmla="*/ 194503 h 194503"/>
                <a:gd name="connsiteX0" fmla="*/ 275 w 111829"/>
                <a:gd name="connsiteY0" fmla="*/ 200223 h 200223"/>
                <a:gd name="connsiteX1" fmla="*/ 111828 w 111829"/>
                <a:gd name="connsiteY1" fmla="*/ 108693 h 200223"/>
                <a:gd name="connsiteX2" fmla="*/ 111829 w 111829"/>
                <a:gd name="connsiteY2" fmla="*/ 0 h 200223"/>
                <a:gd name="connsiteX3" fmla="*/ 274 w 111829"/>
                <a:gd name="connsiteY3" fmla="*/ 105834 h 200223"/>
                <a:gd name="connsiteX4" fmla="*/ 275 w 111829"/>
                <a:gd name="connsiteY4" fmla="*/ 200223 h 20022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1829" h="200223">
                  <a:moveTo>
                    <a:pt x="275" y="200223"/>
                  </a:moveTo>
                  <a:lnTo>
                    <a:pt x="111828" y="108693"/>
                  </a:lnTo>
                  <a:cubicBezTo>
                    <a:pt x="111828" y="65788"/>
                    <a:pt x="111829" y="42905"/>
                    <a:pt x="111829" y="0"/>
                  </a:cubicBezTo>
                  <a:lnTo>
                    <a:pt x="274" y="105834"/>
                  </a:lnTo>
                  <a:cubicBezTo>
                    <a:pt x="1228" y="138251"/>
                    <a:pt x="-679" y="167806"/>
                    <a:pt x="275" y="200223"/>
                  </a:cubicBezTo>
                  <a:close/>
                </a:path>
              </a:pathLst>
            </a:custGeom>
            <a:solidFill>
              <a:schemeClr val="accent1">
                <a:lumMod val="40000"/>
                <a:lumOff val="6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nvGrpSpPr>
          <xdr:cNvPr id="10336" name="Group 257"/>
          <xdr:cNvGrpSpPr>
            <a:grpSpLocks/>
          </xdr:cNvGrpSpPr>
        </xdr:nvGrpSpPr>
        <xdr:grpSpPr bwMode="auto">
          <a:xfrm>
            <a:off x="4581525" y="10306049"/>
            <a:ext cx="1974021" cy="1220287"/>
            <a:chOff x="6543675" y="19316700"/>
            <a:chExt cx="1974021" cy="1220287"/>
          </a:xfrm>
        </xdr:grpSpPr>
        <xdr:sp macro="" textlink="">
          <xdr:nvSpPr>
            <xdr:cNvPr id="259" name="Freeform 258"/>
            <xdr:cNvSpPr/>
          </xdr:nvSpPr>
          <xdr:spPr>
            <a:xfrm>
              <a:off x="6543675" y="19316701"/>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 name="connsiteX0" fmla="*/ 0 w 1971675"/>
                <a:gd name="connsiteY0" fmla="*/ 1123950 h 1123950"/>
                <a:gd name="connsiteX1" fmla="*/ 1971675 w 1971675"/>
                <a:gd name="connsiteY1" fmla="*/ 0 h 1123950"/>
                <a:gd name="connsiteX2" fmla="*/ 1864082 w 1971675"/>
                <a:gd name="connsiteY2" fmla="*/ 109621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64082" y="109621"/>
                  </a:lnTo>
                  <a:lnTo>
                    <a:pt x="209550" y="1057275"/>
                  </a:lnTo>
                  <a:lnTo>
                    <a:pt x="0" y="1123950"/>
                  </a:lnTo>
                  <a:close/>
                </a:path>
              </a:pathLst>
            </a:custGeom>
            <a:solidFill>
              <a:schemeClr val="accent1">
                <a:lumMod val="20000"/>
                <a:lumOff val="80000"/>
              </a:schemeClr>
            </a:solid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60" name="Freeform 259"/>
            <xdr:cNvSpPr/>
          </xdr:nvSpPr>
          <xdr:spPr>
            <a:xfrm>
              <a:off x="6543675" y="19411951"/>
              <a:ext cx="1971675" cy="112395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38325" y="123825"/>
                  </a:lnTo>
                  <a:lnTo>
                    <a:pt x="209550" y="1057275"/>
                  </a:lnTo>
                  <a:lnTo>
                    <a:pt x="0" y="1123950"/>
                  </a:lnTo>
                  <a:close/>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61" name="Freeform 260"/>
            <xdr:cNvSpPr/>
          </xdr:nvSpPr>
          <xdr:spPr>
            <a:xfrm>
              <a:off x="6753225" y="19431001"/>
              <a:ext cx="1657350" cy="1038225"/>
            </a:xfrm>
            <a:custGeom>
              <a:avLst/>
              <a:gdLst>
                <a:gd name="connsiteX0" fmla="*/ 0 w 1627545"/>
                <a:gd name="connsiteY0" fmla="*/ 1038311 h 1038311"/>
                <a:gd name="connsiteX1" fmla="*/ 0 w 1627545"/>
                <a:gd name="connsiteY1" fmla="*/ 935338 h 1038311"/>
                <a:gd name="connsiteX2" fmla="*/ 1627545 w 1627545"/>
                <a:gd name="connsiteY2" fmla="*/ 0 h 1038311"/>
                <a:gd name="connsiteX3" fmla="*/ 1627545 w 1627545"/>
                <a:gd name="connsiteY3" fmla="*/ 94392 h 1038311"/>
                <a:gd name="connsiteX4" fmla="*/ 0 w 1627545"/>
                <a:gd name="connsiteY4" fmla="*/ 1038311 h 1038311"/>
                <a:gd name="connsiteX0" fmla="*/ 0 w 1656148"/>
                <a:gd name="connsiteY0" fmla="*/ 1055473 h 1055473"/>
                <a:gd name="connsiteX1" fmla="*/ 0 w 1656148"/>
                <a:gd name="connsiteY1" fmla="*/ 952500 h 1055473"/>
                <a:gd name="connsiteX2" fmla="*/ 1656148 w 1656148"/>
                <a:gd name="connsiteY2" fmla="*/ 0 h 1055473"/>
                <a:gd name="connsiteX3" fmla="*/ 1627545 w 1656148"/>
                <a:gd name="connsiteY3" fmla="*/ 111554 h 1055473"/>
                <a:gd name="connsiteX4" fmla="*/ 0 w 1656148"/>
                <a:gd name="connsiteY4" fmla="*/ 1055473 h 1055473"/>
                <a:gd name="connsiteX0" fmla="*/ 0 w 1656149"/>
                <a:gd name="connsiteY0" fmla="*/ 1055473 h 1055473"/>
                <a:gd name="connsiteX1" fmla="*/ 0 w 1656149"/>
                <a:gd name="connsiteY1" fmla="*/ 952500 h 1055473"/>
                <a:gd name="connsiteX2" fmla="*/ 1656148 w 1656149"/>
                <a:gd name="connsiteY2" fmla="*/ 0 h 1055473"/>
                <a:gd name="connsiteX3" fmla="*/ 1656149 w 1656149"/>
                <a:gd name="connsiteY3" fmla="*/ 91531 h 1055473"/>
                <a:gd name="connsiteX4" fmla="*/ 0 w 1656149"/>
                <a:gd name="connsiteY4" fmla="*/ 1055473 h 1055473"/>
                <a:gd name="connsiteX0" fmla="*/ 0 w 1661870"/>
                <a:gd name="connsiteY0" fmla="*/ 1055473 h 1055473"/>
                <a:gd name="connsiteX1" fmla="*/ 0 w 1661870"/>
                <a:gd name="connsiteY1" fmla="*/ 952500 h 1055473"/>
                <a:gd name="connsiteX2" fmla="*/ 1656148 w 1661870"/>
                <a:gd name="connsiteY2" fmla="*/ 0 h 1055473"/>
                <a:gd name="connsiteX3" fmla="*/ 1661870 w 1661870"/>
                <a:gd name="connsiteY3" fmla="*/ 91531 h 1055473"/>
                <a:gd name="connsiteX4" fmla="*/ 0 w 1661870"/>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8 w 1656148"/>
                <a:gd name="connsiteY3" fmla="*/ 94392 h 1055473"/>
                <a:gd name="connsiteX4" fmla="*/ 0 w 1656148"/>
                <a:gd name="connsiteY4" fmla="*/ 1055473 h 1055473"/>
                <a:gd name="connsiteX0" fmla="*/ 0 w 1661869"/>
                <a:gd name="connsiteY0" fmla="*/ 1055473 h 1055473"/>
                <a:gd name="connsiteX1" fmla="*/ 0 w 1661869"/>
                <a:gd name="connsiteY1" fmla="*/ 952500 h 1055473"/>
                <a:gd name="connsiteX2" fmla="*/ 1656148 w 1661869"/>
                <a:gd name="connsiteY2" fmla="*/ 0 h 1055473"/>
                <a:gd name="connsiteX3" fmla="*/ 1661869 w 1661869"/>
                <a:gd name="connsiteY3" fmla="*/ 91532 h 1055473"/>
                <a:gd name="connsiteX4" fmla="*/ 0 w 1661869"/>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7 w 1656148"/>
                <a:gd name="connsiteY3" fmla="*/ 91532 h 1055473"/>
                <a:gd name="connsiteX4" fmla="*/ 0 w 1656148"/>
                <a:gd name="connsiteY4" fmla="*/ 1055473 h 1055473"/>
                <a:gd name="connsiteX0" fmla="*/ 0 w 1653288"/>
                <a:gd name="connsiteY0" fmla="*/ 1049752 h 1049752"/>
                <a:gd name="connsiteX1" fmla="*/ 0 w 1653288"/>
                <a:gd name="connsiteY1" fmla="*/ 946779 h 1049752"/>
                <a:gd name="connsiteX2" fmla="*/ 1653288 w 1653288"/>
                <a:gd name="connsiteY2" fmla="*/ 0 h 1049752"/>
                <a:gd name="connsiteX3" fmla="*/ 1653287 w 1653288"/>
                <a:gd name="connsiteY3" fmla="*/ 85811 h 1049752"/>
                <a:gd name="connsiteX4" fmla="*/ 0 w 1653288"/>
                <a:gd name="connsiteY4" fmla="*/ 1049752 h 104975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53288" h="1049752">
                  <a:moveTo>
                    <a:pt x="0" y="1049752"/>
                  </a:moveTo>
                  <a:lnTo>
                    <a:pt x="0" y="946779"/>
                  </a:lnTo>
                  <a:lnTo>
                    <a:pt x="1653288" y="0"/>
                  </a:lnTo>
                  <a:cubicBezTo>
                    <a:pt x="1653288" y="30510"/>
                    <a:pt x="1653287" y="55301"/>
                    <a:pt x="1653287" y="85811"/>
                  </a:cubicBezTo>
                  <a:lnTo>
                    <a:pt x="0" y="1049752"/>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62" name="Freeform 261"/>
            <xdr:cNvSpPr/>
          </xdr:nvSpPr>
          <xdr:spPr>
            <a:xfrm>
              <a:off x="6553200" y="20373976"/>
              <a:ext cx="200025" cy="161925"/>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0225" h="163040">
                  <a:moveTo>
                    <a:pt x="2861" y="163040"/>
                  </a:moveTo>
                  <a:lnTo>
                    <a:pt x="200225" y="97252"/>
                  </a:lnTo>
                  <a:lnTo>
                    <a:pt x="194505" y="0"/>
                  </a:lnTo>
                  <a:lnTo>
                    <a:pt x="0" y="65788"/>
                  </a:lnTo>
                  <a:cubicBezTo>
                    <a:pt x="954" y="98205"/>
                    <a:pt x="1907" y="130623"/>
                    <a:pt x="2861" y="163040"/>
                  </a:cubicBezTo>
                  <a:close/>
                </a:path>
              </a:pathLst>
            </a:custGeom>
            <a:solidFill>
              <a:schemeClr val="accent1">
                <a:lumMod val="20000"/>
                <a:lumOff val="8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63" name="Freeform 262"/>
            <xdr:cNvSpPr/>
          </xdr:nvSpPr>
          <xdr:spPr>
            <a:xfrm>
              <a:off x="8401050" y="19316701"/>
              <a:ext cx="114300" cy="200025"/>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220247 h 220247"/>
                <a:gd name="connsiteX1" fmla="*/ 200225 w 200225"/>
                <a:gd name="connsiteY1" fmla="*/ 154459 h 220247"/>
                <a:gd name="connsiteX2" fmla="*/ 134438 w 200225"/>
                <a:gd name="connsiteY2" fmla="*/ 0 h 220247"/>
                <a:gd name="connsiteX3" fmla="*/ 0 w 200225"/>
                <a:gd name="connsiteY3" fmla="*/ 122995 h 220247"/>
                <a:gd name="connsiteX4" fmla="*/ 2861 w 200225"/>
                <a:gd name="connsiteY4" fmla="*/ 220247 h 220247"/>
                <a:gd name="connsiteX0" fmla="*/ 2861 w 134438"/>
                <a:gd name="connsiteY0" fmla="*/ 220247 h 220247"/>
                <a:gd name="connsiteX1" fmla="*/ 134437 w 134438"/>
                <a:gd name="connsiteY1" fmla="*/ 128715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17274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08693 h 220247"/>
                <a:gd name="connsiteX2" fmla="*/ 134438 w 134438"/>
                <a:gd name="connsiteY2" fmla="*/ 0 h 220247"/>
                <a:gd name="connsiteX3" fmla="*/ 0 w 134438"/>
                <a:gd name="connsiteY3" fmla="*/ 122995 h 220247"/>
                <a:gd name="connsiteX4" fmla="*/ 2861 w 13443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2973 h 220247"/>
                <a:gd name="connsiteX4" fmla="*/ 31 w 13160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5834 h 220247"/>
                <a:gd name="connsiteX4" fmla="*/ 31 w 131608"/>
                <a:gd name="connsiteY4" fmla="*/ 220247 h 220247"/>
                <a:gd name="connsiteX0" fmla="*/ 5721 w 111555"/>
                <a:gd name="connsiteY0" fmla="*/ 194503 h 194503"/>
                <a:gd name="connsiteX1" fmla="*/ 111554 w 111555"/>
                <a:gd name="connsiteY1" fmla="*/ 108693 h 194503"/>
                <a:gd name="connsiteX2" fmla="*/ 111555 w 111555"/>
                <a:gd name="connsiteY2" fmla="*/ 0 h 194503"/>
                <a:gd name="connsiteX3" fmla="*/ 0 w 111555"/>
                <a:gd name="connsiteY3" fmla="*/ 105834 h 194503"/>
                <a:gd name="connsiteX4" fmla="*/ 5721 w 111555"/>
                <a:gd name="connsiteY4" fmla="*/ 194503 h 194503"/>
                <a:gd name="connsiteX0" fmla="*/ 275 w 111829"/>
                <a:gd name="connsiteY0" fmla="*/ 200223 h 200223"/>
                <a:gd name="connsiteX1" fmla="*/ 111828 w 111829"/>
                <a:gd name="connsiteY1" fmla="*/ 108693 h 200223"/>
                <a:gd name="connsiteX2" fmla="*/ 111829 w 111829"/>
                <a:gd name="connsiteY2" fmla="*/ 0 h 200223"/>
                <a:gd name="connsiteX3" fmla="*/ 274 w 111829"/>
                <a:gd name="connsiteY3" fmla="*/ 105834 h 200223"/>
                <a:gd name="connsiteX4" fmla="*/ 275 w 111829"/>
                <a:gd name="connsiteY4" fmla="*/ 200223 h 20022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1829" h="200223">
                  <a:moveTo>
                    <a:pt x="275" y="200223"/>
                  </a:moveTo>
                  <a:lnTo>
                    <a:pt x="111828" y="108693"/>
                  </a:lnTo>
                  <a:cubicBezTo>
                    <a:pt x="111828" y="65788"/>
                    <a:pt x="111829" y="42905"/>
                    <a:pt x="111829" y="0"/>
                  </a:cubicBezTo>
                  <a:lnTo>
                    <a:pt x="274" y="105834"/>
                  </a:lnTo>
                  <a:cubicBezTo>
                    <a:pt x="1228" y="138251"/>
                    <a:pt x="-679" y="167806"/>
                    <a:pt x="275" y="200223"/>
                  </a:cubicBezTo>
                  <a:close/>
                </a:path>
              </a:pathLst>
            </a:custGeom>
            <a:solidFill>
              <a:schemeClr val="accent1">
                <a:lumMod val="40000"/>
                <a:lumOff val="6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sp macro="" textlink="">
        <xdr:nvSpPr>
          <xdr:cNvPr id="266" name="Freeform 265"/>
          <xdr:cNvSpPr/>
        </xdr:nvSpPr>
        <xdr:spPr bwMode="auto">
          <a:xfrm>
            <a:off x="4581525" y="11106425"/>
            <a:ext cx="1971672" cy="1123680"/>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1675" h="1123950">
                <a:moveTo>
                  <a:pt x="0" y="1123950"/>
                </a:moveTo>
                <a:lnTo>
                  <a:pt x="1971675" y="0"/>
                </a:lnTo>
                <a:lnTo>
                  <a:pt x="1838325" y="123825"/>
                </a:lnTo>
                <a:lnTo>
                  <a:pt x="209550" y="1057275"/>
                </a:lnTo>
                <a:lnTo>
                  <a:pt x="0" y="1123950"/>
                </a:lnTo>
                <a:close/>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67" name="Freeform 266"/>
          <xdr:cNvSpPr/>
        </xdr:nvSpPr>
        <xdr:spPr bwMode="auto">
          <a:xfrm>
            <a:off x="4791386" y="11125384"/>
            <a:ext cx="1656880" cy="1038367"/>
          </a:xfrm>
          <a:custGeom>
            <a:avLst/>
            <a:gdLst>
              <a:gd name="connsiteX0" fmla="*/ 0 w 1627545"/>
              <a:gd name="connsiteY0" fmla="*/ 1038311 h 1038311"/>
              <a:gd name="connsiteX1" fmla="*/ 0 w 1627545"/>
              <a:gd name="connsiteY1" fmla="*/ 935338 h 1038311"/>
              <a:gd name="connsiteX2" fmla="*/ 1627545 w 1627545"/>
              <a:gd name="connsiteY2" fmla="*/ 0 h 1038311"/>
              <a:gd name="connsiteX3" fmla="*/ 1627545 w 1627545"/>
              <a:gd name="connsiteY3" fmla="*/ 94392 h 1038311"/>
              <a:gd name="connsiteX4" fmla="*/ 0 w 1627545"/>
              <a:gd name="connsiteY4" fmla="*/ 1038311 h 1038311"/>
              <a:gd name="connsiteX0" fmla="*/ 0 w 1656148"/>
              <a:gd name="connsiteY0" fmla="*/ 1055473 h 1055473"/>
              <a:gd name="connsiteX1" fmla="*/ 0 w 1656148"/>
              <a:gd name="connsiteY1" fmla="*/ 952500 h 1055473"/>
              <a:gd name="connsiteX2" fmla="*/ 1656148 w 1656148"/>
              <a:gd name="connsiteY2" fmla="*/ 0 h 1055473"/>
              <a:gd name="connsiteX3" fmla="*/ 1627545 w 1656148"/>
              <a:gd name="connsiteY3" fmla="*/ 111554 h 1055473"/>
              <a:gd name="connsiteX4" fmla="*/ 0 w 1656148"/>
              <a:gd name="connsiteY4" fmla="*/ 1055473 h 1055473"/>
              <a:gd name="connsiteX0" fmla="*/ 0 w 1656149"/>
              <a:gd name="connsiteY0" fmla="*/ 1055473 h 1055473"/>
              <a:gd name="connsiteX1" fmla="*/ 0 w 1656149"/>
              <a:gd name="connsiteY1" fmla="*/ 952500 h 1055473"/>
              <a:gd name="connsiteX2" fmla="*/ 1656148 w 1656149"/>
              <a:gd name="connsiteY2" fmla="*/ 0 h 1055473"/>
              <a:gd name="connsiteX3" fmla="*/ 1656149 w 1656149"/>
              <a:gd name="connsiteY3" fmla="*/ 91531 h 1055473"/>
              <a:gd name="connsiteX4" fmla="*/ 0 w 1656149"/>
              <a:gd name="connsiteY4" fmla="*/ 1055473 h 1055473"/>
              <a:gd name="connsiteX0" fmla="*/ 0 w 1661870"/>
              <a:gd name="connsiteY0" fmla="*/ 1055473 h 1055473"/>
              <a:gd name="connsiteX1" fmla="*/ 0 w 1661870"/>
              <a:gd name="connsiteY1" fmla="*/ 952500 h 1055473"/>
              <a:gd name="connsiteX2" fmla="*/ 1656148 w 1661870"/>
              <a:gd name="connsiteY2" fmla="*/ 0 h 1055473"/>
              <a:gd name="connsiteX3" fmla="*/ 1661870 w 1661870"/>
              <a:gd name="connsiteY3" fmla="*/ 91531 h 1055473"/>
              <a:gd name="connsiteX4" fmla="*/ 0 w 1661870"/>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8 w 1656148"/>
              <a:gd name="connsiteY3" fmla="*/ 94392 h 1055473"/>
              <a:gd name="connsiteX4" fmla="*/ 0 w 1656148"/>
              <a:gd name="connsiteY4" fmla="*/ 1055473 h 1055473"/>
              <a:gd name="connsiteX0" fmla="*/ 0 w 1661869"/>
              <a:gd name="connsiteY0" fmla="*/ 1055473 h 1055473"/>
              <a:gd name="connsiteX1" fmla="*/ 0 w 1661869"/>
              <a:gd name="connsiteY1" fmla="*/ 952500 h 1055473"/>
              <a:gd name="connsiteX2" fmla="*/ 1656148 w 1661869"/>
              <a:gd name="connsiteY2" fmla="*/ 0 h 1055473"/>
              <a:gd name="connsiteX3" fmla="*/ 1661869 w 1661869"/>
              <a:gd name="connsiteY3" fmla="*/ 91532 h 1055473"/>
              <a:gd name="connsiteX4" fmla="*/ 0 w 1661869"/>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7 w 1656148"/>
              <a:gd name="connsiteY3" fmla="*/ 91532 h 1055473"/>
              <a:gd name="connsiteX4" fmla="*/ 0 w 1656148"/>
              <a:gd name="connsiteY4" fmla="*/ 1055473 h 1055473"/>
              <a:gd name="connsiteX0" fmla="*/ 0 w 1653288"/>
              <a:gd name="connsiteY0" fmla="*/ 1049752 h 1049752"/>
              <a:gd name="connsiteX1" fmla="*/ 0 w 1653288"/>
              <a:gd name="connsiteY1" fmla="*/ 946779 h 1049752"/>
              <a:gd name="connsiteX2" fmla="*/ 1653288 w 1653288"/>
              <a:gd name="connsiteY2" fmla="*/ 0 h 1049752"/>
              <a:gd name="connsiteX3" fmla="*/ 1653287 w 1653288"/>
              <a:gd name="connsiteY3" fmla="*/ 85811 h 1049752"/>
              <a:gd name="connsiteX4" fmla="*/ 0 w 1653288"/>
              <a:gd name="connsiteY4" fmla="*/ 1049752 h 104975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53288" h="1049752">
                <a:moveTo>
                  <a:pt x="0" y="1049752"/>
                </a:moveTo>
                <a:lnTo>
                  <a:pt x="0" y="946779"/>
                </a:lnTo>
                <a:lnTo>
                  <a:pt x="1653288" y="0"/>
                </a:lnTo>
                <a:cubicBezTo>
                  <a:pt x="1653288" y="30510"/>
                  <a:pt x="1653287" y="55301"/>
                  <a:pt x="1653287" y="85811"/>
                </a:cubicBezTo>
                <a:lnTo>
                  <a:pt x="0" y="1049752"/>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68" name="Freeform 267"/>
          <xdr:cNvSpPr/>
        </xdr:nvSpPr>
        <xdr:spPr bwMode="auto">
          <a:xfrm>
            <a:off x="4591064" y="12068225"/>
            <a:ext cx="200322" cy="161880"/>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0225" h="163040">
                <a:moveTo>
                  <a:pt x="2861" y="163040"/>
                </a:moveTo>
                <a:lnTo>
                  <a:pt x="200225" y="97252"/>
                </a:lnTo>
                <a:lnTo>
                  <a:pt x="194505" y="0"/>
                </a:lnTo>
                <a:lnTo>
                  <a:pt x="0" y="65788"/>
                </a:lnTo>
                <a:cubicBezTo>
                  <a:pt x="954" y="98205"/>
                  <a:pt x="1907" y="130623"/>
                  <a:pt x="2861" y="163040"/>
                </a:cubicBezTo>
                <a:close/>
              </a:path>
            </a:pathLst>
          </a:custGeom>
          <a:solidFill>
            <a:schemeClr val="accent1">
              <a:lumMod val="20000"/>
              <a:lumOff val="8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69" name="Freeform 268"/>
          <xdr:cNvSpPr/>
        </xdr:nvSpPr>
        <xdr:spPr bwMode="auto">
          <a:xfrm>
            <a:off x="6438727" y="11011633"/>
            <a:ext cx="114470" cy="199797"/>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220247 h 220247"/>
              <a:gd name="connsiteX1" fmla="*/ 200225 w 200225"/>
              <a:gd name="connsiteY1" fmla="*/ 154459 h 220247"/>
              <a:gd name="connsiteX2" fmla="*/ 134438 w 200225"/>
              <a:gd name="connsiteY2" fmla="*/ 0 h 220247"/>
              <a:gd name="connsiteX3" fmla="*/ 0 w 200225"/>
              <a:gd name="connsiteY3" fmla="*/ 122995 h 220247"/>
              <a:gd name="connsiteX4" fmla="*/ 2861 w 200225"/>
              <a:gd name="connsiteY4" fmla="*/ 220247 h 220247"/>
              <a:gd name="connsiteX0" fmla="*/ 2861 w 134438"/>
              <a:gd name="connsiteY0" fmla="*/ 220247 h 220247"/>
              <a:gd name="connsiteX1" fmla="*/ 134437 w 134438"/>
              <a:gd name="connsiteY1" fmla="*/ 128715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17274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08693 h 220247"/>
              <a:gd name="connsiteX2" fmla="*/ 134438 w 134438"/>
              <a:gd name="connsiteY2" fmla="*/ 0 h 220247"/>
              <a:gd name="connsiteX3" fmla="*/ 0 w 134438"/>
              <a:gd name="connsiteY3" fmla="*/ 122995 h 220247"/>
              <a:gd name="connsiteX4" fmla="*/ 2861 w 13443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2973 h 220247"/>
              <a:gd name="connsiteX4" fmla="*/ 31 w 13160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5834 h 220247"/>
              <a:gd name="connsiteX4" fmla="*/ 31 w 131608"/>
              <a:gd name="connsiteY4" fmla="*/ 220247 h 220247"/>
              <a:gd name="connsiteX0" fmla="*/ 5721 w 111555"/>
              <a:gd name="connsiteY0" fmla="*/ 194503 h 194503"/>
              <a:gd name="connsiteX1" fmla="*/ 111554 w 111555"/>
              <a:gd name="connsiteY1" fmla="*/ 108693 h 194503"/>
              <a:gd name="connsiteX2" fmla="*/ 111555 w 111555"/>
              <a:gd name="connsiteY2" fmla="*/ 0 h 194503"/>
              <a:gd name="connsiteX3" fmla="*/ 0 w 111555"/>
              <a:gd name="connsiteY3" fmla="*/ 105834 h 194503"/>
              <a:gd name="connsiteX4" fmla="*/ 5721 w 111555"/>
              <a:gd name="connsiteY4" fmla="*/ 194503 h 194503"/>
              <a:gd name="connsiteX0" fmla="*/ 275 w 111829"/>
              <a:gd name="connsiteY0" fmla="*/ 200223 h 200223"/>
              <a:gd name="connsiteX1" fmla="*/ 111828 w 111829"/>
              <a:gd name="connsiteY1" fmla="*/ 108693 h 200223"/>
              <a:gd name="connsiteX2" fmla="*/ 111829 w 111829"/>
              <a:gd name="connsiteY2" fmla="*/ 0 h 200223"/>
              <a:gd name="connsiteX3" fmla="*/ 274 w 111829"/>
              <a:gd name="connsiteY3" fmla="*/ 105834 h 200223"/>
              <a:gd name="connsiteX4" fmla="*/ 275 w 111829"/>
              <a:gd name="connsiteY4" fmla="*/ 200223 h 20022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1829" h="200223">
                <a:moveTo>
                  <a:pt x="275" y="200223"/>
                </a:moveTo>
                <a:lnTo>
                  <a:pt x="111828" y="108693"/>
                </a:lnTo>
                <a:cubicBezTo>
                  <a:pt x="111828" y="65788"/>
                  <a:pt x="111829" y="42905"/>
                  <a:pt x="111829" y="0"/>
                </a:cubicBezTo>
                <a:lnTo>
                  <a:pt x="274" y="105834"/>
                </a:lnTo>
                <a:cubicBezTo>
                  <a:pt x="1228" y="138251"/>
                  <a:pt x="-679" y="167806"/>
                  <a:pt x="275" y="200223"/>
                </a:cubicBezTo>
                <a:close/>
              </a:path>
            </a:pathLst>
          </a:custGeom>
          <a:solidFill>
            <a:schemeClr val="accent1">
              <a:lumMod val="40000"/>
              <a:lumOff val="6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xnSp macro="">
        <xdr:nvCxnSpPr>
          <xdr:cNvPr id="17" name="Straight Connector 16"/>
          <xdr:cNvCxnSpPr>
            <a:endCxn id="10240" idx="3"/>
          </xdr:cNvCxnSpPr>
        </xdr:nvCxnSpPr>
        <xdr:spPr>
          <a:xfrm>
            <a:off x="2962275" y="6848475"/>
            <a:ext cx="3605299" cy="401423"/>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7" name="Straight Connector 276"/>
          <xdr:cNvCxnSpPr>
            <a:endCxn id="10240" idx="0"/>
          </xdr:cNvCxnSpPr>
        </xdr:nvCxnSpPr>
        <xdr:spPr>
          <a:xfrm>
            <a:off x="962025" y="7953375"/>
            <a:ext cx="3600449" cy="402746"/>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9" name="Straight Connector 278"/>
          <xdr:cNvCxnSpPr>
            <a:endCxn id="10240" idx="7"/>
          </xdr:cNvCxnSpPr>
        </xdr:nvCxnSpPr>
        <xdr:spPr>
          <a:xfrm>
            <a:off x="952500" y="12087225"/>
            <a:ext cx="3621105" cy="419734"/>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8" name="Straight Connector 7"/>
          <xdr:cNvCxnSpPr>
            <a:endCxn id="263" idx="3"/>
          </xdr:cNvCxnSpPr>
        </xdr:nvCxnSpPr>
        <xdr:spPr>
          <a:xfrm flipH="1">
            <a:off x="6444009" y="10172700"/>
            <a:ext cx="423516" cy="24382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1" name="Straight Connector 220"/>
          <xdr:cNvCxnSpPr/>
        </xdr:nvCxnSpPr>
        <xdr:spPr>
          <a:xfrm flipH="1">
            <a:off x="6444009" y="10267950"/>
            <a:ext cx="423516" cy="24382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 name="Straight Arrow Connector 14"/>
          <xdr:cNvCxnSpPr/>
        </xdr:nvCxnSpPr>
        <xdr:spPr>
          <a:xfrm flipH="1">
            <a:off x="6762750" y="10020300"/>
            <a:ext cx="1"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23" name="Straight Arrow Connector 222"/>
          <xdr:cNvCxnSpPr/>
        </xdr:nvCxnSpPr>
        <xdr:spPr>
          <a:xfrm flipH="1">
            <a:off x="6762750" y="10725150"/>
            <a:ext cx="1"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24" name="Straight Arrow Connector 223"/>
          <xdr:cNvCxnSpPr/>
        </xdr:nvCxnSpPr>
        <xdr:spPr>
          <a:xfrm flipH="1" flipV="1">
            <a:off x="6762750" y="10315575"/>
            <a:ext cx="2" cy="238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9" name="TextBox 18"/>
          <xdr:cNvSpPr txBox="1"/>
        </xdr:nvSpPr>
        <xdr:spPr>
          <a:xfrm>
            <a:off x="6629400" y="9734550"/>
            <a:ext cx="6762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2</a:t>
            </a:r>
            <a:r>
              <a:rPr lang="en-US" sz="1600" b="1" baseline="0"/>
              <a:t> mm</a:t>
            </a:r>
            <a:endParaRPr lang="en-US" sz="1600" b="1"/>
          </a:p>
        </xdr:txBody>
      </xdr:sp>
      <xdr:sp macro="" textlink="">
        <xdr:nvSpPr>
          <xdr:cNvPr id="225" name="TextBox 224"/>
          <xdr:cNvSpPr txBox="1"/>
        </xdr:nvSpPr>
        <xdr:spPr>
          <a:xfrm>
            <a:off x="6610349" y="10487025"/>
            <a:ext cx="104775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̴10-20</a:t>
            </a:r>
            <a:r>
              <a:rPr lang="en-US" sz="1600" b="1" baseline="0"/>
              <a:t> mm</a:t>
            </a:r>
            <a:endParaRPr lang="en-US" sz="1600" b="1"/>
          </a:p>
        </xdr:txBody>
      </xdr:sp>
      <xdr:sp macro="" textlink="">
        <xdr:nvSpPr>
          <xdr:cNvPr id="218" name="Freeform 217"/>
          <xdr:cNvSpPr/>
        </xdr:nvSpPr>
        <xdr:spPr bwMode="auto">
          <a:xfrm>
            <a:off x="4797914" y="11130205"/>
            <a:ext cx="1653950" cy="1325715"/>
          </a:xfrm>
          <a:custGeom>
            <a:avLst/>
            <a:gdLst>
              <a:gd name="connsiteX0" fmla="*/ 0 w 1627545"/>
              <a:gd name="connsiteY0" fmla="*/ 1038311 h 1038311"/>
              <a:gd name="connsiteX1" fmla="*/ 0 w 1627545"/>
              <a:gd name="connsiteY1" fmla="*/ 935338 h 1038311"/>
              <a:gd name="connsiteX2" fmla="*/ 1627545 w 1627545"/>
              <a:gd name="connsiteY2" fmla="*/ 0 h 1038311"/>
              <a:gd name="connsiteX3" fmla="*/ 1627545 w 1627545"/>
              <a:gd name="connsiteY3" fmla="*/ 94392 h 1038311"/>
              <a:gd name="connsiteX4" fmla="*/ 0 w 1627545"/>
              <a:gd name="connsiteY4" fmla="*/ 1038311 h 1038311"/>
              <a:gd name="connsiteX0" fmla="*/ 0 w 1656148"/>
              <a:gd name="connsiteY0" fmla="*/ 1055473 h 1055473"/>
              <a:gd name="connsiteX1" fmla="*/ 0 w 1656148"/>
              <a:gd name="connsiteY1" fmla="*/ 952500 h 1055473"/>
              <a:gd name="connsiteX2" fmla="*/ 1656148 w 1656148"/>
              <a:gd name="connsiteY2" fmla="*/ 0 h 1055473"/>
              <a:gd name="connsiteX3" fmla="*/ 1627545 w 1656148"/>
              <a:gd name="connsiteY3" fmla="*/ 111554 h 1055473"/>
              <a:gd name="connsiteX4" fmla="*/ 0 w 1656148"/>
              <a:gd name="connsiteY4" fmla="*/ 1055473 h 1055473"/>
              <a:gd name="connsiteX0" fmla="*/ 0 w 1656149"/>
              <a:gd name="connsiteY0" fmla="*/ 1055473 h 1055473"/>
              <a:gd name="connsiteX1" fmla="*/ 0 w 1656149"/>
              <a:gd name="connsiteY1" fmla="*/ 952500 h 1055473"/>
              <a:gd name="connsiteX2" fmla="*/ 1656148 w 1656149"/>
              <a:gd name="connsiteY2" fmla="*/ 0 h 1055473"/>
              <a:gd name="connsiteX3" fmla="*/ 1656149 w 1656149"/>
              <a:gd name="connsiteY3" fmla="*/ 91531 h 1055473"/>
              <a:gd name="connsiteX4" fmla="*/ 0 w 1656149"/>
              <a:gd name="connsiteY4" fmla="*/ 1055473 h 1055473"/>
              <a:gd name="connsiteX0" fmla="*/ 0 w 1661870"/>
              <a:gd name="connsiteY0" fmla="*/ 1055473 h 1055473"/>
              <a:gd name="connsiteX1" fmla="*/ 0 w 1661870"/>
              <a:gd name="connsiteY1" fmla="*/ 952500 h 1055473"/>
              <a:gd name="connsiteX2" fmla="*/ 1656148 w 1661870"/>
              <a:gd name="connsiteY2" fmla="*/ 0 h 1055473"/>
              <a:gd name="connsiteX3" fmla="*/ 1661870 w 1661870"/>
              <a:gd name="connsiteY3" fmla="*/ 91531 h 1055473"/>
              <a:gd name="connsiteX4" fmla="*/ 0 w 1661870"/>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8 w 1656148"/>
              <a:gd name="connsiteY3" fmla="*/ 94392 h 1055473"/>
              <a:gd name="connsiteX4" fmla="*/ 0 w 1656148"/>
              <a:gd name="connsiteY4" fmla="*/ 1055473 h 1055473"/>
              <a:gd name="connsiteX0" fmla="*/ 0 w 1661869"/>
              <a:gd name="connsiteY0" fmla="*/ 1055473 h 1055473"/>
              <a:gd name="connsiteX1" fmla="*/ 0 w 1661869"/>
              <a:gd name="connsiteY1" fmla="*/ 952500 h 1055473"/>
              <a:gd name="connsiteX2" fmla="*/ 1656148 w 1661869"/>
              <a:gd name="connsiteY2" fmla="*/ 0 h 1055473"/>
              <a:gd name="connsiteX3" fmla="*/ 1661869 w 1661869"/>
              <a:gd name="connsiteY3" fmla="*/ 91532 h 1055473"/>
              <a:gd name="connsiteX4" fmla="*/ 0 w 1661869"/>
              <a:gd name="connsiteY4" fmla="*/ 1055473 h 1055473"/>
              <a:gd name="connsiteX0" fmla="*/ 0 w 1656148"/>
              <a:gd name="connsiteY0" fmla="*/ 1055473 h 1055473"/>
              <a:gd name="connsiteX1" fmla="*/ 0 w 1656148"/>
              <a:gd name="connsiteY1" fmla="*/ 952500 h 1055473"/>
              <a:gd name="connsiteX2" fmla="*/ 1656148 w 1656148"/>
              <a:gd name="connsiteY2" fmla="*/ 0 h 1055473"/>
              <a:gd name="connsiteX3" fmla="*/ 1653287 w 1656148"/>
              <a:gd name="connsiteY3" fmla="*/ 91532 h 1055473"/>
              <a:gd name="connsiteX4" fmla="*/ 0 w 1656148"/>
              <a:gd name="connsiteY4" fmla="*/ 1055473 h 1055473"/>
              <a:gd name="connsiteX0" fmla="*/ 0 w 1653288"/>
              <a:gd name="connsiteY0" fmla="*/ 1049752 h 1049752"/>
              <a:gd name="connsiteX1" fmla="*/ 0 w 1653288"/>
              <a:gd name="connsiteY1" fmla="*/ 946779 h 1049752"/>
              <a:gd name="connsiteX2" fmla="*/ 1653288 w 1653288"/>
              <a:gd name="connsiteY2" fmla="*/ 0 h 1049752"/>
              <a:gd name="connsiteX3" fmla="*/ 1653287 w 1653288"/>
              <a:gd name="connsiteY3" fmla="*/ 85811 h 1049752"/>
              <a:gd name="connsiteX4" fmla="*/ 0 w 1653288"/>
              <a:gd name="connsiteY4" fmla="*/ 1049752 h 1049752"/>
              <a:gd name="connsiteX0" fmla="*/ 0 w 1653288"/>
              <a:gd name="connsiteY0" fmla="*/ 1049752 h 1049752"/>
              <a:gd name="connsiteX1" fmla="*/ 0 w 1653288"/>
              <a:gd name="connsiteY1" fmla="*/ 359303 h 1049752"/>
              <a:gd name="connsiteX2" fmla="*/ 1653288 w 1653288"/>
              <a:gd name="connsiteY2" fmla="*/ 0 h 1049752"/>
              <a:gd name="connsiteX3" fmla="*/ 1653287 w 1653288"/>
              <a:gd name="connsiteY3" fmla="*/ 85811 h 1049752"/>
              <a:gd name="connsiteX4" fmla="*/ 0 w 1653288"/>
              <a:gd name="connsiteY4" fmla="*/ 1049752 h 1049752"/>
              <a:gd name="connsiteX0" fmla="*/ 0 w 1653287"/>
              <a:gd name="connsiteY0" fmla="*/ 1608336 h 1608336"/>
              <a:gd name="connsiteX1" fmla="*/ 0 w 1653287"/>
              <a:gd name="connsiteY1" fmla="*/ 917887 h 1608336"/>
              <a:gd name="connsiteX2" fmla="*/ 1643786 w 1653287"/>
              <a:gd name="connsiteY2" fmla="*/ 0 h 1608336"/>
              <a:gd name="connsiteX3" fmla="*/ 1653287 w 1653287"/>
              <a:gd name="connsiteY3" fmla="*/ 644395 h 1608336"/>
              <a:gd name="connsiteX4" fmla="*/ 0 w 1653287"/>
              <a:gd name="connsiteY4" fmla="*/ 1608336 h 1608336"/>
              <a:gd name="connsiteX0" fmla="*/ 0 w 1653287"/>
              <a:gd name="connsiteY0" fmla="*/ 1637228 h 1637228"/>
              <a:gd name="connsiteX1" fmla="*/ 0 w 1653287"/>
              <a:gd name="connsiteY1" fmla="*/ 946779 h 1637228"/>
              <a:gd name="connsiteX2" fmla="*/ 1643786 w 1653287"/>
              <a:gd name="connsiteY2" fmla="*/ 0 h 1637228"/>
              <a:gd name="connsiteX3" fmla="*/ 1653287 w 1653287"/>
              <a:gd name="connsiteY3" fmla="*/ 673287 h 1637228"/>
              <a:gd name="connsiteX4" fmla="*/ 0 w 1653287"/>
              <a:gd name="connsiteY4" fmla="*/ 1637228 h 1637228"/>
              <a:gd name="connsiteX0" fmla="*/ 0 w 1653287"/>
              <a:gd name="connsiteY0" fmla="*/ 1656490 h 1656490"/>
              <a:gd name="connsiteX1" fmla="*/ 0 w 1653287"/>
              <a:gd name="connsiteY1" fmla="*/ 966041 h 1656490"/>
              <a:gd name="connsiteX2" fmla="*/ 1643786 w 1653287"/>
              <a:gd name="connsiteY2" fmla="*/ 0 h 1656490"/>
              <a:gd name="connsiteX3" fmla="*/ 1653287 w 1653287"/>
              <a:gd name="connsiteY3" fmla="*/ 692549 h 1656490"/>
              <a:gd name="connsiteX4" fmla="*/ 0 w 1653287"/>
              <a:gd name="connsiteY4" fmla="*/ 1656490 h 1656490"/>
              <a:gd name="connsiteX0" fmla="*/ 0 w 1653287"/>
              <a:gd name="connsiteY0" fmla="*/ 1651530 h 1651530"/>
              <a:gd name="connsiteX1" fmla="*/ 0 w 1653287"/>
              <a:gd name="connsiteY1" fmla="*/ 961081 h 1651530"/>
              <a:gd name="connsiteX2" fmla="*/ 1638968 w 1653287"/>
              <a:gd name="connsiteY2" fmla="*/ 0 h 1651530"/>
              <a:gd name="connsiteX3" fmla="*/ 1653287 w 1653287"/>
              <a:gd name="connsiteY3" fmla="*/ 687589 h 1651530"/>
              <a:gd name="connsiteX4" fmla="*/ 0 w 1653287"/>
              <a:gd name="connsiteY4" fmla="*/ 1651530 h 1651530"/>
              <a:gd name="connsiteX0" fmla="*/ 0 w 1653287"/>
              <a:gd name="connsiteY0" fmla="*/ 1646570 h 1646570"/>
              <a:gd name="connsiteX1" fmla="*/ 0 w 1653287"/>
              <a:gd name="connsiteY1" fmla="*/ 956121 h 1646570"/>
              <a:gd name="connsiteX2" fmla="*/ 1636560 w 1653287"/>
              <a:gd name="connsiteY2" fmla="*/ 0 h 1646570"/>
              <a:gd name="connsiteX3" fmla="*/ 1653287 w 1653287"/>
              <a:gd name="connsiteY3" fmla="*/ 682629 h 1646570"/>
              <a:gd name="connsiteX4" fmla="*/ 0 w 1653287"/>
              <a:gd name="connsiteY4" fmla="*/ 1646570 h 1646570"/>
              <a:gd name="connsiteX0" fmla="*/ 0 w 1653287"/>
              <a:gd name="connsiteY0" fmla="*/ 1654012 h 1654012"/>
              <a:gd name="connsiteX1" fmla="*/ 0 w 1653287"/>
              <a:gd name="connsiteY1" fmla="*/ 963563 h 1654012"/>
              <a:gd name="connsiteX2" fmla="*/ 1636560 w 1653287"/>
              <a:gd name="connsiteY2" fmla="*/ 0 h 1654012"/>
              <a:gd name="connsiteX3" fmla="*/ 1653287 w 1653287"/>
              <a:gd name="connsiteY3" fmla="*/ 690071 h 1654012"/>
              <a:gd name="connsiteX4" fmla="*/ 0 w 1653287"/>
              <a:gd name="connsiteY4" fmla="*/ 1654012 h 1654012"/>
              <a:gd name="connsiteX0" fmla="*/ 0 w 1653287"/>
              <a:gd name="connsiteY0" fmla="*/ 1654012 h 1654012"/>
              <a:gd name="connsiteX1" fmla="*/ 0 w 1653287"/>
              <a:gd name="connsiteY1" fmla="*/ 963563 h 1654012"/>
              <a:gd name="connsiteX2" fmla="*/ 1636560 w 1653287"/>
              <a:gd name="connsiteY2" fmla="*/ 0 h 1654012"/>
              <a:gd name="connsiteX3" fmla="*/ 1653287 w 1653287"/>
              <a:gd name="connsiteY3" fmla="*/ 677668 h 1654012"/>
              <a:gd name="connsiteX4" fmla="*/ 0 w 1653287"/>
              <a:gd name="connsiteY4" fmla="*/ 1654012 h 1654012"/>
              <a:gd name="connsiteX0" fmla="*/ 7226 w 1653287"/>
              <a:gd name="connsiteY0" fmla="*/ 1686259 h 1686259"/>
              <a:gd name="connsiteX1" fmla="*/ 0 w 1653287"/>
              <a:gd name="connsiteY1" fmla="*/ 963563 h 1686259"/>
              <a:gd name="connsiteX2" fmla="*/ 1636560 w 1653287"/>
              <a:gd name="connsiteY2" fmla="*/ 0 h 1686259"/>
              <a:gd name="connsiteX3" fmla="*/ 1653287 w 1653287"/>
              <a:gd name="connsiteY3" fmla="*/ 677668 h 1686259"/>
              <a:gd name="connsiteX4" fmla="*/ 7226 w 1653287"/>
              <a:gd name="connsiteY4" fmla="*/ 1686259 h 1686259"/>
              <a:gd name="connsiteX0" fmla="*/ 696 w 1646757"/>
              <a:gd name="connsiteY0" fmla="*/ 1686259 h 1686259"/>
              <a:gd name="connsiteX1" fmla="*/ 696 w 1646757"/>
              <a:gd name="connsiteY1" fmla="*/ 958602 h 1686259"/>
              <a:gd name="connsiteX2" fmla="*/ 1630030 w 1646757"/>
              <a:gd name="connsiteY2" fmla="*/ 0 h 1686259"/>
              <a:gd name="connsiteX3" fmla="*/ 1646757 w 1646757"/>
              <a:gd name="connsiteY3" fmla="*/ 677668 h 1686259"/>
              <a:gd name="connsiteX4" fmla="*/ 696 w 1646757"/>
              <a:gd name="connsiteY4" fmla="*/ 1686259 h 1686259"/>
              <a:gd name="connsiteX0" fmla="*/ 500 w 1646561"/>
              <a:gd name="connsiteY0" fmla="*/ 1686259 h 1686259"/>
              <a:gd name="connsiteX1" fmla="*/ 2891 w 1646561"/>
              <a:gd name="connsiteY1" fmla="*/ 1095093 h 1686259"/>
              <a:gd name="connsiteX2" fmla="*/ 1629834 w 1646561"/>
              <a:gd name="connsiteY2" fmla="*/ 0 h 1686259"/>
              <a:gd name="connsiteX3" fmla="*/ 1646561 w 1646561"/>
              <a:gd name="connsiteY3" fmla="*/ 677668 h 1686259"/>
              <a:gd name="connsiteX4" fmla="*/ 500 w 1646561"/>
              <a:gd name="connsiteY4" fmla="*/ 1686259 h 1686259"/>
              <a:gd name="connsiteX0" fmla="*/ 500 w 1646561"/>
              <a:gd name="connsiteY0" fmla="*/ 1686259 h 1686259"/>
              <a:gd name="connsiteX1" fmla="*/ 2891 w 1646561"/>
              <a:gd name="connsiteY1" fmla="*/ 1095093 h 1686259"/>
              <a:gd name="connsiteX2" fmla="*/ 1629834 w 1646561"/>
              <a:gd name="connsiteY2" fmla="*/ 0 h 1686259"/>
              <a:gd name="connsiteX3" fmla="*/ 1646561 w 1646561"/>
              <a:gd name="connsiteY3" fmla="*/ 677668 h 1686259"/>
              <a:gd name="connsiteX4" fmla="*/ 500 w 1646561"/>
              <a:gd name="connsiteY4" fmla="*/ 1686259 h 1686259"/>
              <a:gd name="connsiteX0" fmla="*/ 500 w 1646561"/>
              <a:gd name="connsiteY0" fmla="*/ 1686259 h 1686259"/>
              <a:gd name="connsiteX1" fmla="*/ 2891 w 1646561"/>
              <a:gd name="connsiteY1" fmla="*/ 1095093 h 1686259"/>
              <a:gd name="connsiteX2" fmla="*/ 1629834 w 1646561"/>
              <a:gd name="connsiteY2" fmla="*/ 0 h 1686259"/>
              <a:gd name="connsiteX3" fmla="*/ 1646561 w 1646561"/>
              <a:gd name="connsiteY3" fmla="*/ 677668 h 1686259"/>
              <a:gd name="connsiteX4" fmla="*/ 500 w 1646561"/>
              <a:gd name="connsiteY4" fmla="*/ 1686259 h 1686259"/>
              <a:gd name="connsiteX0" fmla="*/ 500 w 1646561"/>
              <a:gd name="connsiteY0" fmla="*/ 1686259 h 1686259"/>
              <a:gd name="connsiteX1" fmla="*/ 2891 w 1646561"/>
              <a:gd name="connsiteY1" fmla="*/ 1095093 h 1686259"/>
              <a:gd name="connsiteX2" fmla="*/ 1629834 w 1646561"/>
              <a:gd name="connsiteY2" fmla="*/ 0 h 1686259"/>
              <a:gd name="connsiteX3" fmla="*/ 1646561 w 1646561"/>
              <a:gd name="connsiteY3" fmla="*/ 677668 h 1686259"/>
              <a:gd name="connsiteX4" fmla="*/ 500 w 1646561"/>
              <a:gd name="connsiteY4" fmla="*/ 1686259 h 1686259"/>
              <a:gd name="connsiteX0" fmla="*/ 500 w 1646561"/>
              <a:gd name="connsiteY0" fmla="*/ 1677902 h 1677902"/>
              <a:gd name="connsiteX1" fmla="*/ 2891 w 1646561"/>
              <a:gd name="connsiteY1" fmla="*/ 1086736 h 1677902"/>
              <a:gd name="connsiteX2" fmla="*/ 1625054 w 1646561"/>
              <a:gd name="connsiteY2" fmla="*/ 0 h 1677902"/>
              <a:gd name="connsiteX3" fmla="*/ 1646561 w 1646561"/>
              <a:gd name="connsiteY3" fmla="*/ 669311 h 1677902"/>
              <a:gd name="connsiteX4" fmla="*/ 500 w 1646561"/>
              <a:gd name="connsiteY4" fmla="*/ 1677902 h 1677902"/>
              <a:gd name="connsiteX0" fmla="*/ 500 w 1646561"/>
              <a:gd name="connsiteY0" fmla="*/ 1677902 h 1677902"/>
              <a:gd name="connsiteX1" fmla="*/ 2891 w 1646561"/>
              <a:gd name="connsiteY1" fmla="*/ 1086736 h 1677902"/>
              <a:gd name="connsiteX2" fmla="*/ 1625054 w 1646561"/>
              <a:gd name="connsiteY2" fmla="*/ 0 h 1677902"/>
              <a:gd name="connsiteX3" fmla="*/ 1646561 w 1646561"/>
              <a:gd name="connsiteY3" fmla="*/ 669311 h 1677902"/>
              <a:gd name="connsiteX4" fmla="*/ 500 w 1646561"/>
              <a:gd name="connsiteY4" fmla="*/ 1677902 h 1677902"/>
              <a:gd name="connsiteX0" fmla="*/ 500 w 1637000"/>
              <a:gd name="connsiteY0" fmla="*/ 1677902 h 1677902"/>
              <a:gd name="connsiteX1" fmla="*/ 2891 w 1637000"/>
              <a:gd name="connsiteY1" fmla="*/ 1086736 h 1677902"/>
              <a:gd name="connsiteX2" fmla="*/ 1625054 w 1637000"/>
              <a:gd name="connsiteY2" fmla="*/ 0 h 1677902"/>
              <a:gd name="connsiteX3" fmla="*/ 1637000 w 1637000"/>
              <a:gd name="connsiteY3" fmla="*/ 569032 h 1677902"/>
              <a:gd name="connsiteX4" fmla="*/ 500 w 1637000"/>
              <a:gd name="connsiteY4" fmla="*/ 1677902 h 1677902"/>
              <a:gd name="connsiteX0" fmla="*/ 2389 w 1638889"/>
              <a:gd name="connsiteY0" fmla="*/ 1677902 h 1677902"/>
              <a:gd name="connsiteX1" fmla="*/ 0 w 1638889"/>
              <a:gd name="connsiteY1" fmla="*/ 1154733 h 1677902"/>
              <a:gd name="connsiteX2" fmla="*/ 1626943 w 1638889"/>
              <a:gd name="connsiteY2" fmla="*/ 0 h 1677902"/>
              <a:gd name="connsiteX3" fmla="*/ 1638889 w 1638889"/>
              <a:gd name="connsiteY3" fmla="*/ 569032 h 1677902"/>
              <a:gd name="connsiteX4" fmla="*/ 2389 w 1638889"/>
              <a:gd name="connsiteY4" fmla="*/ 1677902 h 1677902"/>
              <a:gd name="connsiteX0" fmla="*/ 2389 w 1638889"/>
              <a:gd name="connsiteY0" fmla="*/ 1677902 h 1677902"/>
              <a:gd name="connsiteX1" fmla="*/ 0 w 1638889"/>
              <a:gd name="connsiteY1" fmla="*/ 1154733 h 1677902"/>
              <a:gd name="connsiteX2" fmla="*/ 1626943 w 1638889"/>
              <a:gd name="connsiteY2" fmla="*/ 0 h 1677902"/>
              <a:gd name="connsiteX3" fmla="*/ 1638889 w 1638889"/>
              <a:gd name="connsiteY3" fmla="*/ 569032 h 1677902"/>
              <a:gd name="connsiteX4" fmla="*/ 2389 w 1638889"/>
              <a:gd name="connsiteY4" fmla="*/ 1677902 h 1677902"/>
              <a:gd name="connsiteX0" fmla="*/ 2389 w 1638889"/>
              <a:gd name="connsiteY0" fmla="*/ 1671989 h 1671989"/>
              <a:gd name="connsiteX1" fmla="*/ 0 w 1638889"/>
              <a:gd name="connsiteY1" fmla="*/ 1148820 h 1671989"/>
              <a:gd name="connsiteX2" fmla="*/ 1626944 w 1638889"/>
              <a:gd name="connsiteY2" fmla="*/ 0 h 1671989"/>
              <a:gd name="connsiteX3" fmla="*/ 1638889 w 1638889"/>
              <a:gd name="connsiteY3" fmla="*/ 563119 h 1671989"/>
              <a:gd name="connsiteX4" fmla="*/ 2389 w 1638889"/>
              <a:gd name="connsiteY4" fmla="*/ 1671989 h 1671989"/>
              <a:gd name="connsiteX0" fmla="*/ 2389 w 1638889"/>
              <a:gd name="connsiteY0" fmla="*/ 1671989 h 1671989"/>
              <a:gd name="connsiteX1" fmla="*/ 0 w 1638889"/>
              <a:gd name="connsiteY1" fmla="*/ 1148820 h 1671989"/>
              <a:gd name="connsiteX2" fmla="*/ 1626944 w 1638889"/>
              <a:gd name="connsiteY2" fmla="*/ 0 h 1671989"/>
              <a:gd name="connsiteX3" fmla="*/ 1638889 w 1638889"/>
              <a:gd name="connsiteY3" fmla="*/ 563119 h 1671989"/>
              <a:gd name="connsiteX4" fmla="*/ 2389 w 1638889"/>
              <a:gd name="connsiteY4" fmla="*/ 1671989 h 1671989"/>
              <a:gd name="connsiteX0" fmla="*/ 2389 w 1634109"/>
              <a:gd name="connsiteY0" fmla="*/ 1671989 h 1671989"/>
              <a:gd name="connsiteX1" fmla="*/ 0 w 1634109"/>
              <a:gd name="connsiteY1" fmla="*/ 1148820 h 1671989"/>
              <a:gd name="connsiteX2" fmla="*/ 1626944 w 1634109"/>
              <a:gd name="connsiteY2" fmla="*/ 0 h 1671989"/>
              <a:gd name="connsiteX3" fmla="*/ 1634109 w 1634109"/>
              <a:gd name="connsiteY3" fmla="*/ 480337 h 1671989"/>
              <a:gd name="connsiteX4" fmla="*/ 2389 w 1634109"/>
              <a:gd name="connsiteY4" fmla="*/ 1671989 h 1671989"/>
              <a:gd name="connsiteX0" fmla="*/ 4779 w 1634109"/>
              <a:gd name="connsiteY0" fmla="*/ 1621729 h 1621729"/>
              <a:gd name="connsiteX1" fmla="*/ 0 w 1634109"/>
              <a:gd name="connsiteY1" fmla="*/ 1148820 h 1621729"/>
              <a:gd name="connsiteX2" fmla="*/ 1626944 w 1634109"/>
              <a:gd name="connsiteY2" fmla="*/ 0 h 1621729"/>
              <a:gd name="connsiteX3" fmla="*/ 1634109 w 1634109"/>
              <a:gd name="connsiteY3" fmla="*/ 480337 h 1621729"/>
              <a:gd name="connsiteX4" fmla="*/ 4779 w 1634109"/>
              <a:gd name="connsiteY4" fmla="*/ 1621729 h 162172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34109" h="1621729">
                <a:moveTo>
                  <a:pt x="4779" y="1621729"/>
                </a:moveTo>
                <a:cubicBezTo>
                  <a:pt x="2370" y="1380830"/>
                  <a:pt x="2409" y="1389719"/>
                  <a:pt x="0" y="1148820"/>
                </a:cubicBezTo>
                <a:cubicBezTo>
                  <a:pt x="543111" y="769423"/>
                  <a:pt x="1088614" y="364445"/>
                  <a:pt x="1626944" y="0"/>
                </a:cubicBezTo>
                <a:cubicBezTo>
                  <a:pt x="1626944" y="30510"/>
                  <a:pt x="1634109" y="449827"/>
                  <a:pt x="1634109" y="480337"/>
                </a:cubicBezTo>
                <a:lnTo>
                  <a:pt x="4779" y="1621729"/>
                </a:ln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19" name="Freeform 218"/>
          <xdr:cNvSpPr/>
        </xdr:nvSpPr>
        <xdr:spPr bwMode="auto">
          <a:xfrm>
            <a:off x="4578963" y="12065244"/>
            <a:ext cx="224097" cy="429941"/>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682902 h 682902"/>
              <a:gd name="connsiteX1" fmla="*/ 200225 w 200225"/>
              <a:gd name="connsiteY1" fmla="*/ 617114 h 682902"/>
              <a:gd name="connsiteX2" fmla="*/ 194505 w 200225"/>
              <a:gd name="connsiteY2" fmla="*/ 519862 h 682902"/>
              <a:gd name="connsiteX3" fmla="*/ 0 w 200225"/>
              <a:gd name="connsiteY3" fmla="*/ 624 h 682902"/>
              <a:gd name="connsiteX4" fmla="*/ 2861 w 200225"/>
              <a:gd name="connsiteY4" fmla="*/ 682902 h 682902"/>
              <a:gd name="connsiteX0" fmla="*/ 2861 w 200225"/>
              <a:gd name="connsiteY0" fmla="*/ 654164 h 654164"/>
              <a:gd name="connsiteX1" fmla="*/ 200225 w 200225"/>
              <a:gd name="connsiteY1" fmla="*/ 588376 h 654164"/>
              <a:gd name="connsiteX2" fmla="*/ 194505 w 200225"/>
              <a:gd name="connsiteY2" fmla="*/ 491124 h 654164"/>
              <a:gd name="connsiteX3" fmla="*/ 0 w 200225"/>
              <a:gd name="connsiteY3" fmla="*/ 658 h 654164"/>
              <a:gd name="connsiteX4" fmla="*/ 2861 w 200225"/>
              <a:gd name="connsiteY4" fmla="*/ 654164 h 654164"/>
              <a:gd name="connsiteX0" fmla="*/ 2861 w 200225"/>
              <a:gd name="connsiteY0" fmla="*/ 719293 h 719293"/>
              <a:gd name="connsiteX1" fmla="*/ 200225 w 200225"/>
              <a:gd name="connsiteY1" fmla="*/ 653505 h 719293"/>
              <a:gd name="connsiteX2" fmla="*/ 184971 w 200225"/>
              <a:gd name="connsiteY2" fmla="*/ 0 h 719293"/>
              <a:gd name="connsiteX3" fmla="*/ 0 w 200225"/>
              <a:gd name="connsiteY3" fmla="*/ 65787 h 719293"/>
              <a:gd name="connsiteX4" fmla="*/ 2861 w 200225"/>
              <a:gd name="connsiteY4" fmla="*/ 719293 h 719293"/>
              <a:gd name="connsiteX0" fmla="*/ 2861 w 184971"/>
              <a:gd name="connsiteY0" fmla="*/ 719293 h 719293"/>
              <a:gd name="connsiteX1" fmla="*/ 181338 w 184971"/>
              <a:gd name="connsiteY1" fmla="*/ 690392 h 719293"/>
              <a:gd name="connsiteX2" fmla="*/ 184971 w 184971"/>
              <a:gd name="connsiteY2" fmla="*/ 0 h 719293"/>
              <a:gd name="connsiteX3" fmla="*/ 0 w 184971"/>
              <a:gd name="connsiteY3" fmla="*/ 65787 h 719293"/>
              <a:gd name="connsiteX4" fmla="*/ 2861 w 184971"/>
              <a:gd name="connsiteY4" fmla="*/ 719293 h 719293"/>
              <a:gd name="connsiteX0" fmla="*/ 2861 w 190782"/>
              <a:gd name="connsiteY0" fmla="*/ 719293 h 719293"/>
              <a:gd name="connsiteX1" fmla="*/ 190782 w 190782"/>
              <a:gd name="connsiteY1" fmla="*/ 690393 h 719293"/>
              <a:gd name="connsiteX2" fmla="*/ 184971 w 190782"/>
              <a:gd name="connsiteY2" fmla="*/ 0 h 719293"/>
              <a:gd name="connsiteX3" fmla="*/ 0 w 190782"/>
              <a:gd name="connsiteY3" fmla="*/ 65787 h 719293"/>
              <a:gd name="connsiteX4" fmla="*/ 2861 w 190782"/>
              <a:gd name="connsiteY4" fmla="*/ 719293 h 719293"/>
              <a:gd name="connsiteX0" fmla="*/ 2861 w 194415"/>
              <a:gd name="connsiteY0" fmla="*/ 700850 h 700850"/>
              <a:gd name="connsiteX1" fmla="*/ 190782 w 194415"/>
              <a:gd name="connsiteY1" fmla="*/ 671950 h 700850"/>
              <a:gd name="connsiteX2" fmla="*/ 194415 w 194415"/>
              <a:gd name="connsiteY2" fmla="*/ 0 h 700850"/>
              <a:gd name="connsiteX3" fmla="*/ 0 w 194415"/>
              <a:gd name="connsiteY3" fmla="*/ 47344 h 700850"/>
              <a:gd name="connsiteX4" fmla="*/ 2861 w 194415"/>
              <a:gd name="connsiteY4" fmla="*/ 700850 h 700850"/>
              <a:gd name="connsiteX0" fmla="*/ 2861 w 206522"/>
              <a:gd name="connsiteY0" fmla="*/ 722239 h 722239"/>
              <a:gd name="connsiteX1" fmla="*/ 190782 w 206522"/>
              <a:gd name="connsiteY1" fmla="*/ 693339 h 722239"/>
              <a:gd name="connsiteX2" fmla="*/ 206522 w 206522"/>
              <a:gd name="connsiteY2" fmla="*/ 0 h 722239"/>
              <a:gd name="connsiteX3" fmla="*/ 0 w 206522"/>
              <a:gd name="connsiteY3" fmla="*/ 68733 h 722239"/>
              <a:gd name="connsiteX4" fmla="*/ 2861 w 206522"/>
              <a:gd name="connsiteY4" fmla="*/ 722239 h 722239"/>
              <a:gd name="connsiteX0" fmla="*/ 2861 w 206522"/>
              <a:gd name="connsiteY0" fmla="*/ 722239 h 722239"/>
              <a:gd name="connsiteX1" fmla="*/ 205310 w 206522"/>
              <a:gd name="connsiteY1" fmla="*/ 690962 h 722239"/>
              <a:gd name="connsiteX2" fmla="*/ 206522 w 206522"/>
              <a:gd name="connsiteY2" fmla="*/ 0 h 722239"/>
              <a:gd name="connsiteX3" fmla="*/ 0 w 206522"/>
              <a:gd name="connsiteY3" fmla="*/ 68733 h 722239"/>
              <a:gd name="connsiteX4" fmla="*/ 2861 w 206522"/>
              <a:gd name="connsiteY4" fmla="*/ 722239 h 722239"/>
              <a:gd name="connsiteX0" fmla="*/ 2861 w 206522"/>
              <a:gd name="connsiteY0" fmla="*/ 734122 h 734122"/>
              <a:gd name="connsiteX1" fmla="*/ 205310 w 206522"/>
              <a:gd name="connsiteY1" fmla="*/ 690962 h 734122"/>
              <a:gd name="connsiteX2" fmla="*/ 206522 w 206522"/>
              <a:gd name="connsiteY2" fmla="*/ 0 h 734122"/>
              <a:gd name="connsiteX3" fmla="*/ 0 w 206522"/>
              <a:gd name="connsiteY3" fmla="*/ 68733 h 734122"/>
              <a:gd name="connsiteX4" fmla="*/ 2861 w 206522"/>
              <a:gd name="connsiteY4" fmla="*/ 734122 h 734122"/>
              <a:gd name="connsiteX0" fmla="*/ 74 w 213178"/>
              <a:gd name="connsiteY0" fmla="*/ 512750 h 690962"/>
              <a:gd name="connsiteX1" fmla="*/ 211966 w 213178"/>
              <a:gd name="connsiteY1" fmla="*/ 690962 h 690962"/>
              <a:gd name="connsiteX2" fmla="*/ 213178 w 213178"/>
              <a:gd name="connsiteY2" fmla="*/ 0 h 690962"/>
              <a:gd name="connsiteX3" fmla="*/ 6656 w 213178"/>
              <a:gd name="connsiteY3" fmla="*/ 68733 h 690962"/>
              <a:gd name="connsiteX4" fmla="*/ 74 w 213178"/>
              <a:gd name="connsiteY4" fmla="*/ 512750 h 690962"/>
              <a:gd name="connsiteX0" fmla="*/ 74 w 213178"/>
              <a:gd name="connsiteY0" fmla="*/ 540422 h 690962"/>
              <a:gd name="connsiteX1" fmla="*/ 211966 w 213178"/>
              <a:gd name="connsiteY1" fmla="*/ 690962 h 690962"/>
              <a:gd name="connsiteX2" fmla="*/ 213178 w 213178"/>
              <a:gd name="connsiteY2" fmla="*/ 0 h 690962"/>
              <a:gd name="connsiteX3" fmla="*/ 6656 w 213178"/>
              <a:gd name="connsiteY3" fmla="*/ 68733 h 690962"/>
              <a:gd name="connsiteX4" fmla="*/ 74 w 213178"/>
              <a:gd name="connsiteY4" fmla="*/ 540422 h 690962"/>
              <a:gd name="connsiteX0" fmla="*/ 74 w 213178"/>
              <a:gd name="connsiteY0" fmla="*/ 540422 h 540422"/>
              <a:gd name="connsiteX1" fmla="*/ 202523 w 213178"/>
              <a:gd name="connsiteY1" fmla="*/ 515710 h 540422"/>
              <a:gd name="connsiteX2" fmla="*/ 213178 w 213178"/>
              <a:gd name="connsiteY2" fmla="*/ 0 h 540422"/>
              <a:gd name="connsiteX3" fmla="*/ 6656 w 213178"/>
              <a:gd name="connsiteY3" fmla="*/ 68733 h 540422"/>
              <a:gd name="connsiteX4" fmla="*/ 74 w 213178"/>
              <a:gd name="connsiteY4" fmla="*/ 540422 h 540422"/>
              <a:gd name="connsiteX0" fmla="*/ 74 w 213178"/>
              <a:gd name="connsiteY0" fmla="*/ 540422 h 540422"/>
              <a:gd name="connsiteX1" fmla="*/ 202523 w 213178"/>
              <a:gd name="connsiteY1" fmla="*/ 488038 h 540422"/>
              <a:gd name="connsiteX2" fmla="*/ 213178 w 213178"/>
              <a:gd name="connsiteY2" fmla="*/ 0 h 540422"/>
              <a:gd name="connsiteX3" fmla="*/ 6656 w 213178"/>
              <a:gd name="connsiteY3" fmla="*/ 68733 h 540422"/>
              <a:gd name="connsiteX4" fmla="*/ 74 w 213178"/>
              <a:gd name="connsiteY4" fmla="*/ 540422 h 540422"/>
              <a:gd name="connsiteX0" fmla="*/ 74 w 213178"/>
              <a:gd name="connsiteY0" fmla="*/ 540422 h 540422"/>
              <a:gd name="connsiteX1" fmla="*/ 209606 w 213178"/>
              <a:gd name="connsiteY1" fmla="*/ 485733 h 540422"/>
              <a:gd name="connsiteX2" fmla="*/ 213178 w 213178"/>
              <a:gd name="connsiteY2" fmla="*/ 0 h 540422"/>
              <a:gd name="connsiteX3" fmla="*/ 6656 w 213178"/>
              <a:gd name="connsiteY3" fmla="*/ 68733 h 540422"/>
              <a:gd name="connsiteX4" fmla="*/ 74 w 213178"/>
              <a:gd name="connsiteY4" fmla="*/ 540422 h 540422"/>
              <a:gd name="connsiteX0" fmla="*/ 74 w 216847"/>
              <a:gd name="connsiteY0" fmla="*/ 540422 h 540422"/>
              <a:gd name="connsiteX1" fmla="*/ 216688 w 216847"/>
              <a:gd name="connsiteY1" fmla="*/ 485733 h 540422"/>
              <a:gd name="connsiteX2" fmla="*/ 213178 w 216847"/>
              <a:gd name="connsiteY2" fmla="*/ 0 h 540422"/>
              <a:gd name="connsiteX3" fmla="*/ 6656 w 216847"/>
              <a:gd name="connsiteY3" fmla="*/ 68733 h 540422"/>
              <a:gd name="connsiteX4" fmla="*/ 74 w 216847"/>
              <a:gd name="connsiteY4" fmla="*/ 540422 h 540422"/>
              <a:gd name="connsiteX0" fmla="*/ 5401 w 222174"/>
              <a:gd name="connsiteY0" fmla="*/ 540422 h 540422"/>
              <a:gd name="connsiteX1" fmla="*/ 222015 w 222174"/>
              <a:gd name="connsiteY1" fmla="*/ 485733 h 540422"/>
              <a:gd name="connsiteX2" fmla="*/ 218505 w 222174"/>
              <a:gd name="connsiteY2" fmla="*/ 0 h 540422"/>
              <a:gd name="connsiteX3" fmla="*/ 0 w 222174"/>
              <a:gd name="connsiteY3" fmla="*/ 73414 h 540422"/>
              <a:gd name="connsiteX4" fmla="*/ 5401 w 222174"/>
              <a:gd name="connsiteY4" fmla="*/ 540422 h 540422"/>
              <a:gd name="connsiteX0" fmla="*/ 3004 w 222174"/>
              <a:gd name="connsiteY0" fmla="*/ 416378 h 485733"/>
              <a:gd name="connsiteX1" fmla="*/ 222015 w 222174"/>
              <a:gd name="connsiteY1" fmla="*/ 485733 h 485733"/>
              <a:gd name="connsiteX2" fmla="*/ 218505 w 222174"/>
              <a:gd name="connsiteY2" fmla="*/ 0 h 485733"/>
              <a:gd name="connsiteX3" fmla="*/ 0 w 222174"/>
              <a:gd name="connsiteY3" fmla="*/ 73414 h 485733"/>
              <a:gd name="connsiteX4" fmla="*/ 3004 w 222174"/>
              <a:gd name="connsiteY4" fmla="*/ 416378 h 485733"/>
              <a:gd name="connsiteX0" fmla="*/ 3004 w 222174"/>
              <a:gd name="connsiteY0" fmla="*/ 416378 h 416378"/>
              <a:gd name="connsiteX1" fmla="*/ 222015 w 222174"/>
              <a:gd name="connsiteY1" fmla="*/ 375731 h 416378"/>
              <a:gd name="connsiteX2" fmla="*/ 218505 w 222174"/>
              <a:gd name="connsiteY2" fmla="*/ 0 h 416378"/>
              <a:gd name="connsiteX3" fmla="*/ 0 w 222174"/>
              <a:gd name="connsiteY3" fmla="*/ 73414 h 416378"/>
              <a:gd name="connsiteX4" fmla="*/ 3004 w 222174"/>
              <a:gd name="connsiteY4" fmla="*/ 416378 h 41637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22174" h="416378">
                <a:moveTo>
                  <a:pt x="3004" y="416378"/>
                </a:moveTo>
                <a:lnTo>
                  <a:pt x="222015" y="375731"/>
                </a:lnTo>
                <a:cubicBezTo>
                  <a:pt x="223206" y="213820"/>
                  <a:pt x="217314" y="161911"/>
                  <a:pt x="218505" y="0"/>
                </a:cubicBezTo>
                <a:lnTo>
                  <a:pt x="0" y="73414"/>
                </a:lnTo>
                <a:cubicBezTo>
                  <a:pt x="954" y="105831"/>
                  <a:pt x="2050" y="383961"/>
                  <a:pt x="3004" y="416378"/>
                </a:cubicBezTo>
                <a:close/>
              </a:path>
            </a:pathLst>
          </a:custGeom>
          <a:solidFill>
            <a:schemeClr val="accent1">
              <a:lumMod val="20000"/>
              <a:lumOff val="8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20" name="Freeform 219"/>
          <xdr:cNvSpPr/>
        </xdr:nvSpPr>
        <xdr:spPr bwMode="auto">
          <a:xfrm>
            <a:off x="6447420" y="10994778"/>
            <a:ext cx="134356" cy="528876"/>
          </a:xfrm>
          <a:custGeom>
            <a:avLst/>
            <a:gdLst>
              <a:gd name="connsiteX0" fmla="*/ 0 w 208806"/>
              <a:gd name="connsiteY0" fmla="*/ 163040 h 163040"/>
              <a:gd name="connsiteX1" fmla="*/ 208806 w 208806"/>
              <a:gd name="connsiteY1" fmla="*/ 97252 h 163040"/>
              <a:gd name="connsiteX2" fmla="*/ 203086 w 208806"/>
              <a:gd name="connsiteY2" fmla="*/ 0 h 163040"/>
              <a:gd name="connsiteX3" fmla="*/ 8581 w 208806"/>
              <a:gd name="connsiteY3" fmla="*/ 65788 h 163040"/>
              <a:gd name="connsiteX4" fmla="*/ 0 w 208806"/>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163040 h 163040"/>
              <a:gd name="connsiteX1" fmla="*/ 200225 w 200225"/>
              <a:gd name="connsiteY1" fmla="*/ 97252 h 163040"/>
              <a:gd name="connsiteX2" fmla="*/ 194505 w 200225"/>
              <a:gd name="connsiteY2" fmla="*/ 0 h 163040"/>
              <a:gd name="connsiteX3" fmla="*/ 0 w 200225"/>
              <a:gd name="connsiteY3" fmla="*/ 65788 h 163040"/>
              <a:gd name="connsiteX4" fmla="*/ 2861 w 200225"/>
              <a:gd name="connsiteY4" fmla="*/ 163040 h 163040"/>
              <a:gd name="connsiteX0" fmla="*/ 2861 w 200225"/>
              <a:gd name="connsiteY0" fmla="*/ 220247 h 220247"/>
              <a:gd name="connsiteX1" fmla="*/ 200225 w 200225"/>
              <a:gd name="connsiteY1" fmla="*/ 154459 h 220247"/>
              <a:gd name="connsiteX2" fmla="*/ 134438 w 200225"/>
              <a:gd name="connsiteY2" fmla="*/ 0 h 220247"/>
              <a:gd name="connsiteX3" fmla="*/ 0 w 200225"/>
              <a:gd name="connsiteY3" fmla="*/ 122995 h 220247"/>
              <a:gd name="connsiteX4" fmla="*/ 2861 w 200225"/>
              <a:gd name="connsiteY4" fmla="*/ 220247 h 220247"/>
              <a:gd name="connsiteX0" fmla="*/ 2861 w 134438"/>
              <a:gd name="connsiteY0" fmla="*/ 220247 h 220247"/>
              <a:gd name="connsiteX1" fmla="*/ 134437 w 134438"/>
              <a:gd name="connsiteY1" fmla="*/ 128715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17274 h 220247"/>
              <a:gd name="connsiteX2" fmla="*/ 134438 w 134438"/>
              <a:gd name="connsiteY2" fmla="*/ 0 h 220247"/>
              <a:gd name="connsiteX3" fmla="*/ 0 w 134438"/>
              <a:gd name="connsiteY3" fmla="*/ 122995 h 220247"/>
              <a:gd name="connsiteX4" fmla="*/ 2861 w 134438"/>
              <a:gd name="connsiteY4" fmla="*/ 220247 h 220247"/>
              <a:gd name="connsiteX0" fmla="*/ 2861 w 134438"/>
              <a:gd name="connsiteY0" fmla="*/ 220247 h 220247"/>
              <a:gd name="connsiteX1" fmla="*/ 134437 w 134438"/>
              <a:gd name="connsiteY1" fmla="*/ 108693 h 220247"/>
              <a:gd name="connsiteX2" fmla="*/ 134438 w 134438"/>
              <a:gd name="connsiteY2" fmla="*/ 0 h 220247"/>
              <a:gd name="connsiteX3" fmla="*/ 0 w 134438"/>
              <a:gd name="connsiteY3" fmla="*/ 122995 h 220247"/>
              <a:gd name="connsiteX4" fmla="*/ 2861 w 13443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2973 h 220247"/>
              <a:gd name="connsiteX4" fmla="*/ 31 w 131608"/>
              <a:gd name="connsiteY4" fmla="*/ 220247 h 220247"/>
              <a:gd name="connsiteX0" fmla="*/ 31 w 131608"/>
              <a:gd name="connsiteY0" fmla="*/ 220247 h 220247"/>
              <a:gd name="connsiteX1" fmla="*/ 131607 w 131608"/>
              <a:gd name="connsiteY1" fmla="*/ 108693 h 220247"/>
              <a:gd name="connsiteX2" fmla="*/ 131608 w 131608"/>
              <a:gd name="connsiteY2" fmla="*/ 0 h 220247"/>
              <a:gd name="connsiteX3" fmla="*/ 20053 w 131608"/>
              <a:gd name="connsiteY3" fmla="*/ 105834 h 220247"/>
              <a:gd name="connsiteX4" fmla="*/ 31 w 131608"/>
              <a:gd name="connsiteY4" fmla="*/ 220247 h 220247"/>
              <a:gd name="connsiteX0" fmla="*/ 5721 w 111555"/>
              <a:gd name="connsiteY0" fmla="*/ 194503 h 194503"/>
              <a:gd name="connsiteX1" fmla="*/ 111554 w 111555"/>
              <a:gd name="connsiteY1" fmla="*/ 108693 h 194503"/>
              <a:gd name="connsiteX2" fmla="*/ 111555 w 111555"/>
              <a:gd name="connsiteY2" fmla="*/ 0 h 194503"/>
              <a:gd name="connsiteX3" fmla="*/ 0 w 111555"/>
              <a:gd name="connsiteY3" fmla="*/ 105834 h 194503"/>
              <a:gd name="connsiteX4" fmla="*/ 5721 w 111555"/>
              <a:gd name="connsiteY4" fmla="*/ 194503 h 194503"/>
              <a:gd name="connsiteX0" fmla="*/ 275 w 111829"/>
              <a:gd name="connsiteY0" fmla="*/ 200223 h 200223"/>
              <a:gd name="connsiteX1" fmla="*/ 111828 w 111829"/>
              <a:gd name="connsiteY1" fmla="*/ 108693 h 200223"/>
              <a:gd name="connsiteX2" fmla="*/ 111829 w 111829"/>
              <a:gd name="connsiteY2" fmla="*/ 0 h 200223"/>
              <a:gd name="connsiteX3" fmla="*/ 274 w 111829"/>
              <a:gd name="connsiteY3" fmla="*/ 105834 h 200223"/>
              <a:gd name="connsiteX4" fmla="*/ 275 w 111829"/>
              <a:gd name="connsiteY4" fmla="*/ 200223 h 200223"/>
              <a:gd name="connsiteX0" fmla="*/ 18639 w 130193"/>
              <a:gd name="connsiteY0" fmla="*/ 611104 h 611104"/>
              <a:gd name="connsiteX1" fmla="*/ 130192 w 130193"/>
              <a:gd name="connsiteY1" fmla="*/ 519574 h 611104"/>
              <a:gd name="connsiteX2" fmla="*/ 130193 w 130193"/>
              <a:gd name="connsiteY2" fmla="*/ 410881 h 611104"/>
              <a:gd name="connsiteX3" fmla="*/ 0 w 130193"/>
              <a:gd name="connsiteY3" fmla="*/ 1856 h 611104"/>
              <a:gd name="connsiteX4" fmla="*/ 18639 w 130193"/>
              <a:gd name="connsiteY4" fmla="*/ 611104 h 611104"/>
              <a:gd name="connsiteX0" fmla="*/ 9320 w 120874"/>
              <a:gd name="connsiteY0" fmla="*/ 601607 h 601607"/>
              <a:gd name="connsiteX1" fmla="*/ 120873 w 120874"/>
              <a:gd name="connsiteY1" fmla="*/ 510077 h 601607"/>
              <a:gd name="connsiteX2" fmla="*/ 120874 w 120874"/>
              <a:gd name="connsiteY2" fmla="*/ 401384 h 601607"/>
              <a:gd name="connsiteX3" fmla="*/ 0 w 120874"/>
              <a:gd name="connsiteY3" fmla="*/ 1893 h 601607"/>
              <a:gd name="connsiteX4" fmla="*/ 9320 w 120874"/>
              <a:gd name="connsiteY4" fmla="*/ 601607 h 601607"/>
              <a:gd name="connsiteX0" fmla="*/ 9320 w 120874"/>
              <a:gd name="connsiteY0" fmla="*/ 762754 h 762754"/>
              <a:gd name="connsiteX1" fmla="*/ 120873 w 120874"/>
              <a:gd name="connsiteY1" fmla="*/ 671224 h 762754"/>
              <a:gd name="connsiteX2" fmla="*/ 120874 w 120874"/>
              <a:gd name="connsiteY2" fmla="*/ 0 h 762754"/>
              <a:gd name="connsiteX3" fmla="*/ 0 w 120874"/>
              <a:gd name="connsiteY3" fmla="*/ 163040 h 762754"/>
              <a:gd name="connsiteX4" fmla="*/ 9320 w 120874"/>
              <a:gd name="connsiteY4" fmla="*/ 762754 h 762754"/>
              <a:gd name="connsiteX0" fmla="*/ 9320 w 120874"/>
              <a:gd name="connsiteY0" fmla="*/ 705547 h 705547"/>
              <a:gd name="connsiteX1" fmla="*/ 120873 w 120874"/>
              <a:gd name="connsiteY1" fmla="*/ 614017 h 705547"/>
              <a:gd name="connsiteX2" fmla="*/ 120874 w 120874"/>
              <a:gd name="connsiteY2" fmla="*/ 0 h 705547"/>
              <a:gd name="connsiteX3" fmla="*/ 0 w 120874"/>
              <a:gd name="connsiteY3" fmla="*/ 105833 h 705547"/>
              <a:gd name="connsiteX4" fmla="*/ 9320 w 120874"/>
              <a:gd name="connsiteY4" fmla="*/ 705547 h 705547"/>
              <a:gd name="connsiteX0" fmla="*/ 9320 w 120874"/>
              <a:gd name="connsiteY0" fmla="*/ 705547 h 705547"/>
              <a:gd name="connsiteX1" fmla="*/ 120873 w 120874"/>
              <a:gd name="connsiteY1" fmla="*/ 614017 h 705547"/>
              <a:gd name="connsiteX2" fmla="*/ 120874 w 120874"/>
              <a:gd name="connsiteY2" fmla="*/ 0 h 705547"/>
              <a:gd name="connsiteX3" fmla="*/ 0 w 120874"/>
              <a:gd name="connsiteY3" fmla="*/ 75947 h 705547"/>
              <a:gd name="connsiteX4" fmla="*/ 9320 w 120874"/>
              <a:gd name="connsiteY4" fmla="*/ 705547 h 705547"/>
              <a:gd name="connsiteX0" fmla="*/ 9320 w 120874"/>
              <a:gd name="connsiteY0" fmla="*/ 746929 h 746929"/>
              <a:gd name="connsiteX1" fmla="*/ 120873 w 120874"/>
              <a:gd name="connsiteY1" fmla="*/ 655399 h 746929"/>
              <a:gd name="connsiteX2" fmla="*/ 120874 w 120874"/>
              <a:gd name="connsiteY2" fmla="*/ 0 h 746929"/>
              <a:gd name="connsiteX3" fmla="*/ 0 w 120874"/>
              <a:gd name="connsiteY3" fmla="*/ 117329 h 746929"/>
              <a:gd name="connsiteX4" fmla="*/ 9320 w 120874"/>
              <a:gd name="connsiteY4" fmla="*/ 746929 h 746929"/>
              <a:gd name="connsiteX0" fmla="*/ 9320 w 120874"/>
              <a:gd name="connsiteY0" fmla="*/ 746929 h 746929"/>
              <a:gd name="connsiteX1" fmla="*/ 120873 w 120874"/>
              <a:gd name="connsiteY1" fmla="*/ 476507 h 746929"/>
              <a:gd name="connsiteX2" fmla="*/ 120874 w 120874"/>
              <a:gd name="connsiteY2" fmla="*/ 0 h 746929"/>
              <a:gd name="connsiteX3" fmla="*/ 0 w 120874"/>
              <a:gd name="connsiteY3" fmla="*/ 117329 h 746929"/>
              <a:gd name="connsiteX4" fmla="*/ 9320 w 120874"/>
              <a:gd name="connsiteY4" fmla="*/ 746929 h 746929"/>
              <a:gd name="connsiteX0" fmla="*/ 7145 w 120874"/>
              <a:gd name="connsiteY0" fmla="*/ 577095 h 577095"/>
              <a:gd name="connsiteX1" fmla="*/ 120873 w 120874"/>
              <a:gd name="connsiteY1" fmla="*/ 476507 h 577095"/>
              <a:gd name="connsiteX2" fmla="*/ 120874 w 120874"/>
              <a:gd name="connsiteY2" fmla="*/ 0 h 577095"/>
              <a:gd name="connsiteX3" fmla="*/ 0 w 120874"/>
              <a:gd name="connsiteY3" fmla="*/ 117329 h 577095"/>
              <a:gd name="connsiteX4" fmla="*/ 7145 w 120874"/>
              <a:gd name="connsiteY4" fmla="*/ 577095 h 577095"/>
              <a:gd name="connsiteX0" fmla="*/ 7145 w 120874"/>
              <a:gd name="connsiteY0" fmla="*/ 495575 h 495575"/>
              <a:gd name="connsiteX1" fmla="*/ 120873 w 120874"/>
              <a:gd name="connsiteY1" fmla="*/ 476507 h 495575"/>
              <a:gd name="connsiteX2" fmla="*/ 120874 w 120874"/>
              <a:gd name="connsiteY2" fmla="*/ 0 h 495575"/>
              <a:gd name="connsiteX3" fmla="*/ 0 w 120874"/>
              <a:gd name="connsiteY3" fmla="*/ 117329 h 495575"/>
              <a:gd name="connsiteX4" fmla="*/ 7145 w 120874"/>
              <a:gd name="connsiteY4" fmla="*/ 495575 h 495575"/>
              <a:gd name="connsiteX0" fmla="*/ 7145 w 120874"/>
              <a:gd name="connsiteY0" fmla="*/ 495575 h 495575"/>
              <a:gd name="connsiteX1" fmla="*/ 120873 w 120874"/>
              <a:gd name="connsiteY1" fmla="*/ 394987 h 495575"/>
              <a:gd name="connsiteX2" fmla="*/ 120874 w 120874"/>
              <a:gd name="connsiteY2" fmla="*/ 0 h 495575"/>
              <a:gd name="connsiteX3" fmla="*/ 0 w 120874"/>
              <a:gd name="connsiteY3" fmla="*/ 117329 h 495575"/>
              <a:gd name="connsiteX4" fmla="*/ 7145 w 120874"/>
              <a:gd name="connsiteY4" fmla="*/ 495575 h 4955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0874" h="495575">
                <a:moveTo>
                  <a:pt x="7145" y="495575"/>
                </a:moveTo>
                <a:cubicBezTo>
                  <a:pt x="44329" y="465065"/>
                  <a:pt x="83689" y="425497"/>
                  <a:pt x="120873" y="394987"/>
                </a:cubicBezTo>
                <a:cubicBezTo>
                  <a:pt x="120873" y="352082"/>
                  <a:pt x="120874" y="42905"/>
                  <a:pt x="120874" y="0"/>
                </a:cubicBezTo>
                <a:cubicBezTo>
                  <a:pt x="83689" y="35278"/>
                  <a:pt x="37185" y="82051"/>
                  <a:pt x="0" y="117329"/>
                </a:cubicBezTo>
                <a:cubicBezTo>
                  <a:pt x="954" y="149746"/>
                  <a:pt x="6191" y="463158"/>
                  <a:pt x="7145" y="495575"/>
                </a:cubicBezTo>
                <a:close/>
              </a:path>
            </a:pathLst>
          </a:custGeom>
          <a:solidFill>
            <a:schemeClr val="accent1">
              <a:lumMod val="40000"/>
              <a:lumOff val="60000"/>
            </a:schemeClr>
          </a:solidFill>
          <a:ln w="127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0240" name="Freeform 10239"/>
          <xdr:cNvSpPr/>
        </xdr:nvSpPr>
        <xdr:spPr>
          <a:xfrm>
            <a:off x="4562474" y="7249898"/>
            <a:ext cx="2020888" cy="5257061"/>
          </a:xfrm>
          <a:custGeom>
            <a:avLst/>
            <a:gdLst>
              <a:gd name="connsiteX0" fmla="*/ 0 w 2019300"/>
              <a:gd name="connsiteY0" fmla="*/ 1123950 h 5953125"/>
              <a:gd name="connsiteX1" fmla="*/ 209550 w 2019300"/>
              <a:gd name="connsiteY1" fmla="*/ 1047750 h 5953125"/>
              <a:gd name="connsiteX2" fmla="*/ 1857375 w 2019300"/>
              <a:gd name="connsiteY2" fmla="*/ 142875 h 5953125"/>
              <a:gd name="connsiteX3" fmla="*/ 2009775 w 2019300"/>
              <a:gd name="connsiteY3" fmla="*/ 0 h 5953125"/>
              <a:gd name="connsiteX4" fmla="*/ 2019300 w 2019300"/>
              <a:gd name="connsiteY4" fmla="*/ 4791075 h 5953125"/>
              <a:gd name="connsiteX5" fmla="*/ 1876425 w 2019300"/>
              <a:gd name="connsiteY5" fmla="*/ 4914900 h 5953125"/>
              <a:gd name="connsiteX6" fmla="*/ 238125 w 2019300"/>
              <a:gd name="connsiteY6" fmla="*/ 5848350 h 5953125"/>
              <a:gd name="connsiteX7" fmla="*/ 9525 w 2019300"/>
              <a:gd name="connsiteY7" fmla="*/ 5953125 h 5953125"/>
              <a:gd name="connsiteX8" fmla="*/ 0 w 2019300"/>
              <a:gd name="connsiteY8" fmla="*/ 1123950 h 5953125"/>
              <a:gd name="connsiteX0" fmla="*/ 0 w 2019300"/>
              <a:gd name="connsiteY0" fmla="*/ 1123950 h 5953125"/>
              <a:gd name="connsiteX1" fmla="*/ 209550 w 2019300"/>
              <a:gd name="connsiteY1" fmla="*/ 1047750 h 5953125"/>
              <a:gd name="connsiteX2" fmla="*/ 1857375 w 2019300"/>
              <a:gd name="connsiteY2" fmla="*/ 142875 h 5953125"/>
              <a:gd name="connsiteX3" fmla="*/ 2009775 w 2019300"/>
              <a:gd name="connsiteY3" fmla="*/ 0 h 5953125"/>
              <a:gd name="connsiteX4" fmla="*/ 2019300 w 2019300"/>
              <a:gd name="connsiteY4" fmla="*/ 4791075 h 5953125"/>
              <a:gd name="connsiteX5" fmla="*/ 1876425 w 2019300"/>
              <a:gd name="connsiteY5" fmla="*/ 4914900 h 5953125"/>
              <a:gd name="connsiteX6" fmla="*/ 238125 w 2019300"/>
              <a:gd name="connsiteY6" fmla="*/ 5895975 h 5953125"/>
              <a:gd name="connsiteX7" fmla="*/ 9525 w 2019300"/>
              <a:gd name="connsiteY7" fmla="*/ 5953125 h 5953125"/>
              <a:gd name="connsiteX8" fmla="*/ 0 w 2019300"/>
              <a:gd name="connsiteY8" fmla="*/ 1123950 h 5953125"/>
              <a:gd name="connsiteX0" fmla="*/ 0 w 2019300"/>
              <a:gd name="connsiteY0" fmla="*/ 1123950 h 5953125"/>
              <a:gd name="connsiteX1" fmla="*/ 209550 w 2019300"/>
              <a:gd name="connsiteY1" fmla="*/ 1047750 h 5953125"/>
              <a:gd name="connsiteX2" fmla="*/ 1857375 w 2019300"/>
              <a:gd name="connsiteY2" fmla="*/ 142875 h 5953125"/>
              <a:gd name="connsiteX3" fmla="*/ 2009775 w 2019300"/>
              <a:gd name="connsiteY3" fmla="*/ 0 h 5953125"/>
              <a:gd name="connsiteX4" fmla="*/ 2019300 w 2019300"/>
              <a:gd name="connsiteY4" fmla="*/ 4791075 h 5953125"/>
              <a:gd name="connsiteX5" fmla="*/ 1876425 w 2019300"/>
              <a:gd name="connsiteY5" fmla="*/ 4914900 h 5953125"/>
              <a:gd name="connsiteX6" fmla="*/ 238125 w 2019300"/>
              <a:gd name="connsiteY6" fmla="*/ 5886450 h 5953125"/>
              <a:gd name="connsiteX7" fmla="*/ 9525 w 2019300"/>
              <a:gd name="connsiteY7" fmla="*/ 5953125 h 5953125"/>
              <a:gd name="connsiteX8" fmla="*/ 0 w 2019300"/>
              <a:gd name="connsiteY8" fmla="*/ 1123950 h 5953125"/>
              <a:gd name="connsiteX0" fmla="*/ 0 w 2019300"/>
              <a:gd name="connsiteY0" fmla="*/ 1123950 h 5953125"/>
              <a:gd name="connsiteX1" fmla="*/ 209550 w 2019300"/>
              <a:gd name="connsiteY1" fmla="*/ 1047750 h 5953125"/>
              <a:gd name="connsiteX2" fmla="*/ 1857375 w 2019300"/>
              <a:gd name="connsiteY2" fmla="*/ 142875 h 5953125"/>
              <a:gd name="connsiteX3" fmla="*/ 2009775 w 2019300"/>
              <a:gd name="connsiteY3" fmla="*/ 0 h 5953125"/>
              <a:gd name="connsiteX4" fmla="*/ 2019300 w 2019300"/>
              <a:gd name="connsiteY4" fmla="*/ 4791075 h 5953125"/>
              <a:gd name="connsiteX5" fmla="*/ 1876425 w 2019300"/>
              <a:gd name="connsiteY5" fmla="*/ 4914900 h 5953125"/>
              <a:gd name="connsiteX6" fmla="*/ 228600 w 2019300"/>
              <a:gd name="connsiteY6" fmla="*/ 5895975 h 5953125"/>
              <a:gd name="connsiteX7" fmla="*/ 9525 w 2019300"/>
              <a:gd name="connsiteY7" fmla="*/ 5953125 h 5953125"/>
              <a:gd name="connsiteX8" fmla="*/ 0 w 2019300"/>
              <a:gd name="connsiteY8" fmla="*/ 1123950 h 5953125"/>
              <a:gd name="connsiteX0" fmla="*/ 0 w 2019300"/>
              <a:gd name="connsiteY0" fmla="*/ 1123950 h 5895975"/>
              <a:gd name="connsiteX1" fmla="*/ 209550 w 2019300"/>
              <a:gd name="connsiteY1" fmla="*/ 1047750 h 5895975"/>
              <a:gd name="connsiteX2" fmla="*/ 1857375 w 2019300"/>
              <a:gd name="connsiteY2" fmla="*/ 142875 h 5895975"/>
              <a:gd name="connsiteX3" fmla="*/ 2009775 w 2019300"/>
              <a:gd name="connsiteY3" fmla="*/ 0 h 5895975"/>
              <a:gd name="connsiteX4" fmla="*/ 2019300 w 2019300"/>
              <a:gd name="connsiteY4" fmla="*/ 4791075 h 5895975"/>
              <a:gd name="connsiteX5" fmla="*/ 1876425 w 2019300"/>
              <a:gd name="connsiteY5" fmla="*/ 4914900 h 5895975"/>
              <a:gd name="connsiteX6" fmla="*/ 228600 w 2019300"/>
              <a:gd name="connsiteY6" fmla="*/ 5895975 h 5895975"/>
              <a:gd name="connsiteX7" fmla="*/ 1606 w 2019300"/>
              <a:gd name="connsiteY7" fmla="*/ 5718303 h 5895975"/>
              <a:gd name="connsiteX8" fmla="*/ 0 w 2019300"/>
              <a:gd name="connsiteY8" fmla="*/ 1123950 h 5895975"/>
              <a:gd name="connsiteX0" fmla="*/ 0 w 2019300"/>
              <a:gd name="connsiteY0" fmla="*/ 1123950 h 5895975"/>
              <a:gd name="connsiteX1" fmla="*/ 209550 w 2019300"/>
              <a:gd name="connsiteY1" fmla="*/ 1047750 h 5895975"/>
              <a:gd name="connsiteX2" fmla="*/ 1857375 w 2019300"/>
              <a:gd name="connsiteY2" fmla="*/ 142875 h 5895975"/>
              <a:gd name="connsiteX3" fmla="*/ 2009775 w 2019300"/>
              <a:gd name="connsiteY3" fmla="*/ 0 h 5895975"/>
              <a:gd name="connsiteX4" fmla="*/ 2019300 w 2019300"/>
              <a:gd name="connsiteY4" fmla="*/ 4791075 h 5895975"/>
              <a:gd name="connsiteX5" fmla="*/ 1876425 w 2019300"/>
              <a:gd name="connsiteY5" fmla="*/ 4914900 h 5895975"/>
              <a:gd name="connsiteX6" fmla="*/ 228600 w 2019300"/>
              <a:gd name="connsiteY6" fmla="*/ 5895975 h 5895975"/>
              <a:gd name="connsiteX7" fmla="*/ 1606 w 2019300"/>
              <a:gd name="connsiteY7" fmla="*/ 5742595 h 5895975"/>
              <a:gd name="connsiteX8" fmla="*/ 0 w 2019300"/>
              <a:gd name="connsiteY8" fmla="*/ 1123950 h 5895975"/>
              <a:gd name="connsiteX0" fmla="*/ 0 w 2019300"/>
              <a:gd name="connsiteY0" fmla="*/ 1123950 h 5742595"/>
              <a:gd name="connsiteX1" fmla="*/ 209550 w 2019300"/>
              <a:gd name="connsiteY1" fmla="*/ 1047750 h 5742595"/>
              <a:gd name="connsiteX2" fmla="*/ 1857375 w 2019300"/>
              <a:gd name="connsiteY2" fmla="*/ 142875 h 5742595"/>
              <a:gd name="connsiteX3" fmla="*/ 2009775 w 2019300"/>
              <a:gd name="connsiteY3" fmla="*/ 0 h 5742595"/>
              <a:gd name="connsiteX4" fmla="*/ 2019300 w 2019300"/>
              <a:gd name="connsiteY4" fmla="*/ 4791075 h 5742595"/>
              <a:gd name="connsiteX5" fmla="*/ 1876425 w 2019300"/>
              <a:gd name="connsiteY5" fmla="*/ 4914900 h 5742595"/>
              <a:gd name="connsiteX6" fmla="*/ 228600 w 2019300"/>
              <a:gd name="connsiteY6" fmla="*/ 5701640 h 5742595"/>
              <a:gd name="connsiteX7" fmla="*/ 1606 w 2019300"/>
              <a:gd name="connsiteY7" fmla="*/ 5742595 h 5742595"/>
              <a:gd name="connsiteX8" fmla="*/ 0 w 2019300"/>
              <a:gd name="connsiteY8" fmla="*/ 1123950 h 5742595"/>
              <a:gd name="connsiteX0" fmla="*/ 0 w 2019300"/>
              <a:gd name="connsiteY0" fmla="*/ 1123950 h 5742595"/>
              <a:gd name="connsiteX1" fmla="*/ 209550 w 2019300"/>
              <a:gd name="connsiteY1" fmla="*/ 1047750 h 5742595"/>
              <a:gd name="connsiteX2" fmla="*/ 1857375 w 2019300"/>
              <a:gd name="connsiteY2" fmla="*/ 142875 h 5742595"/>
              <a:gd name="connsiteX3" fmla="*/ 2009775 w 2019300"/>
              <a:gd name="connsiteY3" fmla="*/ 0 h 5742595"/>
              <a:gd name="connsiteX4" fmla="*/ 2019300 w 2019300"/>
              <a:gd name="connsiteY4" fmla="*/ 4791075 h 5742595"/>
              <a:gd name="connsiteX5" fmla="*/ 1876425 w 2019300"/>
              <a:gd name="connsiteY5" fmla="*/ 4744857 h 5742595"/>
              <a:gd name="connsiteX6" fmla="*/ 228600 w 2019300"/>
              <a:gd name="connsiteY6" fmla="*/ 5701640 h 5742595"/>
              <a:gd name="connsiteX7" fmla="*/ 1606 w 2019300"/>
              <a:gd name="connsiteY7" fmla="*/ 5742595 h 5742595"/>
              <a:gd name="connsiteX8" fmla="*/ 0 w 2019300"/>
              <a:gd name="connsiteY8" fmla="*/ 1123950 h 5742595"/>
              <a:gd name="connsiteX0" fmla="*/ 0 w 2011382"/>
              <a:gd name="connsiteY0" fmla="*/ 1123950 h 5742595"/>
              <a:gd name="connsiteX1" fmla="*/ 209550 w 2011382"/>
              <a:gd name="connsiteY1" fmla="*/ 1047750 h 5742595"/>
              <a:gd name="connsiteX2" fmla="*/ 1857375 w 2011382"/>
              <a:gd name="connsiteY2" fmla="*/ 142875 h 5742595"/>
              <a:gd name="connsiteX3" fmla="*/ 2009775 w 2011382"/>
              <a:gd name="connsiteY3" fmla="*/ 0 h 5742595"/>
              <a:gd name="connsiteX4" fmla="*/ 2011382 w 2011382"/>
              <a:gd name="connsiteY4" fmla="*/ 4621033 h 5742595"/>
              <a:gd name="connsiteX5" fmla="*/ 1876425 w 2011382"/>
              <a:gd name="connsiteY5" fmla="*/ 4744857 h 5742595"/>
              <a:gd name="connsiteX6" fmla="*/ 228600 w 2011382"/>
              <a:gd name="connsiteY6" fmla="*/ 5701640 h 5742595"/>
              <a:gd name="connsiteX7" fmla="*/ 1606 w 2011382"/>
              <a:gd name="connsiteY7" fmla="*/ 5742595 h 5742595"/>
              <a:gd name="connsiteX8" fmla="*/ 0 w 2011382"/>
              <a:gd name="connsiteY8" fmla="*/ 1123950 h 5742595"/>
              <a:gd name="connsiteX0" fmla="*/ 0 w 2011382"/>
              <a:gd name="connsiteY0" fmla="*/ 1302090 h 5742595"/>
              <a:gd name="connsiteX1" fmla="*/ 209550 w 2011382"/>
              <a:gd name="connsiteY1" fmla="*/ 1047750 h 5742595"/>
              <a:gd name="connsiteX2" fmla="*/ 1857375 w 2011382"/>
              <a:gd name="connsiteY2" fmla="*/ 142875 h 5742595"/>
              <a:gd name="connsiteX3" fmla="*/ 2009775 w 2011382"/>
              <a:gd name="connsiteY3" fmla="*/ 0 h 5742595"/>
              <a:gd name="connsiteX4" fmla="*/ 2011382 w 2011382"/>
              <a:gd name="connsiteY4" fmla="*/ 4621033 h 5742595"/>
              <a:gd name="connsiteX5" fmla="*/ 1876425 w 2011382"/>
              <a:gd name="connsiteY5" fmla="*/ 4744857 h 5742595"/>
              <a:gd name="connsiteX6" fmla="*/ 228600 w 2011382"/>
              <a:gd name="connsiteY6" fmla="*/ 5701640 h 5742595"/>
              <a:gd name="connsiteX7" fmla="*/ 1606 w 2011382"/>
              <a:gd name="connsiteY7" fmla="*/ 5742595 h 5742595"/>
              <a:gd name="connsiteX8" fmla="*/ 0 w 2011382"/>
              <a:gd name="connsiteY8" fmla="*/ 1302090 h 5742595"/>
              <a:gd name="connsiteX0" fmla="*/ 0 w 2011382"/>
              <a:gd name="connsiteY0" fmla="*/ 1342577 h 5742595"/>
              <a:gd name="connsiteX1" fmla="*/ 209550 w 2011382"/>
              <a:gd name="connsiteY1" fmla="*/ 1047750 h 5742595"/>
              <a:gd name="connsiteX2" fmla="*/ 1857375 w 2011382"/>
              <a:gd name="connsiteY2" fmla="*/ 142875 h 5742595"/>
              <a:gd name="connsiteX3" fmla="*/ 2009775 w 2011382"/>
              <a:gd name="connsiteY3" fmla="*/ 0 h 5742595"/>
              <a:gd name="connsiteX4" fmla="*/ 2011382 w 2011382"/>
              <a:gd name="connsiteY4" fmla="*/ 4621033 h 5742595"/>
              <a:gd name="connsiteX5" fmla="*/ 1876425 w 2011382"/>
              <a:gd name="connsiteY5" fmla="*/ 4744857 h 5742595"/>
              <a:gd name="connsiteX6" fmla="*/ 228600 w 2011382"/>
              <a:gd name="connsiteY6" fmla="*/ 5701640 h 5742595"/>
              <a:gd name="connsiteX7" fmla="*/ 1606 w 2011382"/>
              <a:gd name="connsiteY7" fmla="*/ 5742595 h 5742595"/>
              <a:gd name="connsiteX8" fmla="*/ 0 w 2011382"/>
              <a:gd name="connsiteY8" fmla="*/ 1342577 h 5742595"/>
              <a:gd name="connsiteX0" fmla="*/ 0 w 2011382"/>
              <a:gd name="connsiteY0" fmla="*/ 1342577 h 5742595"/>
              <a:gd name="connsiteX1" fmla="*/ 217468 w 2011382"/>
              <a:gd name="connsiteY1" fmla="*/ 1306864 h 5742595"/>
              <a:gd name="connsiteX2" fmla="*/ 1857375 w 2011382"/>
              <a:gd name="connsiteY2" fmla="*/ 142875 h 5742595"/>
              <a:gd name="connsiteX3" fmla="*/ 2009775 w 2011382"/>
              <a:gd name="connsiteY3" fmla="*/ 0 h 5742595"/>
              <a:gd name="connsiteX4" fmla="*/ 2011382 w 2011382"/>
              <a:gd name="connsiteY4" fmla="*/ 4621033 h 5742595"/>
              <a:gd name="connsiteX5" fmla="*/ 1876425 w 2011382"/>
              <a:gd name="connsiteY5" fmla="*/ 4744857 h 5742595"/>
              <a:gd name="connsiteX6" fmla="*/ 228600 w 2011382"/>
              <a:gd name="connsiteY6" fmla="*/ 5701640 h 5742595"/>
              <a:gd name="connsiteX7" fmla="*/ 1606 w 2011382"/>
              <a:gd name="connsiteY7" fmla="*/ 5742595 h 5742595"/>
              <a:gd name="connsiteX8" fmla="*/ 0 w 2011382"/>
              <a:gd name="connsiteY8" fmla="*/ 1342577 h 5742595"/>
              <a:gd name="connsiteX0" fmla="*/ 0 w 2011382"/>
              <a:gd name="connsiteY0" fmla="*/ 1342577 h 5742595"/>
              <a:gd name="connsiteX1" fmla="*/ 217468 w 2011382"/>
              <a:gd name="connsiteY1" fmla="*/ 1282572 h 5742595"/>
              <a:gd name="connsiteX2" fmla="*/ 1857375 w 2011382"/>
              <a:gd name="connsiteY2" fmla="*/ 142875 h 5742595"/>
              <a:gd name="connsiteX3" fmla="*/ 2009775 w 2011382"/>
              <a:gd name="connsiteY3" fmla="*/ 0 h 5742595"/>
              <a:gd name="connsiteX4" fmla="*/ 2011382 w 2011382"/>
              <a:gd name="connsiteY4" fmla="*/ 4621033 h 5742595"/>
              <a:gd name="connsiteX5" fmla="*/ 1876425 w 2011382"/>
              <a:gd name="connsiteY5" fmla="*/ 4744857 h 5742595"/>
              <a:gd name="connsiteX6" fmla="*/ 228600 w 2011382"/>
              <a:gd name="connsiteY6" fmla="*/ 5701640 h 5742595"/>
              <a:gd name="connsiteX7" fmla="*/ 1606 w 2011382"/>
              <a:gd name="connsiteY7" fmla="*/ 5742595 h 5742595"/>
              <a:gd name="connsiteX8" fmla="*/ 0 w 2011382"/>
              <a:gd name="connsiteY8" fmla="*/ 1342577 h 5742595"/>
              <a:gd name="connsiteX0" fmla="*/ 0 w 2011382"/>
              <a:gd name="connsiteY0" fmla="*/ 1342577 h 5742595"/>
              <a:gd name="connsiteX1" fmla="*/ 217468 w 2011382"/>
              <a:gd name="connsiteY1" fmla="*/ 1282572 h 5742595"/>
              <a:gd name="connsiteX2" fmla="*/ 1873213 w 2011382"/>
              <a:gd name="connsiteY2" fmla="*/ 401989 h 5742595"/>
              <a:gd name="connsiteX3" fmla="*/ 2009775 w 2011382"/>
              <a:gd name="connsiteY3" fmla="*/ 0 h 5742595"/>
              <a:gd name="connsiteX4" fmla="*/ 2011382 w 2011382"/>
              <a:gd name="connsiteY4" fmla="*/ 4621033 h 5742595"/>
              <a:gd name="connsiteX5" fmla="*/ 1876425 w 2011382"/>
              <a:gd name="connsiteY5" fmla="*/ 4744857 h 5742595"/>
              <a:gd name="connsiteX6" fmla="*/ 228600 w 2011382"/>
              <a:gd name="connsiteY6" fmla="*/ 5701640 h 5742595"/>
              <a:gd name="connsiteX7" fmla="*/ 1606 w 2011382"/>
              <a:gd name="connsiteY7" fmla="*/ 5742595 h 5742595"/>
              <a:gd name="connsiteX8" fmla="*/ 0 w 2011382"/>
              <a:gd name="connsiteY8" fmla="*/ 1342577 h 5742595"/>
              <a:gd name="connsiteX0" fmla="*/ 0 w 2011382"/>
              <a:gd name="connsiteY0" fmla="*/ 1115853 h 5515871"/>
              <a:gd name="connsiteX1" fmla="*/ 217468 w 2011382"/>
              <a:gd name="connsiteY1" fmla="*/ 1055848 h 5515871"/>
              <a:gd name="connsiteX2" fmla="*/ 1873213 w 2011382"/>
              <a:gd name="connsiteY2" fmla="*/ 175265 h 5515871"/>
              <a:gd name="connsiteX3" fmla="*/ 2009775 w 2011382"/>
              <a:gd name="connsiteY3" fmla="*/ 0 h 5515871"/>
              <a:gd name="connsiteX4" fmla="*/ 2011382 w 2011382"/>
              <a:gd name="connsiteY4" fmla="*/ 4394309 h 5515871"/>
              <a:gd name="connsiteX5" fmla="*/ 1876425 w 2011382"/>
              <a:gd name="connsiteY5" fmla="*/ 4518133 h 5515871"/>
              <a:gd name="connsiteX6" fmla="*/ 228600 w 2011382"/>
              <a:gd name="connsiteY6" fmla="*/ 5474916 h 5515871"/>
              <a:gd name="connsiteX7" fmla="*/ 1606 w 2011382"/>
              <a:gd name="connsiteY7" fmla="*/ 5515871 h 5515871"/>
              <a:gd name="connsiteX8" fmla="*/ 0 w 2011382"/>
              <a:gd name="connsiteY8" fmla="*/ 1115853 h 5515871"/>
              <a:gd name="connsiteX0" fmla="*/ 0 w 2011382"/>
              <a:gd name="connsiteY0" fmla="*/ 1115853 h 5515871"/>
              <a:gd name="connsiteX1" fmla="*/ 217468 w 2011382"/>
              <a:gd name="connsiteY1" fmla="*/ 1055848 h 5515871"/>
              <a:gd name="connsiteX2" fmla="*/ 1865294 w 2011382"/>
              <a:gd name="connsiteY2" fmla="*/ 150973 h 5515871"/>
              <a:gd name="connsiteX3" fmla="*/ 2009775 w 2011382"/>
              <a:gd name="connsiteY3" fmla="*/ 0 h 5515871"/>
              <a:gd name="connsiteX4" fmla="*/ 2011382 w 2011382"/>
              <a:gd name="connsiteY4" fmla="*/ 4394309 h 5515871"/>
              <a:gd name="connsiteX5" fmla="*/ 1876425 w 2011382"/>
              <a:gd name="connsiteY5" fmla="*/ 4518133 h 5515871"/>
              <a:gd name="connsiteX6" fmla="*/ 228600 w 2011382"/>
              <a:gd name="connsiteY6" fmla="*/ 5474916 h 5515871"/>
              <a:gd name="connsiteX7" fmla="*/ 1606 w 2011382"/>
              <a:gd name="connsiteY7" fmla="*/ 5515871 h 5515871"/>
              <a:gd name="connsiteX8" fmla="*/ 0 w 2011382"/>
              <a:gd name="connsiteY8" fmla="*/ 1115853 h 5515871"/>
              <a:gd name="connsiteX0" fmla="*/ 0 w 2020907"/>
              <a:gd name="connsiteY0" fmla="*/ 1145069 h 5515871"/>
              <a:gd name="connsiteX1" fmla="*/ 226993 w 2020907"/>
              <a:gd name="connsiteY1" fmla="*/ 1055848 h 5515871"/>
              <a:gd name="connsiteX2" fmla="*/ 1874819 w 2020907"/>
              <a:gd name="connsiteY2" fmla="*/ 150973 h 5515871"/>
              <a:gd name="connsiteX3" fmla="*/ 2019300 w 2020907"/>
              <a:gd name="connsiteY3" fmla="*/ 0 h 5515871"/>
              <a:gd name="connsiteX4" fmla="*/ 2020907 w 2020907"/>
              <a:gd name="connsiteY4" fmla="*/ 4394309 h 5515871"/>
              <a:gd name="connsiteX5" fmla="*/ 1885950 w 2020907"/>
              <a:gd name="connsiteY5" fmla="*/ 4518133 h 5515871"/>
              <a:gd name="connsiteX6" fmla="*/ 238125 w 2020907"/>
              <a:gd name="connsiteY6" fmla="*/ 5474916 h 5515871"/>
              <a:gd name="connsiteX7" fmla="*/ 11131 w 2020907"/>
              <a:gd name="connsiteY7" fmla="*/ 5515871 h 5515871"/>
              <a:gd name="connsiteX8" fmla="*/ 0 w 2020907"/>
              <a:gd name="connsiteY8" fmla="*/ 1145069 h 5515871"/>
              <a:gd name="connsiteX0" fmla="*/ 0 w 2020907"/>
              <a:gd name="connsiteY0" fmla="*/ 1145069 h 5515871"/>
              <a:gd name="connsiteX1" fmla="*/ 226993 w 2020907"/>
              <a:gd name="connsiteY1" fmla="*/ 1085063 h 5515871"/>
              <a:gd name="connsiteX2" fmla="*/ 1874819 w 2020907"/>
              <a:gd name="connsiteY2" fmla="*/ 150973 h 5515871"/>
              <a:gd name="connsiteX3" fmla="*/ 2019300 w 2020907"/>
              <a:gd name="connsiteY3" fmla="*/ 0 h 5515871"/>
              <a:gd name="connsiteX4" fmla="*/ 2020907 w 2020907"/>
              <a:gd name="connsiteY4" fmla="*/ 4394309 h 5515871"/>
              <a:gd name="connsiteX5" fmla="*/ 1885950 w 2020907"/>
              <a:gd name="connsiteY5" fmla="*/ 4518133 h 5515871"/>
              <a:gd name="connsiteX6" fmla="*/ 238125 w 2020907"/>
              <a:gd name="connsiteY6" fmla="*/ 5474916 h 5515871"/>
              <a:gd name="connsiteX7" fmla="*/ 11131 w 2020907"/>
              <a:gd name="connsiteY7" fmla="*/ 5515871 h 5515871"/>
              <a:gd name="connsiteX8" fmla="*/ 0 w 2020907"/>
              <a:gd name="connsiteY8" fmla="*/ 1145069 h 5515871"/>
              <a:gd name="connsiteX0" fmla="*/ 0 w 2020907"/>
              <a:gd name="connsiteY0" fmla="*/ 1232716 h 5515871"/>
              <a:gd name="connsiteX1" fmla="*/ 226993 w 2020907"/>
              <a:gd name="connsiteY1" fmla="*/ 1085063 h 5515871"/>
              <a:gd name="connsiteX2" fmla="*/ 1874819 w 2020907"/>
              <a:gd name="connsiteY2" fmla="*/ 150973 h 5515871"/>
              <a:gd name="connsiteX3" fmla="*/ 2019300 w 2020907"/>
              <a:gd name="connsiteY3" fmla="*/ 0 h 5515871"/>
              <a:gd name="connsiteX4" fmla="*/ 2020907 w 2020907"/>
              <a:gd name="connsiteY4" fmla="*/ 4394309 h 5515871"/>
              <a:gd name="connsiteX5" fmla="*/ 1885950 w 2020907"/>
              <a:gd name="connsiteY5" fmla="*/ 4518133 h 5515871"/>
              <a:gd name="connsiteX6" fmla="*/ 238125 w 2020907"/>
              <a:gd name="connsiteY6" fmla="*/ 5474916 h 5515871"/>
              <a:gd name="connsiteX7" fmla="*/ 11131 w 2020907"/>
              <a:gd name="connsiteY7" fmla="*/ 5515871 h 5515871"/>
              <a:gd name="connsiteX8" fmla="*/ 0 w 2020907"/>
              <a:gd name="connsiteY8" fmla="*/ 1232716 h 5515871"/>
              <a:gd name="connsiteX0" fmla="*/ 0 w 2020907"/>
              <a:gd name="connsiteY0" fmla="*/ 1232716 h 5515871"/>
              <a:gd name="connsiteX1" fmla="*/ 226993 w 2020907"/>
              <a:gd name="connsiteY1" fmla="*/ 1143494 h 5515871"/>
              <a:gd name="connsiteX2" fmla="*/ 1874819 w 2020907"/>
              <a:gd name="connsiteY2" fmla="*/ 150973 h 5515871"/>
              <a:gd name="connsiteX3" fmla="*/ 2019300 w 2020907"/>
              <a:gd name="connsiteY3" fmla="*/ 0 h 5515871"/>
              <a:gd name="connsiteX4" fmla="*/ 2020907 w 2020907"/>
              <a:gd name="connsiteY4" fmla="*/ 4394309 h 5515871"/>
              <a:gd name="connsiteX5" fmla="*/ 1885950 w 2020907"/>
              <a:gd name="connsiteY5" fmla="*/ 4518133 h 5515871"/>
              <a:gd name="connsiteX6" fmla="*/ 238125 w 2020907"/>
              <a:gd name="connsiteY6" fmla="*/ 5474916 h 5515871"/>
              <a:gd name="connsiteX7" fmla="*/ 11131 w 2020907"/>
              <a:gd name="connsiteY7" fmla="*/ 5515871 h 5515871"/>
              <a:gd name="connsiteX8" fmla="*/ 0 w 2020907"/>
              <a:gd name="connsiteY8" fmla="*/ 1232716 h 5515871"/>
              <a:gd name="connsiteX0" fmla="*/ 0 w 2020907"/>
              <a:gd name="connsiteY0" fmla="*/ 1232716 h 5515871"/>
              <a:gd name="connsiteX1" fmla="*/ 226993 w 2020907"/>
              <a:gd name="connsiteY1" fmla="*/ 1143494 h 5515871"/>
              <a:gd name="connsiteX2" fmla="*/ 1874819 w 2020907"/>
              <a:gd name="connsiteY2" fmla="*/ 219143 h 5515871"/>
              <a:gd name="connsiteX3" fmla="*/ 2019300 w 2020907"/>
              <a:gd name="connsiteY3" fmla="*/ 0 h 5515871"/>
              <a:gd name="connsiteX4" fmla="*/ 2020907 w 2020907"/>
              <a:gd name="connsiteY4" fmla="*/ 4394309 h 5515871"/>
              <a:gd name="connsiteX5" fmla="*/ 1885950 w 2020907"/>
              <a:gd name="connsiteY5" fmla="*/ 4518133 h 5515871"/>
              <a:gd name="connsiteX6" fmla="*/ 238125 w 2020907"/>
              <a:gd name="connsiteY6" fmla="*/ 5474916 h 5515871"/>
              <a:gd name="connsiteX7" fmla="*/ 11131 w 2020907"/>
              <a:gd name="connsiteY7" fmla="*/ 5515871 h 5515871"/>
              <a:gd name="connsiteX8" fmla="*/ 0 w 2020907"/>
              <a:gd name="connsiteY8" fmla="*/ 1232716 h 5515871"/>
              <a:gd name="connsiteX0" fmla="*/ 0 w 2020907"/>
              <a:gd name="connsiteY0" fmla="*/ 1106116 h 5389271"/>
              <a:gd name="connsiteX1" fmla="*/ 226993 w 2020907"/>
              <a:gd name="connsiteY1" fmla="*/ 1016894 h 5389271"/>
              <a:gd name="connsiteX2" fmla="*/ 1874819 w 2020907"/>
              <a:gd name="connsiteY2" fmla="*/ 92543 h 5389271"/>
              <a:gd name="connsiteX3" fmla="*/ 2019300 w 2020907"/>
              <a:gd name="connsiteY3" fmla="*/ 0 h 5389271"/>
              <a:gd name="connsiteX4" fmla="*/ 2020907 w 2020907"/>
              <a:gd name="connsiteY4" fmla="*/ 4267709 h 5389271"/>
              <a:gd name="connsiteX5" fmla="*/ 1885950 w 2020907"/>
              <a:gd name="connsiteY5" fmla="*/ 4391533 h 5389271"/>
              <a:gd name="connsiteX6" fmla="*/ 238125 w 2020907"/>
              <a:gd name="connsiteY6" fmla="*/ 5348316 h 5389271"/>
              <a:gd name="connsiteX7" fmla="*/ 11131 w 2020907"/>
              <a:gd name="connsiteY7" fmla="*/ 5389271 h 5389271"/>
              <a:gd name="connsiteX8" fmla="*/ 0 w 2020907"/>
              <a:gd name="connsiteY8" fmla="*/ 1106116 h 5389271"/>
              <a:gd name="connsiteX0" fmla="*/ 0 w 2020907"/>
              <a:gd name="connsiteY0" fmla="*/ 1135331 h 5418486"/>
              <a:gd name="connsiteX1" fmla="*/ 226993 w 2020907"/>
              <a:gd name="connsiteY1" fmla="*/ 1046109 h 5418486"/>
              <a:gd name="connsiteX2" fmla="*/ 1874819 w 2020907"/>
              <a:gd name="connsiteY2" fmla="*/ 121758 h 5418486"/>
              <a:gd name="connsiteX3" fmla="*/ 2019300 w 2020907"/>
              <a:gd name="connsiteY3" fmla="*/ 0 h 5418486"/>
              <a:gd name="connsiteX4" fmla="*/ 2020907 w 2020907"/>
              <a:gd name="connsiteY4" fmla="*/ 4296924 h 5418486"/>
              <a:gd name="connsiteX5" fmla="*/ 1885950 w 2020907"/>
              <a:gd name="connsiteY5" fmla="*/ 4420748 h 5418486"/>
              <a:gd name="connsiteX6" fmla="*/ 238125 w 2020907"/>
              <a:gd name="connsiteY6" fmla="*/ 5377531 h 5418486"/>
              <a:gd name="connsiteX7" fmla="*/ 11131 w 2020907"/>
              <a:gd name="connsiteY7" fmla="*/ 5418486 h 5418486"/>
              <a:gd name="connsiteX8" fmla="*/ 0 w 2020907"/>
              <a:gd name="connsiteY8" fmla="*/ 1135331 h 5418486"/>
              <a:gd name="connsiteX0" fmla="*/ 0 w 2020907"/>
              <a:gd name="connsiteY0" fmla="*/ 1092147 h 5375302"/>
              <a:gd name="connsiteX1" fmla="*/ 226993 w 2020907"/>
              <a:gd name="connsiteY1" fmla="*/ 1002925 h 5375302"/>
              <a:gd name="connsiteX2" fmla="*/ 1874819 w 2020907"/>
              <a:gd name="connsiteY2" fmla="*/ 78574 h 5375302"/>
              <a:gd name="connsiteX3" fmla="*/ 2005119 w 2020907"/>
              <a:gd name="connsiteY3" fmla="*/ 0 h 5375302"/>
              <a:gd name="connsiteX4" fmla="*/ 2020907 w 2020907"/>
              <a:gd name="connsiteY4" fmla="*/ 4253740 h 5375302"/>
              <a:gd name="connsiteX5" fmla="*/ 1885950 w 2020907"/>
              <a:gd name="connsiteY5" fmla="*/ 4377564 h 5375302"/>
              <a:gd name="connsiteX6" fmla="*/ 238125 w 2020907"/>
              <a:gd name="connsiteY6" fmla="*/ 5334347 h 5375302"/>
              <a:gd name="connsiteX7" fmla="*/ 11131 w 2020907"/>
              <a:gd name="connsiteY7" fmla="*/ 5375302 h 5375302"/>
              <a:gd name="connsiteX8" fmla="*/ 0 w 2020907"/>
              <a:gd name="connsiteY8" fmla="*/ 1092147 h 5375302"/>
              <a:gd name="connsiteX0" fmla="*/ 0 w 2020907"/>
              <a:gd name="connsiteY0" fmla="*/ 1092147 h 5375302"/>
              <a:gd name="connsiteX1" fmla="*/ 226993 w 2020907"/>
              <a:gd name="connsiteY1" fmla="*/ 1061361 h 5375302"/>
              <a:gd name="connsiteX2" fmla="*/ 1874819 w 2020907"/>
              <a:gd name="connsiteY2" fmla="*/ 78574 h 5375302"/>
              <a:gd name="connsiteX3" fmla="*/ 2005119 w 2020907"/>
              <a:gd name="connsiteY3" fmla="*/ 0 h 5375302"/>
              <a:gd name="connsiteX4" fmla="*/ 2020907 w 2020907"/>
              <a:gd name="connsiteY4" fmla="*/ 4253740 h 5375302"/>
              <a:gd name="connsiteX5" fmla="*/ 1885950 w 2020907"/>
              <a:gd name="connsiteY5" fmla="*/ 4377564 h 5375302"/>
              <a:gd name="connsiteX6" fmla="*/ 238125 w 2020907"/>
              <a:gd name="connsiteY6" fmla="*/ 5334347 h 5375302"/>
              <a:gd name="connsiteX7" fmla="*/ 11131 w 2020907"/>
              <a:gd name="connsiteY7" fmla="*/ 5375302 h 5375302"/>
              <a:gd name="connsiteX8" fmla="*/ 0 w 2020907"/>
              <a:gd name="connsiteY8" fmla="*/ 1092147 h 5375302"/>
              <a:gd name="connsiteX0" fmla="*/ 0 w 2020907"/>
              <a:gd name="connsiteY0" fmla="*/ 1131104 h 5375302"/>
              <a:gd name="connsiteX1" fmla="*/ 226993 w 2020907"/>
              <a:gd name="connsiteY1" fmla="*/ 1061361 h 5375302"/>
              <a:gd name="connsiteX2" fmla="*/ 1874819 w 2020907"/>
              <a:gd name="connsiteY2" fmla="*/ 78574 h 5375302"/>
              <a:gd name="connsiteX3" fmla="*/ 2005119 w 2020907"/>
              <a:gd name="connsiteY3" fmla="*/ 0 h 5375302"/>
              <a:gd name="connsiteX4" fmla="*/ 2020907 w 2020907"/>
              <a:gd name="connsiteY4" fmla="*/ 4253740 h 5375302"/>
              <a:gd name="connsiteX5" fmla="*/ 1885950 w 2020907"/>
              <a:gd name="connsiteY5" fmla="*/ 4377564 h 5375302"/>
              <a:gd name="connsiteX6" fmla="*/ 238125 w 2020907"/>
              <a:gd name="connsiteY6" fmla="*/ 5334347 h 5375302"/>
              <a:gd name="connsiteX7" fmla="*/ 11131 w 2020907"/>
              <a:gd name="connsiteY7" fmla="*/ 5375302 h 5375302"/>
              <a:gd name="connsiteX8" fmla="*/ 0 w 2020907"/>
              <a:gd name="connsiteY8" fmla="*/ 1131104 h 5375302"/>
              <a:gd name="connsiteX0" fmla="*/ 0 w 2020907"/>
              <a:gd name="connsiteY0" fmla="*/ 1131104 h 5375302"/>
              <a:gd name="connsiteX1" fmla="*/ 226993 w 2020907"/>
              <a:gd name="connsiteY1" fmla="*/ 1061361 h 5375302"/>
              <a:gd name="connsiteX2" fmla="*/ 1874819 w 2020907"/>
              <a:gd name="connsiteY2" fmla="*/ 107792 h 5375302"/>
              <a:gd name="connsiteX3" fmla="*/ 2005119 w 2020907"/>
              <a:gd name="connsiteY3" fmla="*/ 0 h 5375302"/>
              <a:gd name="connsiteX4" fmla="*/ 2020907 w 2020907"/>
              <a:gd name="connsiteY4" fmla="*/ 4253740 h 5375302"/>
              <a:gd name="connsiteX5" fmla="*/ 1885950 w 2020907"/>
              <a:gd name="connsiteY5" fmla="*/ 4377564 h 5375302"/>
              <a:gd name="connsiteX6" fmla="*/ 238125 w 2020907"/>
              <a:gd name="connsiteY6" fmla="*/ 5334347 h 5375302"/>
              <a:gd name="connsiteX7" fmla="*/ 11131 w 2020907"/>
              <a:gd name="connsiteY7" fmla="*/ 5375302 h 5375302"/>
              <a:gd name="connsiteX8" fmla="*/ 0 w 2020907"/>
              <a:gd name="connsiteY8" fmla="*/ 1131104 h 53753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020907" h="5375302">
                <a:moveTo>
                  <a:pt x="0" y="1131104"/>
                </a:moveTo>
                <a:lnTo>
                  <a:pt x="226993" y="1061361"/>
                </a:lnTo>
                <a:lnTo>
                  <a:pt x="1874819" y="107792"/>
                </a:lnTo>
                <a:lnTo>
                  <a:pt x="2005119" y="0"/>
                </a:lnTo>
                <a:cubicBezTo>
                  <a:pt x="2005655" y="1540344"/>
                  <a:pt x="2020371" y="2713396"/>
                  <a:pt x="2020907" y="4253740"/>
                </a:cubicBezTo>
                <a:lnTo>
                  <a:pt x="1885950" y="4377564"/>
                </a:lnTo>
                <a:lnTo>
                  <a:pt x="238125" y="5334347"/>
                </a:lnTo>
                <a:lnTo>
                  <a:pt x="11131" y="5375302"/>
                </a:lnTo>
                <a:cubicBezTo>
                  <a:pt x="10596" y="3843851"/>
                  <a:pt x="535" y="2662555"/>
                  <a:pt x="0" y="1131104"/>
                </a:cubicBezTo>
                <a:close/>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2" name="Straight Connector 221"/>
          <xdr:cNvCxnSpPr/>
        </xdr:nvCxnSpPr>
        <xdr:spPr>
          <a:xfrm flipH="1">
            <a:off x="6488526" y="10874742"/>
            <a:ext cx="401057" cy="233156"/>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265" name="Freeform 264"/>
          <xdr:cNvSpPr/>
        </xdr:nvSpPr>
        <xdr:spPr bwMode="auto">
          <a:xfrm>
            <a:off x="4581526" y="10998688"/>
            <a:ext cx="1993653" cy="1135892"/>
          </a:xfrm>
          <a:custGeom>
            <a:avLst/>
            <a:gdLst>
              <a:gd name="connsiteX0" fmla="*/ 0 w 1971675"/>
              <a:gd name="connsiteY0" fmla="*/ 1123950 h 1123950"/>
              <a:gd name="connsiteX1" fmla="*/ 1971675 w 1971675"/>
              <a:gd name="connsiteY1" fmla="*/ 0 h 1123950"/>
              <a:gd name="connsiteX2" fmla="*/ 1838325 w 1971675"/>
              <a:gd name="connsiteY2" fmla="*/ 123825 h 1123950"/>
              <a:gd name="connsiteX3" fmla="*/ 209550 w 1971675"/>
              <a:gd name="connsiteY3" fmla="*/ 1057275 h 1123950"/>
              <a:gd name="connsiteX4" fmla="*/ 0 w 1971675"/>
              <a:gd name="connsiteY4" fmla="*/ 1123950 h 1123950"/>
              <a:gd name="connsiteX0" fmla="*/ 0 w 1971675"/>
              <a:gd name="connsiteY0" fmla="*/ 1123950 h 1123950"/>
              <a:gd name="connsiteX1" fmla="*/ 1971675 w 1971675"/>
              <a:gd name="connsiteY1" fmla="*/ 0 h 1123950"/>
              <a:gd name="connsiteX2" fmla="*/ 1864082 w 1971675"/>
              <a:gd name="connsiteY2" fmla="*/ 109621 h 1123950"/>
              <a:gd name="connsiteX3" fmla="*/ 209550 w 1971675"/>
              <a:gd name="connsiteY3" fmla="*/ 1057275 h 1123950"/>
              <a:gd name="connsiteX4" fmla="*/ 0 w 1971675"/>
              <a:gd name="connsiteY4" fmla="*/ 1123950 h 1123950"/>
              <a:gd name="connsiteX0" fmla="*/ 0 w 1993623"/>
              <a:gd name="connsiteY0" fmla="*/ 1141130 h 1141130"/>
              <a:gd name="connsiteX1" fmla="*/ 1993623 w 1993623"/>
              <a:gd name="connsiteY1" fmla="*/ 0 h 1141130"/>
              <a:gd name="connsiteX2" fmla="*/ 1864082 w 1993623"/>
              <a:gd name="connsiteY2" fmla="*/ 126801 h 1141130"/>
              <a:gd name="connsiteX3" fmla="*/ 209550 w 1993623"/>
              <a:gd name="connsiteY3" fmla="*/ 1074455 h 1141130"/>
              <a:gd name="connsiteX4" fmla="*/ 0 w 1993623"/>
              <a:gd name="connsiteY4" fmla="*/ 1141130 h 1141130"/>
              <a:gd name="connsiteX0" fmla="*/ 0 w 1993623"/>
              <a:gd name="connsiteY0" fmla="*/ 1136221 h 1136221"/>
              <a:gd name="connsiteX1" fmla="*/ 1993623 w 1993623"/>
              <a:gd name="connsiteY1" fmla="*/ 0 h 1136221"/>
              <a:gd name="connsiteX2" fmla="*/ 1864082 w 1993623"/>
              <a:gd name="connsiteY2" fmla="*/ 121892 h 1136221"/>
              <a:gd name="connsiteX3" fmla="*/ 209550 w 1993623"/>
              <a:gd name="connsiteY3" fmla="*/ 1069546 h 1136221"/>
              <a:gd name="connsiteX4" fmla="*/ 0 w 1993623"/>
              <a:gd name="connsiteY4" fmla="*/ 1136221 h 113622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93623" h="1136221">
                <a:moveTo>
                  <a:pt x="0" y="1136221"/>
                </a:moveTo>
                <a:lnTo>
                  <a:pt x="1993623" y="0"/>
                </a:lnTo>
                <a:lnTo>
                  <a:pt x="1864082" y="121892"/>
                </a:lnTo>
                <a:lnTo>
                  <a:pt x="209550" y="1069546"/>
                </a:lnTo>
                <a:lnTo>
                  <a:pt x="0" y="1136221"/>
                </a:lnTo>
                <a:close/>
              </a:path>
            </a:pathLst>
          </a:custGeom>
          <a:solidFill>
            <a:schemeClr val="accent1">
              <a:lumMod val="20000"/>
              <a:lumOff val="80000"/>
            </a:schemeClr>
          </a:solid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35" name="AutoShape 474"/>
          <xdr:cNvSpPr>
            <a:spLocks/>
          </xdr:cNvSpPr>
        </xdr:nvSpPr>
        <xdr:spPr bwMode="auto">
          <a:xfrm flipH="1">
            <a:off x="3067047" y="12931775"/>
            <a:ext cx="2228851" cy="746125"/>
          </a:xfrm>
          <a:prstGeom prst="callout2">
            <a:avLst>
              <a:gd name="adj1" fmla="val 23317"/>
              <a:gd name="adj2" fmla="val -3262"/>
              <a:gd name="adj3" fmla="val 23316"/>
              <a:gd name="adj4" fmla="val -23765"/>
              <a:gd name="adj5" fmla="val -112183"/>
              <a:gd name="adj6" fmla="val -11283"/>
            </a:avLst>
          </a:prstGeom>
          <a:solidFill>
            <a:srgbClr val="FFFFFF"/>
          </a:solidFill>
          <a:ln w="12700">
            <a:solidFill>
              <a:srgbClr val="000000"/>
            </a:solidFill>
            <a:miter lim="800000"/>
            <a:headEnd/>
            <a:tailEnd type="triangle" w="lg" len="lg"/>
          </a:ln>
        </xdr:spPr>
        <xdr:txBody>
          <a:bodyPr wrap="square" lIns="0" tIns="32004" rIns="36576"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rtl="0">
              <a:defRPr sz="1000"/>
            </a:pPr>
            <a:r>
              <a:rPr lang="en-US" sz="1600" b="1" i="0" u="none" strike="noStrike" baseline="0">
                <a:solidFill>
                  <a:srgbClr val="000000"/>
                </a:solidFill>
                <a:latin typeface="Arial"/>
                <a:cs typeface="Arial"/>
              </a:rPr>
              <a:t>Aluminum Cell Sleeve Providing Channels for Air Flow </a:t>
            </a:r>
          </a:p>
        </xdr:txBody>
      </xdr:sp>
      <xdr:cxnSp macro="">
        <xdr:nvCxnSpPr>
          <xdr:cNvPr id="211" name="Straight Arrow Connector 210"/>
          <xdr:cNvCxnSpPr/>
        </xdr:nvCxnSpPr>
        <xdr:spPr>
          <a:xfrm flipH="1">
            <a:off x="6758882" y="10725150"/>
            <a:ext cx="1"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12" name="Straight Arrow Connector 211"/>
          <xdr:cNvCxnSpPr/>
        </xdr:nvCxnSpPr>
        <xdr:spPr>
          <a:xfrm flipH="1" flipV="1">
            <a:off x="6758882" y="10315575"/>
            <a:ext cx="2" cy="238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213" name="TextBox 212"/>
          <xdr:cNvSpPr txBox="1"/>
        </xdr:nvSpPr>
        <xdr:spPr>
          <a:xfrm>
            <a:off x="6606481" y="10487025"/>
            <a:ext cx="104775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̴10-20</a:t>
            </a:r>
            <a:r>
              <a:rPr lang="en-US" sz="1600" b="1" baseline="0"/>
              <a:t> mm</a:t>
            </a:r>
            <a:endParaRPr lang="en-US" sz="1600" b="1"/>
          </a:p>
        </xdr:txBody>
      </xdr:sp>
      <xdr:cxnSp macro="">
        <xdr:nvCxnSpPr>
          <xdr:cNvPr id="214" name="Straight Connector 213"/>
          <xdr:cNvCxnSpPr/>
        </xdr:nvCxnSpPr>
        <xdr:spPr>
          <a:xfrm flipH="1">
            <a:off x="6484658" y="10874742"/>
            <a:ext cx="401057" cy="23315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15" name="Straight Arrow Connector 214"/>
          <xdr:cNvCxnSpPr/>
        </xdr:nvCxnSpPr>
        <xdr:spPr>
          <a:xfrm flipH="1">
            <a:off x="6749357" y="11125200"/>
            <a:ext cx="1"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16" name="Straight Arrow Connector 215"/>
          <xdr:cNvCxnSpPr/>
        </xdr:nvCxnSpPr>
        <xdr:spPr>
          <a:xfrm flipH="1" flipV="1">
            <a:off x="6749357" y="10953750"/>
            <a:ext cx="2" cy="238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26" name="Straight Connector 225"/>
          <xdr:cNvCxnSpPr/>
        </xdr:nvCxnSpPr>
        <xdr:spPr>
          <a:xfrm flipH="1">
            <a:off x="6475133" y="11274792"/>
            <a:ext cx="401057" cy="233156"/>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21" name="TextBox 20"/>
          <xdr:cNvSpPr txBox="1"/>
        </xdr:nvSpPr>
        <xdr:spPr>
          <a:xfrm>
            <a:off x="7229475" y="1127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457200</xdr:colOff>
      <xdr:row>0</xdr:row>
      <xdr:rowOff>95250</xdr:rowOff>
    </xdr:from>
    <xdr:to>
      <xdr:col>14</xdr:col>
      <xdr:colOff>561975</xdr:colOff>
      <xdr:row>34</xdr:row>
      <xdr:rowOff>123825</xdr:rowOff>
    </xdr:to>
    <xdr:grpSp>
      <xdr:nvGrpSpPr>
        <xdr:cNvPr id="6" name="Group 5"/>
        <xdr:cNvGrpSpPr/>
      </xdr:nvGrpSpPr>
      <xdr:grpSpPr>
        <a:xfrm>
          <a:off x="457200" y="95250"/>
          <a:ext cx="8639175" cy="5534025"/>
          <a:chOff x="457200" y="95250"/>
          <a:chExt cx="8639175" cy="5534025"/>
        </a:xfrm>
      </xdr:grpSpPr>
      <xdr:sp macro="" textlink="">
        <xdr:nvSpPr>
          <xdr:cNvPr id="11265" name="Freeform 3"/>
          <xdr:cNvSpPr>
            <a:spLocks/>
          </xdr:cNvSpPr>
        </xdr:nvSpPr>
        <xdr:spPr bwMode="auto">
          <a:xfrm>
            <a:off x="3429000" y="1457325"/>
            <a:ext cx="2019300" cy="942975"/>
          </a:xfrm>
          <a:custGeom>
            <a:avLst/>
            <a:gdLst>
              <a:gd name="T0" fmla="*/ 0 w 182"/>
              <a:gd name="T1" fmla="*/ 2147483647 h 84"/>
              <a:gd name="T2" fmla="*/ 2147483647 w 182"/>
              <a:gd name="T3" fmla="*/ 2147483647 h 84"/>
              <a:gd name="T4" fmla="*/ 2147483647 w 182"/>
              <a:gd name="T5" fmla="*/ 2147483647 h 84"/>
              <a:gd name="T6" fmla="*/ 2147483647 w 182"/>
              <a:gd name="T7" fmla="*/ 2147483647 h 84"/>
              <a:gd name="T8" fmla="*/ 2147483647 w 182"/>
              <a:gd name="T9" fmla="*/ 0 h 84"/>
              <a:gd name="T10" fmla="*/ 2147483647 w 182"/>
              <a:gd name="T11" fmla="*/ 0 h 84"/>
              <a:gd name="T12" fmla="*/ 2147483647 w 182"/>
              <a:gd name="T13" fmla="*/ 2147483647 h 84"/>
              <a:gd name="T14" fmla="*/ 2147483647 w 182"/>
              <a:gd name="T15" fmla="*/ 2147483647 h 84"/>
              <a:gd name="T16" fmla="*/ 0 w 182"/>
              <a:gd name="T17" fmla="*/ 2147483647 h 8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2"/>
              <a:gd name="T28" fmla="*/ 0 h 84"/>
              <a:gd name="T29" fmla="*/ 182 w 182"/>
              <a:gd name="T30" fmla="*/ 84 h 8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2" h="84">
                <a:moveTo>
                  <a:pt x="0" y="83"/>
                </a:moveTo>
                <a:lnTo>
                  <a:pt x="1" y="64"/>
                </a:lnTo>
                <a:lnTo>
                  <a:pt x="59" y="6"/>
                </a:lnTo>
                <a:lnTo>
                  <a:pt x="77" y="2"/>
                </a:lnTo>
                <a:lnTo>
                  <a:pt x="105" y="0"/>
                </a:lnTo>
                <a:lnTo>
                  <a:pt x="151" y="0"/>
                </a:lnTo>
                <a:lnTo>
                  <a:pt x="182" y="2"/>
                </a:lnTo>
                <a:lnTo>
                  <a:pt x="112" y="84"/>
                </a:lnTo>
                <a:lnTo>
                  <a:pt x="0" y="83"/>
                </a:lnTo>
                <a:close/>
              </a:path>
            </a:pathLst>
          </a:custGeom>
          <a:solidFill>
            <a:srgbClr val="FFFFFF"/>
          </a:solidFill>
          <a:ln w="9525">
            <a:noFill/>
            <a:round/>
            <a:headEnd/>
            <a:tailEnd/>
          </a:ln>
        </xdr:spPr>
      </xdr:sp>
      <xdr:sp macro="" textlink="">
        <xdr:nvSpPr>
          <xdr:cNvPr id="11266" name="AutoShape 4"/>
          <xdr:cNvSpPr>
            <a:spLocks noChangeArrowheads="1"/>
          </xdr:cNvSpPr>
        </xdr:nvSpPr>
        <xdr:spPr bwMode="auto">
          <a:xfrm>
            <a:off x="4419600" y="466725"/>
            <a:ext cx="3219450" cy="3314700"/>
          </a:xfrm>
          <a:prstGeom prst="roundRect">
            <a:avLst>
              <a:gd name="adj" fmla="val 7745"/>
            </a:avLst>
          </a:prstGeom>
          <a:solidFill>
            <a:srgbClr val="FFFFFF"/>
          </a:solidFill>
          <a:ln w="9525">
            <a:solidFill>
              <a:srgbClr val="000000"/>
            </a:solidFill>
            <a:round/>
            <a:headEnd/>
            <a:tailEnd/>
          </a:ln>
        </xdr:spPr>
      </xdr:sp>
      <xdr:sp macro="" textlink="">
        <xdr:nvSpPr>
          <xdr:cNvPr id="11267" name="Freeform 5"/>
          <xdr:cNvSpPr>
            <a:spLocks/>
          </xdr:cNvSpPr>
        </xdr:nvSpPr>
        <xdr:spPr bwMode="auto">
          <a:xfrm>
            <a:off x="2657475" y="523875"/>
            <a:ext cx="1847850" cy="1866900"/>
          </a:xfrm>
          <a:custGeom>
            <a:avLst/>
            <a:gdLst>
              <a:gd name="T0" fmla="*/ 0 w 167"/>
              <a:gd name="T1" fmla="*/ 2147483647 h 166"/>
              <a:gd name="T2" fmla="*/ 2147483647 w 167"/>
              <a:gd name="T3" fmla="*/ 0 h 166"/>
              <a:gd name="T4" fmla="*/ 0 60000 65536"/>
              <a:gd name="T5" fmla="*/ 0 60000 65536"/>
              <a:gd name="T6" fmla="*/ 0 w 167"/>
              <a:gd name="T7" fmla="*/ 0 h 166"/>
              <a:gd name="T8" fmla="*/ 167 w 167"/>
              <a:gd name="T9" fmla="*/ 166 h 166"/>
            </a:gdLst>
            <a:ahLst/>
            <a:cxnLst>
              <a:cxn ang="T4">
                <a:pos x="T0" y="T1"/>
              </a:cxn>
              <a:cxn ang="T5">
                <a:pos x="T2" y="T3"/>
              </a:cxn>
            </a:cxnLst>
            <a:rect l="T6" t="T7" r="T8" b="T9"/>
            <a:pathLst>
              <a:path w="167" h="166">
                <a:moveTo>
                  <a:pt x="0" y="166"/>
                </a:moveTo>
                <a:lnTo>
                  <a:pt x="167" y="0"/>
                </a:lnTo>
              </a:path>
            </a:pathLst>
          </a:custGeom>
          <a:noFill/>
          <a:ln w="9525">
            <a:solidFill>
              <a:srgbClr val="000000"/>
            </a:solidFill>
            <a:round/>
            <a:headEnd/>
            <a:tailEnd/>
          </a:ln>
        </xdr:spPr>
      </xdr:sp>
      <xdr:sp macro="" textlink="">
        <xdr:nvSpPr>
          <xdr:cNvPr id="11268" name="Freeform 6"/>
          <xdr:cNvSpPr>
            <a:spLocks/>
          </xdr:cNvSpPr>
        </xdr:nvSpPr>
        <xdr:spPr bwMode="auto">
          <a:xfrm>
            <a:off x="5743575" y="3714750"/>
            <a:ext cx="1828800" cy="1828800"/>
          </a:xfrm>
          <a:custGeom>
            <a:avLst/>
            <a:gdLst>
              <a:gd name="T0" fmla="*/ 0 w 165"/>
              <a:gd name="T1" fmla="*/ 2147483647 h 163"/>
              <a:gd name="T2" fmla="*/ 2147483647 w 165"/>
              <a:gd name="T3" fmla="*/ 0 h 163"/>
              <a:gd name="T4" fmla="*/ 0 60000 65536"/>
              <a:gd name="T5" fmla="*/ 0 60000 65536"/>
              <a:gd name="T6" fmla="*/ 0 w 165"/>
              <a:gd name="T7" fmla="*/ 0 h 163"/>
              <a:gd name="T8" fmla="*/ 165 w 165"/>
              <a:gd name="T9" fmla="*/ 163 h 163"/>
            </a:gdLst>
            <a:ahLst/>
            <a:cxnLst>
              <a:cxn ang="T4">
                <a:pos x="T0" y="T1"/>
              </a:cxn>
              <a:cxn ang="T5">
                <a:pos x="T2" y="T3"/>
              </a:cxn>
            </a:cxnLst>
            <a:rect l="T6" t="T7" r="T8" b="T9"/>
            <a:pathLst>
              <a:path w="165" h="163">
                <a:moveTo>
                  <a:pt x="0" y="163"/>
                </a:moveTo>
                <a:lnTo>
                  <a:pt x="165" y="0"/>
                </a:lnTo>
              </a:path>
            </a:pathLst>
          </a:custGeom>
          <a:noFill/>
          <a:ln w="9525">
            <a:solidFill>
              <a:srgbClr val="000000"/>
            </a:solidFill>
            <a:round/>
            <a:headEnd/>
            <a:tailEnd/>
          </a:ln>
        </xdr:spPr>
      </xdr:sp>
      <xdr:sp macro="" textlink="">
        <xdr:nvSpPr>
          <xdr:cNvPr id="11269" name="AutoShape 7"/>
          <xdr:cNvSpPr>
            <a:spLocks noChangeArrowheads="1"/>
          </xdr:cNvSpPr>
        </xdr:nvSpPr>
        <xdr:spPr bwMode="auto">
          <a:xfrm>
            <a:off x="4476750" y="400050"/>
            <a:ext cx="3219450" cy="3314700"/>
          </a:xfrm>
          <a:prstGeom prst="roundRect">
            <a:avLst>
              <a:gd name="adj" fmla="val 7745"/>
            </a:avLst>
          </a:prstGeom>
          <a:solidFill>
            <a:srgbClr val="66FFCC"/>
          </a:solidFill>
          <a:ln w="19050">
            <a:solidFill>
              <a:srgbClr val="000000"/>
            </a:solidFill>
            <a:round/>
            <a:headEnd/>
            <a:tailEnd/>
          </a:ln>
        </xdr:spPr>
      </xdr:sp>
      <xdr:sp macro="" textlink="">
        <xdr:nvSpPr>
          <xdr:cNvPr id="11270" name="Freeform 8"/>
          <xdr:cNvSpPr>
            <a:spLocks/>
          </xdr:cNvSpPr>
        </xdr:nvSpPr>
        <xdr:spPr bwMode="auto">
          <a:xfrm>
            <a:off x="2914650" y="1809750"/>
            <a:ext cx="2266950" cy="2066925"/>
          </a:xfrm>
          <a:custGeom>
            <a:avLst/>
            <a:gdLst>
              <a:gd name="T0" fmla="*/ 0 w 205"/>
              <a:gd name="T1" fmla="*/ 2147483647 h 184"/>
              <a:gd name="T2" fmla="*/ 2147483647 w 205"/>
              <a:gd name="T3" fmla="*/ 0 h 184"/>
              <a:gd name="T4" fmla="*/ 2147483647 w 205"/>
              <a:gd name="T5" fmla="*/ 0 h 184"/>
              <a:gd name="T6" fmla="*/ 2147483647 w 205"/>
              <a:gd name="T7" fmla="*/ 2147483647 h 184"/>
              <a:gd name="T8" fmla="*/ 0 w 205"/>
              <a:gd name="T9" fmla="*/ 2147483647 h 184"/>
              <a:gd name="T10" fmla="*/ 0 60000 65536"/>
              <a:gd name="T11" fmla="*/ 0 60000 65536"/>
              <a:gd name="T12" fmla="*/ 0 60000 65536"/>
              <a:gd name="T13" fmla="*/ 0 60000 65536"/>
              <a:gd name="T14" fmla="*/ 0 60000 65536"/>
              <a:gd name="T15" fmla="*/ 0 w 205"/>
              <a:gd name="T16" fmla="*/ 0 h 184"/>
              <a:gd name="T17" fmla="*/ 205 w 205"/>
              <a:gd name="T18" fmla="*/ 184 h 184"/>
            </a:gdLst>
            <a:ahLst/>
            <a:cxnLst>
              <a:cxn ang="T10">
                <a:pos x="T0" y="T1"/>
              </a:cxn>
              <a:cxn ang="T11">
                <a:pos x="T2" y="T3"/>
              </a:cxn>
              <a:cxn ang="T12">
                <a:pos x="T4" y="T5"/>
              </a:cxn>
              <a:cxn ang="T13">
                <a:pos x="T6" y="T7"/>
              </a:cxn>
              <a:cxn ang="T14">
                <a:pos x="T8" y="T9"/>
              </a:cxn>
            </a:cxnLst>
            <a:rect l="T15" t="T16" r="T17" b="T18"/>
            <a:pathLst>
              <a:path w="205" h="184">
                <a:moveTo>
                  <a:pt x="0" y="183"/>
                </a:moveTo>
                <a:lnTo>
                  <a:pt x="183" y="0"/>
                </a:lnTo>
                <a:lnTo>
                  <a:pt x="205" y="0"/>
                </a:lnTo>
                <a:lnTo>
                  <a:pt x="23" y="184"/>
                </a:lnTo>
                <a:lnTo>
                  <a:pt x="0" y="183"/>
                </a:lnTo>
                <a:close/>
              </a:path>
            </a:pathLst>
          </a:custGeom>
          <a:solidFill>
            <a:srgbClr val="FFFFFF"/>
          </a:solidFill>
          <a:ln w="9525">
            <a:solidFill>
              <a:srgbClr val="000000"/>
            </a:solidFill>
            <a:round/>
            <a:headEnd/>
            <a:tailEnd/>
          </a:ln>
        </xdr:spPr>
      </xdr:sp>
      <xdr:sp macro="" textlink="">
        <xdr:nvSpPr>
          <xdr:cNvPr id="11271" name="Freeform 9"/>
          <xdr:cNvSpPr>
            <a:spLocks/>
          </xdr:cNvSpPr>
        </xdr:nvSpPr>
        <xdr:spPr bwMode="auto">
          <a:xfrm>
            <a:off x="3267075" y="1809750"/>
            <a:ext cx="2266950" cy="2066925"/>
          </a:xfrm>
          <a:custGeom>
            <a:avLst/>
            <a:gdLst>
              <a:gd name="T0" fmla="*/ 0 w 205"/>
              <a:gd name="T1" fmla="*/ 2147483647 h 184"/>
              <a:gd name="T2" fmla="*/ 2147483647 w 205"/>
              <a:gd name="T3" fmla="*/ 0 h 184"/>
              <a:gd name="T4" fmla="*/ 2147483647 w 205"/>
              <a:gd name="T5" fmla="*/ 0 h 184"/>
              <a:gd name="T6" fmla="*/ 2147483647 w 205"/>
              <a:gd name="T7" fmla="*/ 2147483647 h 184"/>
              <a:gd name="T8" fmla="*/ 0 w 205"/>
              <a:gd name="T9" fmla="*/ 2147483647 h 184"/>
              <a:gd name="T10" fmla="*/ 0 60000 65536"/>
              <a:gd name="T11" fmla="*/ 0 60000 65536"/>
              <a:gd name="T12" fmla="*/ 0 60000 65536"/>
              <a:gd name="T13" fmla="*/ 0 60000 65536"/>
              <a:gd name="T14" fmla="*/ 0 60000 65536"/>
              <a:gd name="T15" fmla="*/ 0 w 205"/>
              <a:gd name="T16" fmla="*/ 0 h 184"/>
              <a:gd name="T17" fmla="*/ 205 w 205"/>
              <a:gd name="T18" fmla="*/ 184 h 184"/>
            </a:gdLst>
            <a:ahLst/>
            <a:cxnLst>
              <a:cxn ang="T10">
                <a:pos x="T0" y="T1"/>
              </a:cxn>
              <a:cxn ang="T11">
                <a:pos x="T2" y="T3"/>
              </a:cxn>
              <a:cxn ang="T12">
                <a:pos x="T4" y="T5"/>
              </a:cxn>
              <a:cxn ang="T13">
                <a:pos x="T6" y="T7"/>
              </a:cxn>
              <a:cxn ang="T14">
                <a:pos x="T8" y="T9"/>
              </a:cxn>
            </a:cxnLst>
            <a:rect l="T15" t="T16" r="T17" b="T18"/>
            <a:pathLst>
              <a:path w="205" h="184">
                <a:moveTo>
                  <a:pt x="0" y="183"/>
                </a:moveTo>
                <a:lnTo>
                  <a:pt x="183" y="0"/>
                </a:lnTo>
                <a:lnTo>
                  <a:pt x="205" y="0"/>
                </a:lnTo>
                <a:lnTo>
                  <a:pt x="23" y="184"/>
                </a:lnTo>
                <a:lnTo>
                  <a:pt x="0" y="183"/>
                </a:lnTo>
                <a:close/>
              </a:path>
            </a:pathLst>
          </a:custGeom>
          <a:solidFill>
            <a:srgbClr val="FFFFFF"/>
          </a:solidFill>
          <a:ln w="9525">
            <a:solidFill>
              <a:srgbClr val="000000"/>
            </a:solidFill>
            <a:round/>
            <a:headEnd/>
            <a:tailEnd/>
          </a:ln>
        </xdr:spPr>
      </xdr:sp>
      <xdr:sp macro="" textlink="">
        <xdr:nvSpPr>
          <xdr:cNvPr id="11272" name="Freeform 10"/>
          <xdr:cNvSpPr>
            <a:spLocks/>
          </xdr:cNvSpPr>
        </xdr:nvSpPr>
        <xdr:spPr bwMode="auto">
          <a:xfrm>
            <a:off x="2686050" y="466725"/>
            <a:ext cx="4953000" cy="5048250"/>
          </a:xfrm>
          <a:custGeom>
            <a:avLst/>
            <a:gdLst>
              <a:gd name="T0" fmla="*/ 0 w 520"/>
              <a:gd name="T1" fmla="*/ 2147483647 h 530"/>
              <a:gd name="T2" fmla="*/ 2147483647 w 520"/>
              <a:gd name="T3" fmla="*/ 2147483647 h 530"/>
              <a:gd name="T4" fmla="*/ 2147483647 w 520"/>
              <a:gd name="T5" fmla="*/ 2147483647 h 530"/>
              <a:gd name="T6" fmla="*/ 2147483647 w 520"/>
              <a:gd name="T7" fmla="*/ 2147483647 h 530"/>
              <a:gd name="T8" fmla="*/ 2147483647 w 520"/>
              <a:gd name="T9" fmla="*/ 2147483647 h 530"/>
              <a:gd name="T10" fmla="*/ 2147483647 w 520"/>
              <a:gd name="T11" fmla="*/ 2147483647 h 530"/>
              <a:gd name="T12" fmla="*/ 2147483647 w 520"/>
              <a:gd name="T13" fmla="*/ 2147483647 h 530"/>
              <a:gd name="T14" fmla="*/ 2147483647 w 520"/>
              <a:gd name="T15" fmla="*/ 2147483647 h 530"/>
              <a:gd name="T16" fmla="*/ 2147483647 w 520"/>
              <a:gd name="T17" fmla="*/ 2147483647 h 530"/>
              <a:gd name="T18" fmla="*/ 2147483647 w 520"/>
              <a:gd name="T19" fmla="*/ 2147483647 h 530"/>
              <a:gd name="T20" fmla="*/ 2147483647 w 520"/>
              <a:gd name="T21" fmla="*/ 2147483647 h 530"/>
              <a:gd name="T22" fmla="*/ 2147483647 w 520"/>
              <a:gd name="T23" fmla="*/ 2147483647 h 530"/>
              <a:gd name="T24" fmla="*/ 2147483647 w 520"/>
              <a:gd name="T25" fmla="*/ 2147483647 h 530"/>
              <a:gd name="T26" fmla="*/ 2147483647 w 520"/>
              <a:gd name="T27" fmla="*/ 2147483647 h 530"/>
              <a:gd name="T28" fmla="*/ 2147483647 w 520"/>
              <a:gd name="T29" fmla="*/ 0 h 530"/>
              <a:gd name="T30" fmla="*/ 2147483647 w 520"/>
              <a:gd name="T31" fmla="*/ 0 h 530"/>
              <a:gd name="T32" fmla="*/ 2147483647 w 520"/>
              <a:gd name="T33" fmla="*/ 0 h 530"/>
              <a:gd name="T34" fmla="*/ 2147483647 w 520"/>
              <a:gd name="T35" fmla="*/ 0 h 530"/>
              <a:gd name="T36" fmla="*/ 2147483647 w 520"/>
              <a:gd name="T37" fmla="*/ 0 h 530"/>
              <a:gd name="T38" fmla="*/ 2147483647 w 520"/>
              <a:gd name="T39" fmla="*/ 2147483647 h 530"/>
              <a:gd name="T40" fmla="*/ 2147483647 w 520"/>
              <a:gd name="T41" fmla="*/ 2147483647 h 530"/>
              <a:gd name="T42" fmla="*/ 2147483647 w 520"/>
              <a:gd name="T43" fmla="*/ 2147483647 h 530"/>
              <a:gd name="T44" fmla="*/ 2147483647 w 520"/>
              <a:gd name="T45" fmla="*/ 2147483647 h 530"/>
              <a:gd name="T46" fmla="*/ 2147483647 w 520"/>
              <a:gd name="T47" fmla="*/ 2147483647 h 530"/>
              <a:gd name="T48" fmla="*/ 2147483647 w 520"/>
              <a:gd name="T49" fmla="*/ 2147483647 h 530"/>
              <a:gd name="T50" fmla="*/ 2147483647 w 520"/>
              <a:gd name="T51" fmla="*/ 2147483647 h 530"/>
              <a:gd name="T52" fmla="*/ 2147483647 w 520"/>
              <a:gd name="T53" fmla="*/ 2147483647 h 530"/>
              <a:gd name="T54" fmla="*/ 2147483647 w 520"/>
              <a:gd name="T55" fmla="*/ 2147483647 h 530"/>
              <a:gd name="T56" fmla="*/ 2147483647 w 520"/>
              <a:gd name="T57" fmla="*/ 2147483647 h 530"/>
              <a:gd name="T58" fmla="*/ 2147483647 w 520"/>
              <a:gd name="T59" fmla="*/ 2147483647 h 530"/>
              <a:gd name="T60" fmla="*/ 2147483647 w 520"/>
              <a:gd name="T61" fmla="*/ 2147483647 h 530"/>
              <a:gd name="T62" fmla="*/ 2147483647 w 520"/>
              <a:gd name="T63" fmla="*/ 2147483647 h 530"/>
              <a:gd name="T64" fmla="*/ 2147483647 w 520"/>
              <a:gd name="T65" fmla="*/ 2147483647 h 530"/>
              <a:gd name="T66" fmla="*/ 2147483647 w 520"/>
              <a:gd name="T67" fmla="*/ 2147483647 h 530"/>
              <a:gd name="T68" fmla="*/ 2147483647 w 520"/>
              <a:gd name="T69" fmla="*/ 2147483647 h 530"/>
              <a:gd name="T70" fmla="*/ 2147483647 w 520"/>
              <a:gd name="T71" fmla="*/ 2147483647 h 530"/>
              <a:gd name="T72" fmla="*/ 2147483647 w 520"/>
              <a:gd name="T73" fmla="*/ 2147483647 h 530"/>
              <a:gd name="T74" fmla="*/ 2147483647 w 520"/>
              <a:gd name="T75" fmla="*/ 2147483647 h 530"/>
              <a:gd name="T76" fmla="*/ 2147483647 w 520"/>
              <a:gd name="T77" fmla="*/ 2147483647 h 530"/>
              <a:gd name="T78" fmla="*/ 2147483647 w 520"/>
              <a:gd name="T79" fmla="*/ 2147483647 h 530"/>
              <a:gd name="T80" fmla="*/ 2147483647 w 520"/>
              <a:gd name="T81" fmla="*/ 2147483647 h 530"/>
              <a:gd name="T82" fmla="*/ 2147483647 w 520"/>
              <a:gd name="T83" fmla="*/ 2147483647 h 530"/>
              <a:gd name="T84" fmla="*/ 2147483647 w 520"/>
              <a:gd name="T85" fmla="*/ 2147483647 h 530"/>
              <a:gd name="T86" fmla="*/ 2147483647 w 520"/>
              <a:gd name="T87" fmla="*/ 2147483647 h 530"/>
              <a:gd name="T88" fmla="*/ 2147483647 w 520"/>
              <a:gd name="T89" fmla="*/ 2147483647 h 530"/>
              <a:gd name="T90" fmla="*/ 2147483647 w 520"/>
              <a:gd name="T91" fmla="*/ 2147483647 h 530"/>
              <a:gd name="T92" fmla="*/ 2147483647 w 520"/>
              <a:gd name="T93" fmla="*/ 2147483647 h 530"/>
              <a:gd name="T94" fmla="*/ 2147483647 w 520"/>
              <a:gd name="T95" fmla="*/ 2147483647 h 530"/>
              <a:gd name="T96" fmla="*/ 2147483647 w 520"/>
              <a:gd name="T97" fmla="*/ 2147483647 h 530"/>
              <a:gd name="T98" fmla="*/ 2147483647 w 520"/>
              <a:gd name="T99" fmla="*/ 2147483647 h 530"/>
              <a:gd name="T100" fmla="*/ 2147483647 w 520"/>
              <a:gd name="T101" fmla="*/ 2147483647 h 530"/>
              <a:gd name="T102" fmla="*/ 2147483647 w 520"/>
              <a:gd name="T103" fmla="*/ 2147483647 h 530"/>
              <a:gd name="T104" fmla="*/ 2147483647 w 520"/>
              <a:gd name="T105" fmla="*/ 2147483647 h 530"/>
              <a:gd name="T106" fmla="*/ 2147483647 w 520"/>
              <a:gd name="T107" fmla="*/ 2147483647 h 530"/>
              <a:gd name="T108" fmla="*/ 0 w 520"/>
              <a:gd name="T109" fmla="*/ 2147483647 h 530"/>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520"/>
              <a:gd name="T166" fmla="*/ 0 h 530"/>
              <a:gd name="T167" fmla="*/ 520 w 520"/>
              <a:gd name="T168" fmla="*/ 530 h 530"/>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520" h="530">
                <a:moveTo>
                  <a:pt x="0" y="243"/>
                </a:moveTo>
                <a:lnTo>
                  <a:pt x="51" y="229"/>
                </a:lnTo>
                <a:lnTo>
                  <a:pt x="14" y="211"/>
                </a:lnTo>
                <a:lnTo>
                  <a:pt x="6" y="194"/>
                </a:lnTo>
                <a:lnTo>
                  <a:pt x="19" y="181"/>
                </a:lnTo>
                <a:lnTo>
                  <a:pt x="28" y="171"/>
                </a:lnTo>
                <a:lnTo>
                  <a:pt x="60" y="138"/>
                </a:lnTo>
                <a:lnTo>
                  <a:pt x="90" y="109"/>
                </a:lnTo>
                <a:lnTo>
                  <a:pt x="111" y="87"/>
                </a:lnTo>
                <a:lnTo>
                  <a:pt x="128" y="70"/>
                </a:lnTo>
                <a:lnTo>
                  <a:pt x="152" y="45"/>
                </a:lnTo>
                <a:lnTo>
                  <a:pt x="168" y="30"/>
                </a:lnTo>
                <a:lnTo>
                  <a:pt x="178" y="19"/>
                </a:lnTo>
                <a:lnTo>
                  <a:pt x="191" y="6"/>
                </a:lnTo>
                <a:lnTo>
                  <a:pt x="202" y="0"/>
                </a:lnTo>
                <a:lnTo>
                  <a:pt x="219" y="0"/>
                </a:lnTo>
                <a:lnTo>
                  <a:pt x="337" y="0"/>
                </a:lnTo>
                <a:lnTo>
                  <a:pt x="449" y="0"/>
                </a:lnTo>
                <a:lnTo>
                  <a:pt x="494" y="0"/>
                </a:lnTo>
                <a:lnTo>
                  <a:pt x="506" y="4"/>
                </a:lnTo>
                <a:lnTo>
                  <a:pt x="513" y="11"/>
                </a:lnTo>
                <a:lnTo>
                  <a:pt x="518" y="17"/>
                </a:lnTo>
                <a:lnTo>
                  <a:pt x="520" y="25"/>
                </a:lnTo>
                <a:lnTo>
                  <a:pt x="520" y="76"/>
                </a:lnTo>
                <a:lnTo>
                  <a:pt x="520" y="205"/>
                </a:lnTo>
                <a:lnTo>
                  <a:pt x="520" y="297"/>
                </a:lnTo>
                <a:lnTo>
                  <a:pt x="520" y="315"/>
                </a:lnTo>
                <a:lnTo>
                  <a:pt x="519" y="331"/>
                </a:lnTo>
                <a:lnTo>
                  <a:pt x="512" y="342"/>
                </a:lnTo>
                <a:lnTo>
                  <a:pt x="506" y="348"/>
                </a:lnTo>
                <a:lnTo>
                  <a:pt x="419" y="437"/>
                </a:lnTo>
                <a:lnTo>
                  <a:pt x="380" y="473"/>
                </a:lnTo>
                <a:lnTo>
                  <a:pt x="368" y="486"/>
                </a:lnTo>
                <a:lnTo>
                  <a:pt x="359" y="495"/>
                </a:lnTo>
                <a:lnTo>
                  <a:pt x="323" y="530"/>
                </a:lnTo>
                <a:lnTo>
                  <a:pt x="222" y="522"/>
                </a:lnTo>
                <a:lnTo>
                  <a:pt x="197" y="503"/>
                </a:lnTo>
                <a:lnTo>
                  <a:pt x="168" y="438"/>
                </a:lnTo>
                <a:lnTo>
                  <a:pt x="168" y="404"/>
                </a:lnTo>
                <a:lnTo>
                  <a:pt x="168" y="380"/>
                </a:lnTo>
                <a:lnTo>
                  <a:pt x="165" y="369"/>
                </a:lnTo>
                <a:cubicBezTo>
                  <a:pt x="157" y="362"/>
                  <a:pt x="159" y="365"/>
                  <a:pt x="156" y="361"/>
                </a:cubicBezTo>
                <a:lnTo>
                  <a:pt x="149" y="356"/>
                </a:lnTo>
                <a:lnTo>
                  <a:pt x="140" y="358"/>
                </a:lnTo>
                <a:lnTo>
                  <a:pt x="130" y="355"/>
                </a:lnTo>
                <a:lnTo>
                  <a:pt x="115" y="356"/>
                </a:lnTo>
                <a:lnTo>
                  <a:pt x="91" y="356"/>
                </a:lnTo>
                <a:lnTo>
                  <a:pt x="29" y="356"/>
                </a:lnTo>
                <a:lnTo>
                  <a:pt x="40" y="367"/>
                </a:lnTo>
                <a:lnTo>
                  <a:pt x="29" y="362"/>
                </a:lnTo>
                <a:lnTo>
                  <a:pt x="9" y="346"/>
                </a:lnTo>
                <a:lnTo>
                  <a:pt x="6" y="326"/>
                </a:lnTo>
                <a:lnTo>
                  <a:pt x="1" y="332"/>
                </a:lnTo>
                <a:lnTo>
                  <a:pt x="8" y="319"/>
                </a:lnTo>
                <a:lnTo>
                  <a:pt x="0" y="243"/>
                </a:lnTo>
                <a:close/>
              </a:path>
            </a:pathLst>
          </a:custGeom>
          <a:gradFill rotWithShape="1">
            <a:gsLst>
              <a:gs pos="0">
                <a:srgbClr val="CCFFFF"/>
              </a:gs>
              <a:gs pos="100000">
                <a:srgbClr val="A6CAF0"/>
              </a:gs>
            </a:gsLst>
            <a:lin ang="5400000" scaled="1"/>
          </a:gradFill>
          <a:ln w="9525">
            <a:solidFill>
              <a:srgbClr val="000000"/>
            </a:solidFill>
            <a:round/>
            <a:headEnd/>
            <a:tailEnd/>
          </a:ln>
        </xdr:spPr>
      </xdr:sp>
      <xdr:sp macro="" textlink="">
        <xdr:nvSpPr>
          <xdr:cNvPr id="11273" name="AutoShape 11"/>
          <xdr:cNvSpPr>
            <a:spLocks noChangeArrowheads="1"/>
          </xdr:cNvSpPr>
        </xdr:nvSpPr>
        <xdr:spPr bwMode="auto">
          <a:xfrm>
            <a:off x="2971800" y="2428875"/>
            <a:ext cx="352425" cy="3057525"/>
          </a:xfrm>
          <a:prstGeom prst="roundRect">
            <a:avLst>
              <a:gd name="adj" fmla="val 16667"/>
            </a:avLst>
          </a:prstGeom>
          <a:solidFill>
            <a:srgbClr val="FFFFFF"/>
          </a:solidFill>
          <a:ln w="9525">
            <a:solidFill>
              <a:srgbClr val="000000"/>
            </a:solidFill>
            <a:round/>
            <a:headEnd/>
            <a:tailEnd/>
          </a:ln>
        </xdr:spPr>
      </xdr:sp>
      <xdr:grpSp>
        <xdr:nvGrpSpPr>
          <xdr:cNvPr id="11274" name="Group 12"/>
          <xdr:cNvGrpSpPr>
            <a:grpSpLocks/>
          </xdr:cNvGrpSpPr>
        </xdr:nvGrpSpPr>
        <xdr:grpSpPr bwMode="auto">
          <a:xfrm flipV="1">
            <a:off x="3009900" y="5486400"/>
            <a:ext cx="257175" cy="95250"/>
            <a:chOff x="146" y="875"/>
            <a:chExt cx="23" cy="9"/>
          </a:xfrm>
        </xdr:grpSpPr>
        <xdr:sp macro="" textlink="">
          <xdr:nvSpPr>
            <xdr:cNvPr id="11510" name="Line 13"/>
            <xdr:cNvSpPr>
              <a:spLocks noChangeShapeType="1"/>
            </xdr:cNvSpPr>
          </xdr:nvSpPr>
          <xdr:spPr bwMode="auto">
            <a:xfrm flipV="1">
              <a:off x="157" y="875"/>
              <a:ext cx="0" cy="9"/>
            </a:xfrm>
            <a:prstGeom prst="line">
              <a:avLst/>
            </a:prstGeom>
            <a:noFill/>
            <a:ln w="19050">
              <a:solidFill>
                <a:srgbClr val="000000"/>
              </a:solidFill>
              <a:round/>
              <a:headEnd/>
              <a:tailEnd/>
            </a:ln>
          </xdr:spPr>
        </xdr:sp>
        <xdr:sp macro="" textlink="">
          <xdr:nvSpPr>
            <xdr:cNvPr id="11511" name="Line 14"/>
            <xdr:cNvSpPr>
              <a:spLocks noChangeShapeType="1"/>
            </xdr:cNvSpPr>
          </xdr:nvSpPr>
          <xdr:spPr bwMode="auto">
            <a:xfrm>
              <a:off x="146" y="875"/>
              <a:ext cx="23" cy="0"/>
            </a:xfrm>
            <a:prstGeom prst="line">
              <a:avLst/>
            </a:prstGeom>
            <a:noFill/>
            <a:ln w="19050">
              <a:solidFill>
                <a:srgbClr val="000000"/>
              </a:solidFill>
              <a:round/>
              <a:headEnd/>
              <a:tailEnd/>
            </a:ln>
          </xdr:spPr>
        </xdr:sp>
      </xdr:grpSp>
      <xdr:grpSp>
        <xdr:nvGrpSpPr>
          <xdr:cNvPr id="11275" name="Group 15"/>
          <xdr:cNvGrpSpPr>
            <a:grpSpLocks/>
          </xdr:cNvGrpSpPr>
        </xdr:nvGrpSpPr>
        <xdr:grpSpPr bwMode="auto">
          <a:xfrm>
            <a:off x="5095875" y="2333625"/>
            <a:ext cx="352425" cy="3248025"/>
            <a:chOff x="141" y="875"/>
            <a:chExt cx="32" cy="290"/>
          </a:xfrm>
        </xdr:grpSpPr>
        <xdr:sp macro="" textlink="">
          <xdr:nvSpPr>
            <xdr:cNvPr id="11503" name="AutoShape 16"/>
            <xdr:cNvSpPr>
              <a:spLocks noChangeArrowheads="1"/>
            </xdr:cNvSpPr>
          </xdr:nvSpPr>
          <xdr:spPr bwMode="auto">
            <a:xfrm>
              <a:off x="141" y="884"/>
              <a:ext cx="32" cy="272"/>
            </a:xfrm>
            <a:prstGeom prst="roundRect">
              <a:avLst>
                <a:gd name="adj" fmla="val 16667"/>
              </a:avLst>
            </a:prstGeom>
            <a:solidFill>
              <a:srgbClr val="FFFFFF"/>
            </a:solidFill>
            <a:ln w="9525">
              <a:solidFill>
                <a:srgbClr val="000000"/>
              </a:solidFill>
              <a:round/>
              <a:headEnd/>
              <a:tailEnd/>
            </a:ln>
          </xdr:spPr>
        </xdr:sp>
        <xdr:grpSp>
          <xdr:nvGrpSpPr>
            <xdr:cNvPr id="11504" name="Group 17"/>
            <xdr:cNvGrpSpPr>
              <a:grpSpLocks/>
            </xdr:cNvGrpSpPr>
          </xdr:nvGrpSpPr>
          <xdr:grpSpPr bwMode="auto">
            <a:xfrm>
              <a:off x="146" y="875"/>
              <a:ext cx="23" cy="9"/>
              <a:chOff x="146" y="875"/>
              <a:chExt cx="23" cy="9"/>
            </a:xfrm>
          </xdr:grpSpPr>
          <xdr:sp macro="" textlink="">
            <xdr:nvSpPr>
              <xdr:cNvPr id="11508" name="Line 18"/>
              <xdr:cNvSpPr>
                <a:spLocks noChangeShapeType="1"/>
              </xdr:cNvSpPr>
            </xdr:nvSpPr>
            <xdr:spPr bwMode="auto">
              <a:xfrm flipV="1">
                <a:off x="157" y="875"/>
                <a:ext cx="0" cy="9"/>
              </a:xfrm>
              <a:prstGeom prst="line">
                <a:avLst/>
              </a:prstGeom>
              <a:noFill/>
              <a:ln w="19050">
                <a:solidFill>
                  <a:srgbClr val="000000"/>
                </a:solidFill>
                <a:round/>
                <a:headEnd/>
                <a:tailEnd/>
              </a:ln>
            </xdr:spPr>
          </xdr:sp>
          <xdr:sp macro="" textlink="">
            <xdr:nvSpPr>
              <xdr:cNvPr id="11509" name="Line 19"/>
              <xdr:cNvSpPr>
                <a:spLocks noChangeShapeType="1"/>
              </xdr:cNvSpPr>
            </xdr:nvSpPr>
            <xdr:spPr bwMode="auto">
              <a:xfrm>
                <a:off x="146" y="875"/>
                <a:ext cx="23" cy="0"/>
              </a:xfrm>
              <a:prstGeom prst="line">
                <a:avLst/>
              </a:prstGeom>
              <a:noFill/>
              <a:ln w="19050">
                <a:solidFill>
                  <a:srgbClr val="000000"/>
                </a:solidFill>
                <a:round/>
                <a:headEnd/>
                <a:tailEnd/>
              </a:ln>
            </xdr:spPr>
          </xdr:sp>
        </xdr:grpSp>
        <xdr:grpSp>
          <xdr:nvGrpSpPr>
            <xdr:cNvPr id="11505" name="Group 20"/>
            <xdr:cNvGrpSpPr>
              <a:grpSpLocks/>
            </xdr:cNvGrpSpPr>
          </xdr:nvGrpSpPr>
          <xdr:grpSpPr bwMode="auto">
            <a:xfrm flipV="1">
              <a:off x="145" y="1156"/>
              <a:ext cx="23" cy="9"/>
              <a:chOff x="146" y="875"/>
              <a:chExt cx="23" cy="9"/>
            </a:xfrm>
          </xdr:grpSpPr>
          <xdr:sp macro="" textlink="">
            <xdr:nvSpPr>
              <xdr:cNvPr id="11506" name="Line 21"/>
              <xdr:cNvSpPr>
                <a:spLocks noChangeShapeType="1"/>
              </xdr:cNvSpPr>
            </xdr:nvSpPr>
            <xdr:spPr bwMode="auto">
              <a:xfrm flipV="1">
                <a:off x="157" y="875"/>
                <a:ext cx="0" cy="9"/>
              </a:xfrm>
              <a:prstGeom prst="line">
                <a:avLst/>
              </a:prstGeom>
              <a:noFill/>
              <a:ln w="19050">
                <a:solidFill>
                  <a:srgbClr val="000000"/>
                </a:solidFill>
                <a:round/>
                <a:headEnd/>
                <a:tailEnd/>
              </a:ln>
            </xdr:spPr>
          </xdr:sp>
          <xdr:sp macro="" textlink="">
            <xdr:nvSpPr>
              <xdr:cNvPr id="11507" name="Line 22"/>
              <xdr:cNvSpPr>
                <a:spLocks noChangeShapeType="1"/>
              </xdr:cNvSpPr>
            </xdr:nvSpPr>
            <xdr:spPr bwMode="auto">
              <a:xfrm>
                <a:off x="146" y="875"/>
                <a:ext cx="23" cy="0"/>
              </a:xfrm>
              <a:prstGeom prst="line">
                <a:avLst/>
              </a:prstGeom>
              <a:noFill/>
              <a:ln w="19050">
                <a:solidFill>
                  <a:srgbClr val="000000"/>
                </a:solidFill>
                <a:round/>
                <a:headEnd/>
                <a:tailEnd/>
              </a:ln>
            </xdr:spPr>
          </xdr:sp>
        </xdr:grpSp>
      </xdr:grpSp>
      <xdr:sp macro="" textlink="">
        <xdr:nvSpPr>
          <xdr:cNvPr id="11276" name="AutoShape 23"/>
          <xdr:cNvSpPr>
            <a:spLocks noChangeArrowheads="1"/>
          </xdr:cNvSpPr>
        </xdr:nvSpPr>
        <xdr:spPr bwMode="auto">
          <a:xfrm>
            <a:off x="5448300" y="2428875"/>
            <a:ext cx="352425" cy="3057525"/>
          </a:xfrm>
          <a:prstGeom prst="roundRect">
            <a:avLst>
              <a:gd name="adj" fmla="val 16667"/>
            </a:avLst>
          </a:prstGeom>
          <a:solidFill>
            <a:srgbClr val="FFFFFF"/>
          </a:solidFill>
          <a:ln w="9525">
            <a:solidFill>
              <a:srgbClr val="000000"/>
            </a:solidFill>
            <a:round/>
            <a:headEnd/>
            <a:tailEnd/>
          </a:ln>
        </xdr:spPr>
      </xdr:sp>
      <xdr:sp macro="" textlink="">
        <xdr:nvSpPr>
          <xdr:cNvPr id="11277" name="Line 24"/>
          <xdr:cNvSpPr>
            <a:spLocks noChangeShapeType="1"/>
          </xdr:cNvSpPr>
        </xdr:nvSpPr>
        <xdr:spPr bwMode="auto">
          <a:xfrm flipV="1">
            <a:off x="5629275" y="2362200"/>
            <a:ext cx="0" cy="66675"/>
          </a:xfrm>
          <a:prstGeom prst="line">
            <a:avLst/>
          </a:prstGeom>
          <a:noFill/>
          <a:ln w="19050">
            <a:solidFill>
              <a:srgbClr val="000000"/>
            </a:solidFill>
            <a:round/>
            <a:headEnd/>
            <a:tailEnd/>
          </a:ln>
        </xdr:spPr>
      </xdr:sp>
      <xdr:sp macro="" textlink="">
        <xdr:nvSpPr>
          <xdr:cNvPr id="11278" name="Line 25"/>
          <xdr:cNvSpPr>
            <a:spLocks noChangeShapeType="1"/>
          </xdr:cNvSpPr>
        </xdr:nvSpPr>
        <xdr:spPr bwMode="auto">
          <a:xfrm>
            <a:off x="5505450" y="2333625"/>
            <a:ext cx="257175" cy="66675"/>
          </a:xfrm>
          <a:prstGeom prst="line">
            <a:avLst/>
          </a:prstGeom>
          <a:noFill/>
          <a:ln w="19050">
            <a:solidFill>
              <a:srgbClr val="000000"/>
            </a:solidFill>
            <a:round/>
            <a:headEnd/>
            <a:tailEnd/>
          </a:ln>
        </xdr:spPr>
      </xdr:sp>
      <xdr:sp macro="" textlink="">
        <xdr:nvSpPr>
          <xdr:cNvPr id="11279" name="Line 26"/>
          <xdr:cNvSpPr>
            <a:spLocks noChangeShapeType="1"/>
          </xdr:cNvSpPr>
        </xdr:nvSpPr>
        <xdr:spPr bwMode="auto">
          <a:xfrm>
            <a:off x="5610225" y="5486400"/>
            <a:ext cx="19050" cy="57150"/>
          </a:xfrm>
          <a:prstGeom prst="line">
            <a:avLst/>
          </a:prstGeom>
          <a:noFill/>
          <a:ln w="19050">
            <a:solidFill>
              <a:srgbClr val="000000"/>
            </a:solidFill>
            <a:round/>
            <a:headEnd/>
            <a:tailEnd/>
          </a:ln>
        </xdr:spPr>
      </xdr:sp>
      <xdr:sp macro="" textlink="">
        <xdr:nvSpPr>
          <xdr:cNvPr id="11280" name="Line 27"/>
          <xdr:cNvSpPr>
            <a:spLocks noChangeShapeType="1"/>
          </xdr:cNvSpPr>
        </xdr:nvSpPr>
        <xdr:spPr bwMode="auto">
          <a:xfrm flipV="1">
            <a:off x="5495925" y="5524500"/>
            <a:ext cx="247650" cy="57150"/>
          </a:xfrm>
          <a:prstGeom prst="line">
            <a:avLst/>
          </a:prstGeom>
          <a:noFill/>
          <a:ln w="19050">
            <a:solidFill>
              <a:srgbClr val="000000"/>
            </a:solidFill>
            <a:round/>
            <a:headEnd/>
            <a:tailEnd/>
          </a:ln>
        </xdr:spPr>
      </xdr:sp>
      <xdr:sp macro="" textlink="">
        <xdr:nvSpPr>
          <xdr:cNvPr id="11281" name="AutoShape 28"/>
          <xdr:cNvSpPr>
            <a:spLocks noChangeArrowheads="1"/>
          </xdr:cNvSpPr>
        </xdr:nvSpPr>
        <xdr:spPr bwMode="auto">
          <a:xfrm>
            <a:off x="2628900" y="2533650"/>
            <a:ext cx="342900" cy="2838450"/>
          </a:xfrm>
          <a:prstGeom prst="roundRect">
            <a:avLst>
              <a:gd name="adj" fmla="val 16667"/>
            </a:avLst>
          </a:prstGeom>
          <a:solidFill>
            <a:srgbClr val="FFFFFF"/>
          </a:solidFill>
          <a:ln w="9525">
            <a:solidFill>
              <a:srgbClr val="000000"/>
            </a:solidFill>
            <a:round/>
            <a:headEnd/>
            <a:tailEnd/>
          </a:ln>
        </xdr:spPr>
      </xdr:sp>
      <xdr:sp macro="" textlink="">
        <xdr:nvSpPr>
          <xdr:cNvPr id="11282" name="AutoShape 29"/>
          <xdr:cNvSpPr>
            <a:spLocks noChangeArrowheads="1"/>
          </xdr:cNvSpPr>
        </xdr:nvSpPr>
        <xdr:spPr bwMode="auto">
          <a:xfrm>
            <a:off x="2619375" y="2266950"/>
            <a:ext cx="3248025" cy="3295650"/>
          </a:xfrm>
          <a:prstGeom prst="roundRect">
            <a:avLst>
              <a:gd name="adj" fmla="val 7333"/>
            </a:avLst>
          </a:prstGeom>
          <a:solidFill>
            <a:srgbClr val="66FFCC"/>
          </a:solidFill>
          <a:ln w="12700">
            <a:solidFill>
              <a:srgbClr val="000000"/>
            </a:solidFill>
            <a:round/>
            <a:headEnd/>
            <a:tailEnd/>
          </a:ln>
        </xdr:spPr>
      </xdr:sp>
      <xdr:sp macro="" textlink="">
        <xdr:nvSpPr>
          <xdr:cNvPr id="11283" name="Line 30"/>
          <xdr:cNvSpPr>
            <a:spLocks noChangeShapeType="1"/>
          </xdr:cNvSpPr>
        </xdr:nvSpPr>
        <xdr:spPr bwMode="auto">
          <a:xfrm flipH="1">
            <a:off x="5724525" y="5353050"/>
            <a:ext cx="209550" cy="219075"/>
          </a:xfrm>
          <a:prstGeom prst="line">
            <a:avLst/>
          </a:prstGeom>
          <a:noFill/>
          <a:ln w="9525">
            <a:solidFill>
              <a:srgbClr val="000000"/>
            </a:solidFill>
            <a:round/>
            <a:headEnd/>
            <a:tailEnd/>
          </a:ln>
        </xdr:spPr>
      </xdr:sp>
      <xdr:sp macro="" textlink="">
        <xdr:nvSpPr>
          <xdr:cNvPr id="11284" name="Line 31"/>
          <xdr:cNvSpPr>
            <a:spLocks noChangeShapeType="1"/>
          </xdr:cNvSpPr>
        </xdr:nvSpPr>
        <xdr:spPr bwMode="auto">
          <a:xfrm flipV="1">
            <a:off x="5829300" y="581025"/>
            <a:ext cx="1771650" cy="1790700"/>
          </a:xfrm>
          <a:prstGeom prst="line">
            <a:avLst/>
          </a:prstGeom>
          <a:noFill/>
          <a:ln w="28575">
            <a:solidFill>
              <a:srgbClr val="66FFFF"/>
            </a:solidFill>
            <a:round/>
            <a:headEnd/>
            <a:tailEnd/>
          </a:ln>
        </xdr:spPr>
      </xdr:sp>
      <xdr:sp macro="" textlink="">
        <xdr:nvSpPr>
          <xdr:cNvPr id="11285" name="Line 32"/>
          <xdr:cNvSpPr>
            <a:spLocks noChangeShapeType="1"/>
          </xdr:cNvSpPr>
        </xdr:nvSpPr>
        <xdr:spPr bwMode="auto">
          <a:xfrm flipV="1">
            <a:off x="5743575" y="514350"/>
            <a:ext cx="1771650" cy="1790700"/>
          </a:xfrm>
          <a:prstGeom prst="line">
            <a:avLst/>
          </a:prstGeom>
          <a:noFill/>
          <a:ln w="28575">
            <a:solidFill>
              <a:srgbClr val="66FFFF"/>
            </a:solidFill>
            <a:round/>
            <a:headEnd/>
            <a:tailEnd/>
          </a:ln>
        </xdr:spPr>
      </xdr:sp>
      <xdr:sp macro="" textlink="">
        <xdr:nvSpPr>
          <xdr:cNvPr id="11286" name="Line 33"/>
          <xdr:cNvSpPr>
            <a:spLocks noChangeShapeType="1"/>
          </xdr:cNvSpPr>
        </xdr:nvSpPr>
        <xdr:spPr bwMode="auto">
          <a:xfrm flipV="1">
            <a:off x="5857875" y="676275"/>
            <a:ext cx="1771650" cy="1800225"/>
          </a:xfrm>
          <a:prstGeom prst="line">
            <a:avLst/>
          </a:prstGeom>
          <a:noFill/>
          <a:ln w="28575">
            <a:solidFill>
              <a:srgbClr val="66FFFF"/>
            </a:solidFill>
            <a:round/>
            <a:headEnd/>
            <a:tailEnd/>
          </a:ln>
        </xdr:spPr>
      </xdr:sp>
      <xdr:sp macro="" textlink="">
        <xdr:nvSpPr>
          <xdr:cNvPr id="11287" name="Arc 34"/>
          <xdr:cNvSpPr>
            <a:spLocks/>
          </xdr:cNvSpPr>
        </xdr:nvSpPr>
        <xdr:spPr bwMode="auto">
          <a:xfrm>
            <a:off x="7353300" y="466725"/>
            <a:ext cx="276225" cy="228600"/>
          </a:xfrm>
          <a:custGeom>
            <a:avLst/>
            <a:gdLst>
              <a:gd name="T0" fmla="*/ 0 w 21600"/>
              <a:gd name="T1" fmla="*/ 0 h 21600"/>
              <a:gd name="T2" fmla="*/ 2147483647 w 21600"/>
              <a:gd name="T3" fmla="*/ 2147483647 h 21600"/>
              <a:gd name="T4" fmla="*/ 0 w 21600"/>
              <a:gd name="T5" fmla="*/ 2147483647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288" name="Arc 35"/>
          <xdr:cNvSpPr>
            <a:spLocks/>
          </xdr:cNvSpPr>
        </xdr:nvSpPr>
        <xdr:spPr bwMode="auto">
          <a:xfrm>
            <a:off x="5610225" y="2266950"/>
            <a:ext cx="257175" cy="228600"/>
          </a:xfrm>
          <a:custGeom>
            <a:avLst/>
            <a:gdLst>
              <a:gd name="T0" fmla="*/ 0 w 21600"/>
              <a:gd name="T1" fmla="*/ 0 h 21600"/>
              <a:gd name="T2" fmla="*/ 2147483647 w 21600"/>
              <a:gd name="T3" fmla="*/ 2147483647 h 21600"/>
              <a:gd name="T4" fmla="*/ 0 w 21600"/>
              <a:gd name="T5" fmla="*/ 2147483647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289" name="Freeform 36"/>
          <xdr:cNvSpPr>
            <a:spLocks/>
          </xdr:cNvSpPr>
        </xdr:nvSpPr>
        <xdr:spPr bwMode="auto">
          <a:xfrm>
            <a:off x="2590800" y="2447925"/>
            <a:ext cx="3143250" cy="3181350"/>
          </a:xfrm>
          <a:custGeom>
            <a:avLst/>
            <a:gdLst>
              <a:gd name="T0" fmla="*/ 2147483647 w 330"/>
              <a:gd name="T1" fmla="*/ 0 h 334"/>
              <a:gd name="T2" fmla="*/ 2147483647 w 330"/>
              <a:gd name="T3" fmla="*/ 2147483647 h 334"/>
              <a:gd name="T4" fmla="*/ 0 w 330"/>
              <a:gd name="T5" fmla="*/ 2147483647 h 334"/>
              <a:gd name="T6" fmla="*/ 0 w 330"/>
              <a:gd name="T7" fmla="*/ 2147483647 h 334"/>
              <a:gd name="T8" fmla="*/ 0 w 330"/>
              <a:gd name="T9" fmla="*/ 2147483647 h 334"/>
              <a:gd name="T10" fmla="*/ 2147483647 w 330"/>
              <a:gd name="T11" fmla="*/ 2147483647 h 334"/>
              <a:gd name="T12" fmla="*/ 2147483647 w 330"/>
              <a:gd name="T13" fmla="*/ 2147483647 h 334"/>
              <a:gd name="T14" fmla="*/ 2147483647 w 330"/>
              <a:gd name="T15" fmla="*/ 2147483647 h 334"/>
              <a:gd name="T16" fmla="*/ 2147483647 w 330"/>
              <a:gd name="T17" fmla="*/ 2147483647 h 334"/>
              <a:gd name="T18" fmla="*/ 2147483647 w 330"/>
              <a:gd name="T19" fmla="*/ 2147483647 h 334"/>
              <a:gd name="T20" fmla="*/ 2147483647 w 330"/>
              <a:gd name="T21" fmla="*/ 2147483647 h 334"/>
              <a:gd name="T22" fmla="*/ 2147483647 w 330"/>
              <a:gd name="T23" fmla="*/ 2147483647 h 334"/>
              <a:gd name="T24" fmla="*/ 2147483647 w 330"/>
              <a:gd name="T25" fmla="*/ 2147483647 h 334"/>
              <a:gd name="T26" fmla="*/ 2147483647 w 330"/>
              <a:gd name="T27" fmla="*/ 2147483647 h 334"/>
              <a:gd name="T28" fmla="*/ 2147483647 w 330"/>
              <a:gd name="T29" fmla="*/ 2147483647 h 334"/>
              <a:gd name="T30" fmla="*/ 2147483647 w 330"/>
              <a:gd name="T31" fmla="*/ 2147483647 h 334"/>
              <a:gd name="T32" fmla="*/ 2147483647 w 330"/>
              <a:gd name="T33" fmla="*/ 2147483647 h 334"/>
              <a:gd name="T34" fmla="*/ 2147483647 w 330"/>
              <a:gd name="T35" fmla="*/ 2147483647 h 334"/>
              <a:gd name="T36" fmla="*/ 2147483647 w 330"/>
              <a:gd name="T37" fmla="*/ 2147483647 h 334"/>
              <a:gd name="T38" fmla="*/ 2147483647 w 330"/>
              <a:gd name="T39" fmla="*/ 2147483647 h 334"/>
              <a:gd name="T40" fmla="*/ 2147483647 w 330"/>
              <a:gd name="T41" fmla="*/ 2147483647 h 334"/>
              <a:gd name="T42" fmla="*/ 2147483647 w 330"/>
              <a:gd name="T43" fmla="*/ 2147483647 h 334"/>
              <a:gd name="T44" fmla="*/ 2147483647 w 330"/>
              <a:gd name="T45" fmla="*/ 0 h 33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334"/>
              <a:gd name="T71" fmla="*/ 330 w 330"/>
              <a:gd name="T72" fmla="*/ 334 h 33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334">
                <a:moveTo>
                  <a:pt x="3" y="0"/>
                </a:moveTo>
                <a:lnTo>
                  <a:pt x="1" y="5"/>
                </a:lnTo>
                <a:lnTo>
                  <a:pt x="0" y="11"/>
                </a:lnTo>
                <a:lnTo>
                  <a:pt x="0" y="58"/>
                </a:lnTo>
                <a:lnTo>
                  <a:pt x="0" y="303"/>
                </a:lnTo>
                <a:lnTo>
                  <a:pt x="1" y="315"/>
                </a:lnTo>
                <a:lnTo>
                  <a:pt x="5" y="324"/>
                </a:lnTo>
                <a:lnTo>
                  <a:pt x="14" y="331"/>
                </a:lnTo>
                <a:lnTo>
                  <a:pt x="20" y="333"/>
                </a:lnTo>
                <a:lnTo>
                  <a:pt x="27" y="334"/>
                </a:lnTo>
                <a:lnTo>
                  <a:pt x="317" y="334"/>
                </a:lnTo>
                <a:lnTo>
                  <a:pt x="324" y="331"/>
                </a:lnTo>
                <a:lnTo>
                  <a:pt x="330" y="326"/>
                </a:lnTo>
                <a:lnTo>
                  <a:pt x="323" y="328"/>
                </a:lnTo>
                <a:lnTo>
                  <a:pt x="305" y="328"/>
                </a:lnTo>
                <a:lnTo>
                  <a:pt x="24" y="328"/>
                </a:lnTo>
                <a:lnTo>
                  <a:pt x="15" y="326"/>
                </a:lnTo>
                <a:lnTo>
                  <a:pt x="10" y="322"/>
                </a:lnTo>
                <a:lnTo>
                  <a:pt x="5" y="316"/>
                </a:lnTo>
                <a:lnTo>
                  <a:pt x="3" y="309"/>
                </a:lnTo>
                <a:lnTo>
                  <a:pt x="2" y="299"/>
                </a:lnTo>
                <a:lnTo>
                  <a:pt x="2" y="5"/>
                </a:lnTo>
                <a:lnTo>
                  <a:pt x="3" y="0"/>
                </a:lnTo>
                <a:close/>
              </a:path>
            </a:pathLst>
          </a:custGeom>
          <a:solidFill>
            <a:srgbClr val="B3FFFF"/>
          </a:solidFill>
          <a:ln w="9525">
            <a:noFill/>
            <a:round/>
            <a:headEnd/>
            <a:tailEnd/>
          </a:ln>
        </xdr:spPr>
      </xdr:sp>
      <xdr:sp macro="" textlink="">
        <xdr:nvSpPr>
          <xdr:cNvPr id="11290" name="AutoShape 37"/>
          <xdr:cNvSpPr>
            <a:spLocks noChangeArrowheads="1"/>
          </xdr:cNvSpPr>
        </xdr:nvSpPr>
        <xdr:spPr bwMode="auto">
          <a:xfrm>
            <a:off x="2590800" y="2314575"/>
            <a:ext cx="3219450" cy="3314700"/>
          </a:xfrm>
          <a:prstGeom prst="roundRect">
            <a:avLst>
              <a:gd name="adj" fmla="val 7745"/>
            </a:avLst>
          </a:prstGeom>
          <a:noFill/>
          <a:ln w="19050">
            <a:solidFill>
              <a:srgbClr val="000000"/>
            </a:solidFill>
            <a:round/>
            <a:headEnd/>
            <a:tailEnd/>
          </a:ln>
        </xdr:spPr>
      </xdr:sp>
      <xdr:grpSp>
        <xdr:nvGrpSpPr>
          <xdr:cNvPr id="11335" name="Group 39"/>
          <xdr:cNvGrpSpPr>
            <a:grpSpLocks/>
          </xdr:cNvGrpSpPr>
        </xdr:nvGrpSpPr>
        <xdr:grpSpPr bwMode="auto">
          <a:xfrm>
            <a:off x="3048000" y="1609725"/>
            <a:ext cx="1333500" cy="2352675"/>
            <a:chOff x="837" y="652"/>
            <a:chExt cx="140" cy="247"/>
          </a:xfrm>
        </xdr:grpSpPr>
        <xdr:sp macro="" textlink="">
          <xdr:nvSpPr>
            <xdr:cNvPr id="11462" name="Freeform 40"/>
            <xdr:cNvSpPr>
              <a:spLocks/>
            </xdr:cNvSpPr>
          </xdr:nvSpPr>
          <xdr:spPr bwMode="auto">
            <a:xfrm>
              <a:off x="880" y="662"/>
              <a:ext cx="62" cy="42"/>
            </a:xfrm>
            <a:custGeom>
              <a:avLst/>
              <a:gdLst>
                <a:gd name="T0" fmla="*/ 0 w 62"/>
                <a:gd name="T1" fmla="*/ 42 h 42"/>
                <a:gd name="T2" fmla="*/ 42 w 62"/>
                <a:gd name="T3" fmla="*/ 0 h 42"/>
                <a:gd name="T4" fmla="*/ 62 w 62"/>
                <a:gd name="T5" fmla="*/ 0 h 42"/>
                <a:gd name="T6" fmla="*/ 23 w 62"/>
                <a:gd name="T7" fmla="*/ 42 h 42"/>
                <a:gd name="T8" fmla="*/ 0 w 62"/>
                <a:gd name="T9" fmla="*/ 42 h 42"/>
                <a:gd name="T10" fmla="*/ 0 60000 65536"/>
                <a:gd name="T11" fmla="*/ 0 60000 65536"/>
                <a:gd name="T12" fmla="*/ 0 60000 65536"/>
                <a:gd name="T13" fmla="*/ 0 60000 65536"/>
                <a:gd name="T14" fmla="*/ 0 60000 65536"/>
                <a:gd name="T15" fmla="*/ 0 w 62"/>
                <a:gd name="T16" fmla="*/ 0 h 42"/>
                <a:gd name="T17" fmla="*/ 62 w 62"/>
                <a:gd name="T18" fmla="*/ 42 h 42"/>
              </a:gdLst>
              <a:ahLst/>
              <a:cxnLst>
                <a:cxn ang="T10">
                  <a:pos x="T0" y="T1"/>
                </a:cxn>
                <a:cxn ang="T11">
                  <a:pos x="T2" y="T3"/>
                </a:cxn>
                <a:cxn ang="T12">
                  <a:pos x="T4" y="T5"/>
                </a:cxn>
                <a:cxn ang="T13">
                  <a:pos x="T6" y="T7"/>
                </a:cxn>
                <a:cxn ang="T14">
                  <a:pos x="T8" y="T9"/>
                </a:cxn>
              </a:cxnLst>
              <a:rect l="T15" t="T16" r="T17" b="T18"/>
              <a:pathLst>
                <a:path w="62" h="42">
                  <a:moveTo>
                    <a:pt x="0" y="42"/>
                  </a:moveTo>
                  <a:lnTo>
                    <a:pt x="42" y="0"/>
                  </a:lnTo>
                  <a:lnTo>
                    <a:pt x="62" y="0"/>
                  </a:lnTo>
                  <a:lnTo>
                    <a:pt x="23" y="42"/>
                  </a:lnTo>
                  <a:lnTo>
                    <a:pt x="0" y="42"/>
                  </a:lnTo>
                  <a:close/>
                </a:path>
              </a:pathLst>
            </a:custGeom>
            <a:gradFill rotWithShape="1">
              <a:gsLst>
                <a:gs pos="0">
                  <a:srgbClr val="69FFFF"/>
                </a:gs>
                <a:gs pos="100000">
                  <a:srgbClr val="CCFFCC"/>
                </a:gs>
              </a:gsLst>
              <a:lin ang="0" scaled="1"/>
            </a:gradFill>
            <a:ln w="9525">
              <a:solidFill>
                <a:srgbClr val="000000"/>
              </a:solidFill>
              <a:round/>
              <a:headEnd/>
              <a:tailEnd/>
            </a:ln>
          </xdr:spPr>
        </xdr:sp>
        <xdr:sp macro="" textlink="">
          <xdr:nvSpPr>
            <xdr:cNvPr id="11463" name="Rectangle 41"/>
            <xdr:cNvSpPr>
              <a:spLocks noChangeArrowheads="1"/>
            </xdr:cNvSpPr>
          </xdr:nvSpPr>
          <xdr:spPr bwMode="auto">
            <a:xfrm>
              <a:off x="837" y="741"/>
              <a:ext cx="27" cy="151"/>
            </a:xfrm>
            <a:prstGeom prst="rect">
              <a:avLst/>
            </a:prstGeom>
            <a:gradFill rotWithShape="1">
              <a:gsLst>
                <a:gs pos="0">
                  <a:srgbClr val="FFFFFF"/>
                </a:gs>
                <a:gs pos="100000">
                  <a:srgbClr val="767676"/>
                </a:gs>
              </a:gsLst>
              <a:lin ang="2700000" scaled="1"/>
            </a:gradFill>
            <a:ln w="9525">
              <a:solidFill>
                <a:srgbClr val="000000"/>
              </a:solidFill>
              <a:miter lim="800000"/>
              <a:headEnd/>
              <a:tailEnd/>
            </a:ln>
          </xdr:spPr>
        </xdr:sp>
        <xdr:sp macro="" textlink="">
          <xdr:nvSpPr>
            <xdr:cNvPr id="11464" name="Freeform 42"/>
            <xdr:cNvSpPr>
              <a:spLocks/>
            </xdr:cNvSpPr>
          </xdr:nvSpPr>
          <xdr:spPr bwMode="auto">
            <a:xfrm>
              <a:off x="864" y="720"/>
              <a:ext cx="21" cy="177"/>
            </a:xfrm>
            <a:custGeom>
              <a:avLst/>
              <a:gdLst>
                <a:gd name="T0" fmla="*/ 0 w 21"/>
                <a:gd name="T1" fmla="*/ 20 h 177"/>
                <a:gd name="T2" fmla="*/ 21 w 21"/>
                <a:gd name="T3" fmla="*/ 0 h 177"/>
                <a:gd name="T4" fmla="*/ 21 w 21"/>
                <a:gd name="T5" fmla="*/ 176 h 177"/>
                <a:gd name="T6" fmla="*/ 0 w 21"/>
                <a:gd name="T7" fmla="*/ 177 h 177"/>
                <a:gd name="T8" fmla="*/ 0 w 21"/>
                <a:gd name="T9" fmla="*/ 20 h 177"/>
                <a:gd name="T10" fmla="*/ 0 60000 65536"/>
                <a:gd name="T11" fmla="*/ 0 60000 65536"/>
                <a:gd name="T12" fmla="*/ 0 60000 65536"/>
                <a:gd name="T13" fmla="*/ 0 60000 65536"/>
                <a:gd name="T14" fmla="*/ 0 60000 65536"/>
                <a:gd name="T15" fmla="*/ 0 w 21"/>
                <a:gd name="T16" fmla="*/ 0 h 177"/>
                <a:gd name="T17" fmla="*/ 21 w 21"/>
                <a:gd name="T18" fmla="*/ 177 h 177"/>
              </a:gdLst>
              <a:ahLst/>
              <a:cxnLst>
                <a:cxn ang="T10">
                  <a:pos x="T0" y="T1"/>
                </a:cxn>
                <a:cxn ang="T11">
                  <a:pos x="T2" y="T3"/>
                </a:cxn>
                <a:cxn ang="T12">
                  <a:pos x="T4" y="T5"/>
                </a:cxn>
                <a:cxn ang="T13">
                  <a:pos x="T6" y="T7"/>
                </a:cxn>
                <a:cxn ang="T14">
                  <a:pos x="T8" y="T9"/>
                </a:cxn>
              </a:cxnLst>
              <a:rect l="T15" t="T16" r="T17" b="T18"/>
              <a:pathLst>
                <a:path w="21" h="177">
                  <a:moveTo>
                    <a:pt x="0" y="20"/>
                  </a:moveTo>
                  <a:lnTo>
                    <a:pt x="21" y="0"/>
                  </a:lnTo>
                  <a:lnTo>
                    <a:pt x="21" y="176"/>
                  </a:lnTo>
                  <a:lnTo>
                    <a:pt x="0" y="177"/>
                  </a:lnTo>
                  <a:lnTo>
                    <a:pt x="0" y="20"/>
                  </a:lnTo>
                  <a:close/>
                </a:path>
              </a:pathLst>
            </a:custGeom>
            <a:gradFill rotWithShape="1">
              <a:gsLst>
                <a:gs pos="0">
                  <a:srgbClr val="767676"/>
                </a:gs>
                <a:gs pos="50000">
                  <a:srgbClr val="FFFFFF"/>
                </a:gs>
                <a:gs pos="100000">
                  <a:srgbClr val="767676"/>
                </a:gs>
              </a:gsLst>
              <a:lin ang="0" scaled="1"/>
            </a:gradFill>
            <a:ln w="9525">
              <a:solidFill>
                <a:srgbClr val="000000"/>
              </a:solidFill>
              <a:round/>
              <a:headEnd/>
              <a:tailEnd/>
            </a:ln>
          </xdr:spPr>
        </xdr:sp>
        <xdr:sp macro="" textlink="">
          <xdr:nvSpPr>
            <xdr:cNvPr id="11465" name="Line 43"/>
            <xdr:cNvSpPr>
              <a:spLocks noChangeShapeType="1"/>
            </xdr:cNvSpPr>
          </xdr:nvSpPr>
          <xdr:spPr bwMode="auto">
            <a:xfrm flipV="1">
              <a:off x="885" y="707"/>
              <a:ext cx="13" cy="13"/>
            </a:xfrm>
            <a:prstGeom prst="line">
              <a:avLst/>
            </a:prstGeom>
            <a:noFill/>
            <a:ln w="28575">
              <a:solidFill>
                <a:srgbClr val="A6CAF0"/>
              </a:solidFill>
              <a:round/>
              <a:headEnd/>
              <a:tailEnd/>
            </a:ln>
          </xdr:spPr>
        </xdr:sp>
        <xdr:sp macro="" textlink="">
          <xdr:nvSpPr>
            <xdr:cNvPr id="11466" name="Freeform 44"/>
            <xdr:cNvSpPr>
              <a:spLocks/>
            </xdr:cNvSpPr>
          </xdr:nvSpPr>
          <xdr:spPr bwMode="auto">
            <a:xfrm>
              <a:off x="896" y="697"/>
              <a:ext cx="27" cy="202"/>
            </a:xfrm>
            <a:custGeom>
              <a:avLst/>
              <a:gdLst>
                <a:gd name="T0" fmla="*/ 0 w 27"/>
                <a:gd name="T1" fmla="*/ 9 h 202"/>
                <a:gd name="T2" fmla="*/ 0 w 27"/>
                <a:gd name="T3" fmla="*/ 201 h 202"/>
                <a:gd name="T4" fmla="*/ 0 w 27"/>
                <a:gd name="T5" fmla="*/ 202 h 202"/>
                <a:gd name="T6" fmla="*/ 22 w 27"/>
                <a:gd name="T7" fmla="*/ 202 h 202"/>
                <a:gd name="T8" fmla="*/ 27 w 27"/>
                <a:gd name="T9" fmla="*/ 0 h 202"/>
                <a:gd name="T10" fmla="*/ 14 w 27"/>
                <a:gd name="T11" fmla="*/ 1 h 202"/>
                <a:gd name="T12" fmla="*/ 0 60000 65536"/>
                <a:gd name="T13" fmla="*/ 0 60000 65536"/>
                <a:gd name="T14" fmla="*/ 0 60000 65536"/>
                <a:gd name="T15" fmla="*/ 0 60000 65536"/>
                <a:gd name="T16" fmla="*/ 0 60000 65536"/>
                <a:gd name="T17" fmla="*/ 0 60000 65536"/>
                <a:gd name="T18" fmla="*/ 0 w 27"/>
                <a:gd name="T19" fmla="*/ 0 h 202"/>
                <a:gd name="T20" fmla="*/ 27 w 27"/>
                <a:gd name="T21" fmla="*/ 202 h 202"/>
              </a:gdLst>
              <a:ahLst/>
              <a:cxnLst>
                <a:cxn ang="T12">
                  <a:pos x="T0" y="T1"/>
                </a:cxn>
                <a:cxn ang="T13">
                  <a:pos x="T2" y="T3"/>
                </a:cxn>
                <a:cxn ang="T14">
                  <a:pos x="T4" y="T5"/>
                </a:cxn>
                <a:cxn ang="T15">
                  <a:pos x="T6" y="T7"/>
                </a:cxn>
                <a:cxn ang="T16">
                  <a:pos x="T8" y="T9"/>
                </a:cxn>
                <a:cxn ang="T17">
                  <a:pos x="T10" y="T11"/>
                </a:cxn>
              </a:cxnLst>
              <a:rect l="T18" t="T19" r="T20" b="T21"/>
              <a:pathLst>
                <a:path w="27" h="202">
                  <a:moveTo>
                    <a:pt x="0" y="9"/>
                  </a:moveTo>
                  <a:lnTo>
                    <a:pt x="0" y="201"/>
                  </a:lnTo>
                  <a:lnTo>
                    <a:pt x="0" y="202"/>
                  </a:lnTo>
                  <a:lnTo>
                    <a:pt x="22" y="202"/>
                  </a:lnTo>
                  <a:lnTo>
                    <a:pt x="27" y="0"/>
                  </a:lnTo>
                  <a:lnTo>
                    <a:pt x="14" y="1"/>
                  </a:lnTo>
                </a:path>
              </a:pathLst>
            </a:custGeom>
            <a:solidFill>
              <a:srgbClr val="336666"/>
            </a:solidFill>
            <a:ln w="9525">
              <a:noFill/>
              <a:round/>
              <a:headEnd/>
              <a:tailEnd/>
            </a:ln>
          </xdr:spPr>
        </xdr:sp>
        <xdr:sp macro="" textlink="">
          <xdr:nvSpPr>
            <xdr:cNvPr id="11467" name="Freeform 45"/>
            <xdr:cNvSpPr>
              <a:spLocks/>
            </xdr:cNvSpPr>
          </xdr:nvSpPr>
          <xdr:spPr bwMode="auto">
            <a:xfrm>
              <a:off x="884" y="707"/>
              <a:ext cx="13" cy="156"/>
            </a:xfrm>
            <a:custGeom>
              <a:avLst/>
              <a:gdLst>
                <a:gd name="T0" fmla="*/ 0 w 13"/>
                <a:gd name="T1" fmla="*/ 0 h 155"/>
                <a:gd name="T2" fmla="*/ 13 w 13"/>
                <a:gd name="T3" fmla="*/ 0 h 155"/>
                <a:gd name="T4" fmla="*/ 13 w 13"/>
                <a:gd name="T5" fmla="*/ 172 h 155"/>
                <a:gd name="T6" fmla="*/ 1 w 13"/>
                <a:gd name="T7" fmla="*/ 178 h 155"/>
                <a:gd name="T8" fmla="*/ 0 w 13"/>
                <a:gd name="T9" fmla="*/ 0 h 155"/>
                <a:gd name="T10" fmla="*/ 0 60000 65536"/>
                <a:gd name="T11" fmla="*/ 0 60000 65536"/>
                <a:gd name="T12" fmla="*/ 0 60000 65536"/>
                <a:gd name="T13" fmla="*/ 0 60000 65536"/>
                <a:gd name="T14" fmla="*/ 0 60000 65536"/>
                <a:gd name="T15" fmla="*/ 0 w 13"/>
                <a:gd name="T16" fmla="*/ 0 h 155"/>
                <a:gd name="T17" fmla="*/ 13 w 13"/>
                <a:gd name="T18" fmla="*/ 155 h 155"/>
              </a:gdLst>
              <a:ahLst/>
              <a:cxnLst>
                <a:cxn ang="T10">
                  <a:pos x="T0" y="T1"/>
                </a:cxn>
                <a:cxn ang="T11">
                  <a:pos x="T2" y="T3"/>
                </a:cxn>
                <a:cxn ang="T12">
                  <a:pos x="T4" y="T5"/>
                </a:cxn>
                <a:cxn ang="T13">
                  <a:pos x="T6" y="T7"/>
                </a:cxn>
                <a:cxn ang="T14">
                  <a:pos x="T8" y="T9"/>
                </a:cxn>
              </a:cxnLst>
              <a:rect l="T15" t="T16" r="T17" b="T18"/>
              <a:pathLst>
                <a:path w="13" h="155">
                  <a:moveTo>
                    <a:pt x="0" y="0"/>
                  </a:moveTo>
                  <a:lnTo>
                    <a:pt x="13" y="0"/>
                  </a:lnTo>
                  <a:lnTo>
                    <a:pt x="13" y="149"/>
                  </a:lnTo>
                  <a:lnTo>
                    <a:pt x="1" y="155"/>
                  </a:lnTo>
                  <a:lnTo>
                    <a:pt x="0" y="0"/>
                  </a:lnTo>
                  <a:close/>
                </a:path>
              </a:pathLst>
            </a:custGeom>
            <a:solidFill>
              <a:srgbClr val="99FF99"/>
            </a:solidFill>
            <a:ln w="9525">
              <a:noFill/>
              <a:round/>
              <a:headEnd/>
              <a:tailEnd/>
            </a:ln>
          </xdr:spPr>
        </xdr:sp>
        <xdr:sp macro="" textlink="">
          <xdr:nvSpPr>
            <xdr:cNvPr id="11468" name="Line 46"/>
            <xdr:cNvSpPr>
              <a:spLocks noChangeShapeType="1"/>
            </xdr:cNvSpPr>
          </xdr:nvSpPr>
          <xdr:spPr bwMode="auto">
            <a:xfrm>
              <a:off x="910" y="705"/>
              <a:ext cx="0" cy="187"/>
            </a:xfrm>
            <a:prstGeom prst="line">
              <a:avLst/>
            </a:prstGeom>
            <a:noFill/>
            <a:ln w="28575">
              <a:solidFill>
                <a:srgbClr val="A6CAF0"/>
              </a:solidFill>
              <a:round/>
              <a:headEnd/>
              <a:tailEnd/>
            </a:ln>
          </xdr:spPr>
        </xdr:sp>
        <xdr:sp macro="" textlink="">
          <xdr:nvSpPr>
            <xdr:cNvPr id="11469" name="Line 47"/>
            <xdr:cNvSpPr>
              <a:spLocks noChangeShapeType="1"/>
            </xdr:cNvSpPr>
          </xdr:nvSpPr>
          <xdr:spPr bwMode="auto">
            <a:xfrm>
              <a:off x="897" y="707"/>
              <a:ext cx="1" cy="152"/>
            </a:xfrm>
            <a:prstGeom prst="line">
              <a:avLst/>
            </a:prstGeom>
            <a:noFill/>
            <a:ln w="19050">
              <a:solidFill>
                <a:srgbClr val="A6CAF0"/>
              </a:solidFill>
              <a:round/>
              <a:headEnd/>
              <a:tailEnd/>
            </a:ln>
          </xdr:spPr>
        </xdr:sp>
        <xdr:sp macro="" textlink="">
          <xdr:nvSpPr>
            <xdr:cNvPr id="11470" name="Line 48"/>
            <xdr:cNvSpPr>
              <a:spLocks noChangeShapeType="1"/>
            </xdr:cNvSpPr>
          </xdr:nvSpPr>
          <xdr:spPr bwMode="auto">
            <a:xfrm>
              <a:off x="885" y="721"/>
              <a:ext cx="1" cy="152"/>
            </a:xfrm>
            <a:prstGeom prst="line">
              <a:avLst/>
            </a:prstGeom>
            <a:noFill/>
            <a:ln w="19050">
              <a:solidFill>
                <a:srgbClr val="00CCFF"/>
              </a:solidFill>
              <a:round/>
              <a:headEnd/>
              <a:tailEnd/>
            </a:ln>
          </xdr:spPr>
        </xdr:sp>
        <xdr:sp macro="" textlink="">
          <xdr:nvSpPr>
            <xdr:cNvPr id="11471" name="Freeform 49"/>
            <xdr:cNvSpPr>
              <a:spLocks/>
            </xdr:cNvSpPr>
          </xdr:nvSpPr>
          <xdr:spPr bwMode="auto">
            <a:xfrm>
              <a:off x="883" y="707"/>
              <a:ext cx="2" cy="15"/>
            </a:xfrm>
            <a:custGeom>
              <a:avLst/>
              <a:gdLst>
                <a:gd name="T0" fmla="*/ 2 w 2"/>
                <a:gd name="T1" fmla="*/ 15 h 15"/>
                <a:gd name="T2" fmla="*/ 0 w 2"/>
                <a:gd name="T3" fmla="*/ 11 h 15"/>
                <a:gd name="T4" fmla="*/ 0 w 2"/>
                <a:gd name="T5" fmla="*/ 0 h 15"/>
                <a:gd name="T6" fmla="*/ 0 60000 65536"/>
                <a:gd name="T7" fmla="*/ 0 60000 65536"/>
                <a:gd name="T8" fmla="*/ 0 60000 65536"/>
                <a:gd name="T9" fmla="*/ 0 w 2"/>
                <a:gd name="T10" fmla="*/ 0 h 15"/>
                <a:gd name="T11" fmla="*/ 2 w 2"/>
                <a:gd name="T12" fmla="*/ 15 h 15"/>
              </a:gdLst>
              <a:ahLst/>
              <a:cxnLst>
                <a:cxn ang="T6">
                  <a:pos x="T0" y="T1"/>
                </a:cxn>
                <a:cxn ang="T7">
                  <a:pos x="T2" y="T3"/>
                </a:cxn>
                <a:cxn ang="T8">
                  <a:pos x="T4" y="T5"/>
                </a:cxn>
              </a:cxnLst>
              <a:rect l="T9" t="T10" r="T11" b="T12"/>
              <a:pathLst>
                <a:path w="2" h="15">
                  <a:moveTo>
                    <a:pt x="2" y="15"/>
                  </a:moveTo>
                  <a:lnTo>
                    <a:pt x="0" y="11"/>
                  </a:lnTo>
                  <a:lnTo>
                    <a:pt x="0" y="0"/>
                  </a:lnTo>
                </a:path>
              </a:pathLst>
            </a:custGeom>
            <a:noFill/>
            <a:ln w="19050" cmpd="sng">
              <a:solidFill>
                <a:srgbClr val="00CCFF"/>
              </a:solidFill>
              <a:round/>
              <a:headEnd/>
              <a:tailEnd/>
            </a:ln>
          </xdr:spPr>
        </xdr:sp>
        <xdr:sp macro="" textlink="">
          <xdr:nvSpPr>
            <xdr:cNvPr id="11472" name="Line 50"/>
            <xdr:cNvSpPr>
              <a:spLocks noChangeShapeType="1"/>
            </xdr:cNvSpPr>
          </xdr:nvSpPr>
          <xdr:spPr bwMode="auto">
            <a:xfrm>
              <a:off x="881" y="706"/>
              <a:ext cx="0" cy="0"/>
            </a:xfrm>
            <a:prstGeom prst="line">
              <a:avLst/>
            </a:prstGeom>
            <a:noFill/>
            <a:ln w="9525">
              <a:solidFill>
                <a:srgbClr val="000000"/>
              </a:solidFill>
              <a:round/>
              <a:headEnd/>
              <a:tailEnd/>
            </a:ln>
          </xdr:spPr>
        </xdr:sp>
        <xdr:sp macro="" textlink="">
          <xdr:nvSpPr>
            <xdr:cNvPr id="11473" name="Freeform 51"/>
            <xdr:cNvSpPr>
              <a:spLocks/>
            </xdr:cNvSpPr>
          </xdr:nvSpPr>
          <xdr:spPr bwMode="auto">
            <a:xfrm>
              <a:off x="876" y="656"/>
              <a:ext cx="73" cy="67"/>
            </a:xfrm>
            <a:custGeom>
              <a:avLst/>
              <a:gdLst>
                <a:gd name="T0" fmla="*/ 0 w 73"/>
                <a:gd name="T1" fmla="*/ 67 h 67"/>
                <a:gd name="T2" fmla="*/ 0 w 73"/>
                <a:gd name="T3" fmla="*/ 65 h 67"/>
                <a:gd name="T4" fmla="*/ 2 w 73"/>
                <a:gd name="T5" fmla="*/ 63 h 67"/>
                <a:gd name="T6" fmla="*/ 4 w 73"/>
                <a:gd name="T7" fmla="*/ 61 h 67"/>
                <a:gd name="T8" fmla="*/ 4 w 73"/>
                <a:gd name="T9" fmla="*/ 48 h 67"/>
                <a:gd name="T10" fmla="*/ 25 w 73"/>
                <a:gd name="T11" fmla="*/ 48 h 67"/>
                <a:gd name="T12" fmla="*/ 73 w 73"/>
                <a:gd name="T13" fmla="*/ 0 h 67"/>
                <a:gd name="T14" fmla="*/ 73 w 73"/>
                <a:gd name="T15" fmla="*/ 2 h 67"/>
                <a:gd name="T16" fmla="*/ 25 w 73"/>
                <a:gd name="T17" fmla="*/ 50 h 67"/>
                <a:gd name="T18" fmla="*/ 6 w 73"/>
                <a:gd name="T19" fmla="*/ 50 h 67"/>
                <a:gd name="T20" fmla="*/ 6 w 73"/>
                <a:gd name="T21" fmla="*/ 63 h 67"/>
                <a:gd name="T22" fmla="*/ 4 w 73"/>
                <a:gd name="T23" fmla="*/ 64 h 67"/>
                <a:gd name="T24" fmla="*/ 0 w 73"/>
                <a:gd name="T25" fmla="*/ 67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3"/>
                <a:gd name="T40" fmla="*/ 0 h 67"/>
                <a:gd name="T41" fmla="*/ 73 w 73"/>
                <a:gd name="T42" fmla="*/ 67 h 6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3" h="67">
                  <a:moveTo>
                    <a:pt x="0" y="67"/>
                  </a:moveTo>
                  <a:lnTo>
                    <a:pt x="0" y="65"/>
                  </a:lnTo>
                  <a:lnTo>
                    <a:pt x="2" y="63"/>
                  </a:lnTo>
                  <a:lnTo>
                    <a:pt x="4" y="61"/>
                  </a:lnTo>
                  <a:lnTo>
                    <a:pt x="4" y="48"/>
                  </a:lnTo>
                  <a:lnTo>
                    <a:pt x="25" y="48"/>
                  </a:lnTo>
                  <a:lnTo>
                    <a:pt x="73" y="0"/>
                  </a:lnTo>
                  <a:lnTo>
                    <a:pt x="73" y="2"/>
                  </a:lnTo>
                  <a:lnTo>
                    <a:pt x="25" y="50"/>
                  </a:lnTo>
                  <a:lnTo>
                    <a:pt x="6" y="50"/>
                  </a:lnTo>
                  <a:lnTo>
                    <a:pt x="6" y="63"/>
                  </a:lnTo>
                  <a:lnTo>
                    <a:pt x="4" y="64"/>
                  </a:lnTo>
                  <a:lnTo>
                    <a:pt x="0" y="67"/>
                  </a:lnTo>
                  <a:close/>
                </a:path>
              </a:pathLst>
            </a:custGeom>
            <a:solidFill>
              <a:srgbClr val="00CCFF"/>
            </a:solidFill>
            <a:ln w="6350" cmpd="sng">
              <a:solidFill>
                <a:srgbClr val="000000"/>
              </a:solidFill>
              <a:round/>
              <a:headEnd/>
              <a:tailEnd/>
            </a:ln>
          </xdr:spPr>
        </xdr:sp>
        <xdr:grpSp>
          <xdr:nvGrpSpPr>
            <xdr:cNvPr id="11474" name="Group 52"/>
            <xdr:cNvGrpSpPr>
              <a:grpSpLocks/>
            </xdr:cNvGrpSpPr>
          </xdr:nvGrpSpPr>
          <xdr:grpSpPr bwMode="auto">
            <a:xfrm>
              <a:off x="885" y="652"/>
              <a:ext cx="65" cy="47"/>
              <a:chOff x="112" y="627"/>
              <a:chExt cx="65" cy="47"/>
            </a:xfrm>
          </xdr:grpSpPr>
          <xdr:sp macro="" textlink="">
            <xdr:nvSpPr>
              <xdr:cNvPr id="11501" name="Freeform 53"/>
              <xdr:cNvSpPr>
                <a:spLocks/>
              </xdr:cNvSpPr>
            </xdr:nvSpPr>
            <xdr:spPr bwMode="auto">
              <a:xfrm>
                <a:off x="112" y="627"/>
                <a:ext cx="65" cy="41"/>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Lst>
                <a:ahLst/>
                <a:cxnLst>
                  <a:cxn ang="T10">
                    <a:pos x="T0" y="T1"/>
                  </a:cxn>
                  <a:cxn ang="T11">
                    <a:pos x="T2" y="T3"/>
                  </a:cxn>
                  <a:cxn ang="T12">
                    <a:pos x="T4" y="T5"/>
                  </a:cxn>
                  <a:cxn ang="T13">
                    <a:pos x="T6" y="T7"/>
                  </a:cxn>
                  <a:cxn ang="T14">
                    <a:pos x="T8" y="T9"/>
                  </a:cxn>
                </a:cxnLst>
                <a:rect l="T15" t="T16" r="T17" b="T18"/>
                <a:pathLst>
                  <a:path w="65" h="41">
                    <a:moveTo>
                      <a:pt x="24" y="41"/>
                    </a:moveTo>
                    <a:lnTo>
                      <a:pt x="0" y="41"/>
                    </a:lnTo>
                    <a:lnTo>
                      <a:pt x="41" y="0"/>
                    </a:lnTo>
                    <a:lnTo>
                      <a:pt x="65" y="0"/>
                    </a:lnTo>
                    <a:lnTo>
                      <a:pt x="24" y="41"/>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11502" name="Freeform 54"/>
              <xdr:cNvSpPr>
                <a:spLocks/>
              </xdr:cNvSpPr>
            </xdr:nvSpPr>
            <xdr:spPr bwMode="auto">
              <a:xfrm>
                <a:off x="112" y="627"/>
                <a:ext cx="65" cy="47"/>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5" h="47">
                    <a:moveTo>
                      <a:pt x="0" y="41"/>
                    </a:moveTo>
                    <a:lnTo>
                      <a:pt x="0" y="47"/>
                    </a:lnTo>
                    <a:lnTo>
                      <a:pt x="3" y="44"/>
                    </a:lnTo>
                    <a:lnTo>
                      <a:pt x="24" y="44"/>
                    </a:lnTo>
                    <a:lnTo>
                      <a:pt x="65" y="3"/>
                    </a:lnTo>
                    <a:lnTo>
                      <a:pt x="65" y="0"/>
                    </a:lnTo>
                    <a:lnTo>
                      <a:pt x="24" y="41"/>
                    </a:lnTo>
                    <a:lnTo>
                      <a:pt x="0" y="41"/>
                    </a:lnTo>
                    <a:close/>
                  </a:path>
                </a:pathLst>
              </a:custGeom>
              <a:solidFill>
                <a:srgbClr val="808080"/>
              </a:solidFill>
              <a:ln w="6350" cmpd="sng">
                <a:solidFill>
                  <a:srgbClr val="000000"/>
                </a:solidFill>
                <a:round/>
                <a:headEnd/>
                <a:tailEnd/>
              </a:ln>
            </xdr:spPr>
          </xdr:sp>
        </xdr:grpSp>
        <xdr:sp macro="" textlink="">
          <xdr:nvSpPr>
            <xdr:cNvPr id="11475" name="Line 55"/>
            <xdr:cNvSpPr>
              <a:spLocks noChangeShapeType="1"/>
            </xdr:cNvSpPr>
          </xdr:nvSpPr>
          <xdr:spPr bwMode="auto">
            <a:xfrm>
              <a:off x="909" y="693"/>
              <a:ext cx="0" cy="3"/>
            </a:xfrm>
            <a:prstGeom prst="line">
              <a:avLst/>
            </a:prstGeom>
            <a:noFill/>
            <a:ln w="9525">
              <a:solidFill>
                <a:srgbClr val="000000"/>
              </a:solidFill>
              <a:round/>
              <a:headEnd/>
              <a:tailEnd/>
            </a:ln>
          </xdr:spPr>
        </xdr:sp>
        <xdr:sp macro="" textlink="">
          <xdr:nvSpPr>
            <xdr:cNvPr id="11476" name="Line 56"/>
            <xdr:cNvSpPr>
              <a:spLocks noChangeShapeType="1"/>
            </xdr:cNvSpPr>
          </xdr:nvSpPr>
          <xdr:spPr bwMode="auto">
            <a:xfrm flipV="1">
              <a:off x="886" y="711"/>
              <a:ext cx="11" cy="11"/>
            </a:xfrm>
            <a:prstGeom prst="line">
              <a:avLst/>
            </a:prstGeom>
            <a:noFill/>
            <a:ln w="19050">
              <a:solidFill>
                <a:srgbClr val="A6CAF0"/>
              </a:solidFill>
              <a:round/>
              <a:headEnd/>
              <a:tailEnd/>
            </a:ln>
          </xdr:spPr>
        </xdr:sp>
        <xdr:sp macro="" textlink="">
          <xdr:nvSpPr>
            <xdr:cNvPr id="11477" name="Line 57"/>
            <xdr:cNvSpPr>
              <a:spLocks noChangeShapeType="1"/>
            </xdr:cNvSpPr>
          </xdr:nvSpPr>
          <xdr:spPr bwMode="auto">
            <a:xfrm flipV="1">
              <a:off x="882" y="707"/>
              <a:ext cx="12" cy="13"/>
            </a:xfrm>
            <a:prstGeom prst="line">
              <a:avLst/>
            </a:prstGeom>
            <a:noFill/>
            <a:ln w="19050">
              <a:solidFill>
                <a:srgbClr val="A6CAF0"/>
              </a:solidFill>
              <a:round/>
              <a:headEnd/>
              <a:tailEnd/>
            </a:ln>
          </xdr:spPr>
        </xdr:sp>
        <xdr:sp macro="" textlink="">
          <xdr:nvSpPr>
            <xdr:cNvPr id="11478" name="Freeform 58"/>
            <xdr:cNvSpPr>
              <a:spLocks/>
            </xdr:cNvSpPr>
          </xdr:nvSpPr>
          <xdr:spPr bwMode="auto">
            <a:xfrm>
              <a:off x="837" y="719"/>
              <a:ext cx="48" cy="22"/>
            </a:xfrm>
            <a:custGeom>
              <a:avLst/>
              <a:gdLst>
                <a:gd name="T0" fmla="*/ 0 w 48"/>
                <a:gd name="T1" fmla="*/ 22 h 22"/>
                <a:gd name="T2" fmla="*/ 3 w 48"/>
                <a:gd name="T3" fmla="*/ 19 h 22"/>
                <a:gd name="T4" fmla="*/ 25 w 48"/>
                <a:gd name="T5" fmla="*/ 19 h 22"/>
                <a:gd name="T6" fmla="*/ 44 w 48"/>
                <a:gd name="T7" fmla="*/ 0 h 22"/>
                <a:gd name="T8" fmla="*/ 48 w 48"/>
                <a:gd name="T9" fmla="*/ 1 h 22"/>
                <a:gd name="T10" fmla="*/ 27 w 48"/>
                <a:gd name="T11" fmla="*/ 22 h 22"/>
                <a:gd name="T12" fmla="*/ 0 w 48"/>
                <a:gd name="T13" fmla="*/ 22 h 22"/>
                <a:gd name="T14" fmla="*/ 0 60000 65536"/>
                <a:gd name="T15" fmla="*/ 0 60000 65536"/>
                <a:gd name="T16" fmla="*/ 0 60000 65536"/>
                <a:gd name="T17" fmla="*/ 0 60000 65536"/>
                <a:gd name="T18" fmla="*/ 0 60000 65536"/>
                <a:gd name="T19" fmla="*/ 0 60000 65536"/>
                <a:gd name="T20" fmla="*/ 0 60000 65536"/>
                <a:gd name="T21" fmla="*/ 0 w 48"/>
                <a:gd name="T22" fmla="*/ 0 h 22"/>
                <a:gd name="T23" fmla="*/ 48 w 48"/>
                <a:gd name="T24" fmla="*/ 22 h 2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8" h="22">
                  <a:moveTo>
                    <a:pt x="0" y="22"/>
                  </a:moveTo>
                  <a:lnTo>
                    <a:pt x="3" y="19"/>
                  </a:lnTo>
                  <a:lnTo>
                    <a:pt x="25" y="19"/>
                  </a:lnTo>
                  <a:lnTo>
                    <a:pt x="44" y="0"/>
                  </a:lnTo>
                  <a:lnTo>
                    <a:pt x="48" y="1"/>
                  </a:lnTo>
                  <a:lnTo>
                    <a:pt x="27" y="22"/>
                  </a:lnTo>
                  <a:lnTo>
                    <a:pt x="0" y="22"/>
                  </a:lnTo>
                  <a:close/>
                </a:path>
              </a:pathLst>
            </a:custGeom>
            <a:solidFill>
              <a:srgbClr val="C0C0C0"/>
            </a:solidFill>
            <a:ln w="9525">
              <a:solidFill>
                <a:srgbClr val="000000"/>
              </a:solidFill>
              <a:round/>
              <a:headEnd/>
              <a:tailEnd/>
            </a:ln>
          </xdr:spPr>
        </xdr:sp>
        <xdr:sp macro="" textlink="">
          <xdr:nvSpPr>
            <xdr:cNvPr id="11479" name="Freeform 59"/>
            <xdr:cNvSpPr>
              <a:spLocks/>
            </xdr:cNvSpPr>
          </xdr:nvSpPr>
          <xdr:spPr bwMode="auto">
            <a:xfrm>
              <a:off x="882" y="658"/>
              <a:ext cx="67" cy="177"/>
            </a:xfrm>
            <a:custGeom>
              <a:avLst/>
              <a:gdLst>
                <a:gd name="T0" fmla="*/ 67 w 67"/>
                <a:gd name="T1" fmla="*/ 0 h 177"/>
                <a:gd name="T2" fmla="*/ 67 w 67"/>
                <a:gd name="T3" fmla="*/ 2 h 177"/>
                <a:gd name="T4" fmla="*/ 19 w 67"/>
                <a:gd name="T5" fmla="*/ 50 h 177"/>
                <a:gd name="T6" fmla="*/ 2 w 67"/>
                <a:gd name="T7" fmla="*/ 50 h 177"/>
                <a:gd name="T8" fmla="*/ 2 w 67"/>
                <a:gd name="T9" fmla="*/ 60 h 177"/>
                <a:gd name="T10" fmla="*/ 3 w 67"/>
                <a:gd name="T11" fmla="*/ 62 h 177"/>
                <a:gd name="T12" fmla="*/ 4 w 67"/>
                <a:gd name="T13" fmla="*/ 64 h 177"/>
                <a:gd name="T14" fmla="*/ 5 w 67"/>
                <a:gd name="T15" fmla="*/ 177 h 177"/>
                <a:gd name="T16" fmla="*/ 3 w 67"/>
                <a:gd name="T17" fmla="*/ 175 h 177"/>
                <a:gd name="T18" fmla="*/ 2 w 67"/>
                <a:gd name="T19" fmla="*/ 66 h 177"/>
                <a:gd name="T20" fmla="*/ 1 w 67"/>
                <a:gd name="T21" fmla="*/ 63 h 177"/>
                <a:gd name="T22" fmla="*/ 0 w 67"/>
                <a:gd name="T23" fmla="*/ 61 h 177"/>
                <a:gd name="T24" fmla="*/ 0 w 67"/>
                <a:gd name="T25" fmla="*/ 48 h 177"/>
                <a:gd name="T26" fmla="*/ 19 w 67"/>
                <a:gd name="T27" fmla="*/ 48 h 177"/>
                <a:gd name="T28" fmla="*/ 67 w 67"/>
                <a:gd name="T29" fmla="*/ 0 h 17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7"/>
                <a:gd name="T46" fmla="*/ 0 h 177"/>
                <a:gd name="T47" fmla="*/ 67 w 67"/>
                <a:gd name="T48" fmla="*/ 177 h 17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7" h="177">
                  <a:moveTo>
                    <a:pt x="67" y="0"/>
                  </a:moveTo>
                  <a:lnTo>
                    <a:pt x="67" y="2"/>
                  </a:lnTo>
                  <a:lnTo>
                    <a:pt x="19" y="50"/>
                  </a:lnTo>
                  <a:lnTo>
                    <a:pt x="2" y="50"/>
                  </a:lnTo>
                  <a:lnTo>
                    <a:pt x="2" y="60"/>
                  </a:lnTo>
                  <a:lnTo>
                    <a:pt x="3" y="62"/>
                  </a:lnTo>
                  <a:lnTo>
                    <a:pt x="4" y="64"/>
                  </a:lnTo>
                  <a:lnTo>
                    <a:pt x="5" y="177"/>
                  </a:lnTo>
                  <a:lnTo>
                    <a:pt x="3" y="175"/>
                  </a:lnTo>
                  <a:lnTo>
                    <a:pt x="2" y="66"/>
                  </a:lnTo>
                  <a:lnTo>
                    <a:pt x="1" y="63"/>
                  </a:lnTo>
                  <a:lnTo>
                    <a:pt x="0" y="61"/>
                  </a:lnTo>
                  <a:lnTo>
                    <a:pt x="0" y="48"/>
                  </a:lnTo>
                  <a:lnTo>
                    <a:pt x="19" y="48"/>
                  </a:lnTo>
                  <a:lnTo>
                    <a:pt x="67" y="0"/>
                  </a:lnTo>
                  <a:close/>
                </a:path>
              </a:pathLst>
            </a:custGeom>
            <a:solidFill>
              <a:srgbClr val="00CCFF"/>
            </a:solidFill>
            <a:ln w="6350" cmpd="sng">
              <a:solidFill>
                <a:srgbClr val="000000"/>
              </a:solidFill>
              <a:round/>
              <a:headEnd/>
              <a:tailEnd/>
            </a:ln>
          </xdr:spPr>
        </xdr:sp>
        <xdr:sp macro="" textlink="">
          <xdr:nvSpPr>
            <xdr:cNvPr id="11480" name="Line 60"/>
            <xdr:cNvSpPr>
              <a:spLocks noChangeShapeType="1"/>
            </xdr:cNvSpPr>
          </xdr:nvSpPr>
          <xdr:spPr bwMode="auto">
            <a:xfrm>
              <a:off x="933" y="706"/>
              <a:ext cx="0" cy="0"/>
            </a:xfrm>
            <a:prstGeom prst="line">
              <a:avLst/>
            </a:prstGeom>
            <a:noFill/>
            <a:ln w="9525">
              <a:solidFill>
                <a:srgbClr val="000000"/>
              </a:solidFill>
              <a:round/>
              <a:headEnd/>
              <a:tailEnd/>
            </a:ln>
          </xdr:spPr>
        </xdr:sp>
        <xdr:sp macro="" textlink="">
          <xdr:nvSpPr>
            <xdr:cNvPr id="11481" name="Freeform 61"/>
            <xdr:cNvSpPr>
              <a:spLocks/>
            </xdr:cNvSpPr>
          </xdr:nvSpPr>
          <xdr:spPr bwMode="auto">
            <a:xfrm>
              <a:off x="907" y="662"/>
              <a:ext cx="62" cy="42"/>
            </a:xfrm>
            <a:custGeom>
              <a:avLst/>
              <a:gdLst>
                <a:gd name="T0" fmla="*/ 0 w 62"/>
                <a:gd name="T1" fmla="*/ 42 h 42"/>
                <a:gd name="T2" fmla="*/ 42 w 62"/>
                <a:gd name="T3" fmla="*/ 0 h 42"/>
                <a:gd name="T4" fmla="*/ 62 w 62"/>
                <a:gd name="T5" fmla="*/ 0 h 42"/>
                <a:gd name="T6" fmla="*/ 23 w 62"/>
                <a:gd name="T7" fmla="*/ 42 h 42"/>
                <a:gd name="T8" fmla="*/ 0 w 62"/>
                <a:gd name="T9" fmla="*/ 42 h 42"/>
                <a:gd name="T10" fmla="*/ 0 60000 65536"/>
                <a:gd name="T11" fmla="*/ 0 60000 65536"/>
                <a:gd name="T12" fmla="*/ 0 60000 65536"/>
                <a:gd name="T13" fmla="*/ 0 60000 65536"/>
                <a:gd name="T14" fmla="*/ 0 60000 65536"/>
                <a:gd name="T15" fmla="*/ 0 w 62"/>
                <a:gd name="T16" fmla="*/ 0 h 42"/>
                <a:gd name="T17" fmla="*/ 62 w 62"/>
                <a:gd name="T18" fmla="*/ 42 h 42"/>
              </a:gdLst>
              <a:ahLst/>
              <a:cxnLst>
                <a:cxn ang="T10">
                  <a:pos x="T0" y="T1"/>
                </a:cxn>
                <a:cxn ang="T11">
                  <a:pos x="T2" y="T3"/>
                </a:cxn>
                <a:cxn ang="T12">
                  <a:pos x="T4" y="T5"/>
                </a:cxn>
                <a:cxn ang="T13">
                  <a:pos x="T6" y="T7"/>
                </a:cxn>
                <a:cxn ang="T14">
                  <a:pos x="T8" y="T9"/>
                </a:cxn>
              </a:cxnLst>
              <a:rect l="T15" t="T16" r="T17" b="T18"/>
              <a:pathLst>
                <a:path w="62" h="42">
                  <a:moveTo>
                    <a:pt x="0" y="42"/>
                  </a:moveTo>
                  <a:lnTo>
                    <a:pt x="42" y="0"/>
                  </a:lnTo>
                  <a:lnTo>
                    <a:pt x="62" y="0"/>
                  </a:lnTo>
                  <a:lnTo>
                    <a:pt x="23" y="42"/>
                  </a:lnTo>
                  <a:lnTo>
                    <a:pt x="0" y="42"/>
                  </a:lnTo>
                  <a:close/>
                </a:path>
              </a:pathLst>
            </a:custGeom>
            <a:gradFill rotWithShape="1">
              <a:gsLst>
                <a:gs pos="0">
                  <a:srgbClr val="69FFFF"/>
                </a:gs>
                <a:gs pos="100000">
                  <a:srgbClr val="CCFFCC"/>
                </a:gs>
              </a:gsLst>
              <a:lin ang="0" scaled="1"/>
            </a:gradFill>
            <a:ln w="9525">
              <a:solidFill>
                <a:srgbClr val="000000"/>
              </a:solidFill>
              <a:round/>
              <a:headEnd/>
              <a:tailEnd/>
            </a:ln>
          </xdr:spPr>
        </xdr:sp>
        <xdr:sp macro="" textlink="">
          <xdr:nvSpPr>
            <xdr:cNvPr id="11482" name="Freeform 62"/>
            <xdr:cNvSpPr>
              <a:spLocks/>
            </xdr:cNvSpPr>
          </xdr:nvSpPr>
          <xdr:spPr bwMode="auto">
            <a:xfrm>
              <a:off x="889" y="720"/>
              <a:ext cx="23" cy="176"/>
            </a:xfrm>
            <a:custGeom>
              <a:avLst/>
              <a:gdLst>
                <a:gd name="T0" fmla="*/ 0 w 23"/>
                <a:gd name="T1" fmla="*/ 18 h 176"/>
                <a:gd name="T2" fmla="*/ 23 w 23"/>
                <a:gd name="T3" fmla="*/ 0 h 176"/>
                <a:gd name="T4" fmla="*/ 23 w 23"/>
                <a:gd name="T5" fmla="*/ 176 h 176"/>
                <a:gd name="T6" fmla="*/ 0 w 23"/>
                <a:gd name="T7" fmla="*/ 176 h 176"/>
                <a:gd name="T8" fmla="*/ 0 w 23"/>
                <a:gd name="T9" fmla="*/ 18 h 176"/>
                <a:gd name="T10" fmla="*/ 0 60000 65536"/>
                <a:gd name="T11" fmla="*/ 0 60000 65536"/>
                <a:gd name="T12" fmla="*/ 0 60000 65536"/>
                <a:gd name="T13" fmla="*/ 0 60000 65536"/>
                <a:gd name="T14" fmla="*/ 0 60000 65536"/>
                <a:gd name="T15" fmla="*/ 0 w 23"/>
                <a:gd name="T16" fmla="*/ 0 h 176"/>
                <a:gd name="T17" fmla="*/ 23 w 23"/>
                <a:gd name="T18" fmla="*/ 176 h 176"/>
              </a:gdLst>
              <a:ahLst/>
              <a:cxnLst>
                <a:cxn ang="T10">
                  <a:pos x="T0" y="T1"/>
                </a:cxn>
                <a:cxn ang="T11">
                  <a:pos x="T2" y="T3"/>
                </a:cxn>
                <a:cxn ang="T12">
                  <a:pos x="T4" y="T5"/>
                </a:cxn>
                <a:cxn ang="T13">
                  <a:pos x="T6" y="T7"/>
                </a:cxn>
                <a:cxn ang="T14">
                  <a:pos x="T8" y="T9"/>
                </a:cxn>
              </a:cxnLst>
              <a:rect l="T15" t="T16" r="T17" b="T18"/>
              <a:pathLst>
                <a:path w="23" h="176">
                  <a:moveTo>
                    <a:pt x="0" y="18"/>
                  </a:moveTo>
                  <a:lnTo>
                    <a:pt x="23" y="0"/>
                  </a:lnTo>
                  <a:lnTo>
                    <a:pt x="23" y="176"/>
                  </a:lnTo>
                  <a:lnTo>
                    <a:pt x="0" y="176"/>
                  </a:lnTo>
                  <a:lnTo>
                    <a:pt x="0" y="18"/>
                  </a:lnTo>
                  <a:close/>
                </a:path>
              </a:pathLst>
            </a:custGeom>
            <a:gradFill rotWithShape="1">
              <a:gsLst>
                <a:gs pos="0">
                  <a:srgbClr val="DDDDDD"/>
                </a:gs>
                <a:gs pos="100000">
                  <a:srgbClr val="666666"/>
                </a:gs>
              </a:gsLst>
              <a:lin ang="0" scaled="1"/>
            </a:gradFill>
            <a:ln w="9525">
              <a:solidFill>
                <a:srgbClr val="000000"/>
              </a:solidFill>
              <a:round/>
              <a:headEnd/>
              <a:tailEnd/>
            </a:ln>
          </xdr:spPr>
        </xdr:sp>
        <xdr:sp macro="" textlink="">
          <xdr:nvSpPr>
            <xdr:cNvPr id="11483" name="Line 63"/>
            <xdr:cNvSpPr>
              <a:spLocks noChangeShapeType="1"/>
            </xdr:cNvSpPr>
          </xdr:nvSpPr>
          <xdr:spPr bwMode="auto">
            <a:xfrm flipV="1">
              <a:off x="912" y="707"/>
              <a:ext cx="13" cy="13"/>
            </a:xfrm>
            <a:prstGeom prst="line">
              <a:avLst/>
            </a:prstGeom>
            <a:noFill/>
            <a:ln w="28575">
              <a:solidFill>
                <a:srgbClr val="A6CAF0"/>
              </a:solidFill>
              <a:round/>
              <a:headEnd/>
              <a:tailEnd/>
            </a:ln>
          </xdr:spPr>
        </xdr:sp>
        <xdr:sp macro="" textlink="">
          <xdr:nvSpPr>
            <xdr:cNvPr id="11484" name="Freeform 64"/>
            <xdr:cNvSpPr>
              <a:spLocks/>
            </xdr:cNvSpPr>
          </xdr:nvSpPr>
          <xdr:spPr bwMode="auto">
            <a:xfrm>
              <a:off x="923" y="697"/>
              <a:ext cx="27" cy="202"/>
            </a:xfrm>
            <a:custGeom>
              <a:avLst/>
              <a:gdLst>
                <a:gd name="T0" fmla="*/ 0 w 27"/>
                <a:gd name="T1" fmla="*/ 9 h 202"/>
                <a:gd name="T2" fmla="*/ 0 w 27"/>
                <a:gd name="T3" fmla="*/ 201 h 202"/>
                <a:gd name="T4" fmla="*/ 0 w 27"/>
                <a:gd name="T5" fmla="*/ 202 h 202"/>
                <a:gd name="T6" fmla="*/ 22 w 27"/>
                <a:gd name="T7" fmla="*/ 202 h 202"/>
                <a:gd name="T8" fmla="*/ 27 w 27"/>
                <a:gd name="T9" fmla="*/ 0 h 202"/>
                <a:gd name="T10" fmla="*/ 15 w 27"/>
                <a:gd name="T11" fmla="*/ 0 h 202"/>
                <a:gd name="T12" fmla="*/ 0 60000 65536"/>
                <a:gd name="T13" fmla="*/ 0 60000 65536"/>
                <a:gd name="T14" fmla="*/ 0 60000 65536"/>
                <a:gd name="T15" fmla="*/ 0 60000 65536"/>
                <a:gd name="T16" fmla="*/ 0 60000 65536"/>
                <a:gd name="T17" fmla="*/ 0 60000 65536"/>
                <a:gd name="T18" fmla="*/ 0 w 27"/>
                <a:gd name="T19" fmla="*/ 0 h 202"/>
                <a:gd name="T20" fmla="*/ 27 w 27"/>
                <a:gd name="T21" fmla="*/ 202 h 202"/>
              </a:gdLst>
              <a:ahLst/>
              <a:cxnLst>
                <a:cxn ang="T12">
                  <a:pos x="T0" y="T1"/>
                </a:cxn>
                <a:cxn ang="T13">
                  <a:pos x="T2" y="T3"/>
                </a:cxn>
                <a:cxn ang="T14">
                  <a:pos x="T4" y="T5"/>
                </a:cxn>
                <a:cxn ang="T15">
                  <a:pos x="T6" y="T7"/>
                </a:cxn>
                <a:cxn ang="T16">
                  <a:pos x="T8" y="T9"/>
                </a:cxn>
                <a:cxn ang="T17">
                  <a:pos x="T10" y="T11"/>
                </a:cxn>
              </a:cxnLst>
              <a:rect l="T18" t="T19" r="T20" b="T21"/>
              <a:pathLst>
                <a:path w="27" h="202">
                  <a:moveTo>
                    <a:pt x="0" y="9"/>
                  </a:moveTo>
                  <a:lnTo>
                    <a:pt x="0" y="201"/>
                  </a:lnTo>
                  <a:lnTo>
                    <a:pt x="0" y="202"/>
                  </a:lnTo>
                  <a:lnTo>
                    <a:pt x="22" y="202"/>
                  </a:lnTo>
                  <a:lnTo>
                    <a:pt x="27" y="0"/>
                  </a:lnTo>
                  <a:lnTo>
                    <a:pt x="15" y="0"/>
                  </a:lnTo>
                </a:path>
              </a:pathLst>
            </a:custGeom>
            <a:solidFill>
              <a:srgbClr val="336666"/>
            </a:solidFill>
            <a:ln w="9525">
              <a:noFill/>
              <a:round/>
              <a:headEnd/>
              <a:tailEnd/>
            </a:ln>
          </xdr:spPr>
        </xdr:sp>
        <xdr:sp macro="" textlink="">
          <xdr:nvSpPr>
            <xdr:cNvPr id="11485" name="Freeform 65"/>
            <xdr:cNvSpPr>
              <a:spLocks/>
            </xdr:cNvSpPr>
          </xdr:nvSpPr>
          <xdr:spPr bwMode="auto">
            <a:xfrm>
              <a:off x="911" y="707"/>
              <a:ext cx="13" cy="156"/>
            </a:xfrm>
            <a:custGeom>
              <a:avLst/>
              <a:gdLst>
                <a:gd name="T0" fmla="*/ 0 w 13"/>
                <a:gd name="T1" fmla="*/ 0 h 155"/>
                <a:gd name="T2" fmla="*/ 13 w 13"/>
                <a:gd name="T3" fmla="*/ 0 h 155"/>
                <a:gd name="T4" fmla="*/ 13 w 13"/>
                <a:gd name="T5" fmla="*/ 172 h 155"/>
                <a:gd name="T6" fmla="*/ 1 w 13"/>
                <a:gd name="T7" fmla="*/ 178 h 155"/>
                <a:gd name="T8" fmla="*/ 0 w 13"/>
                <a:gd name="T9" fmla="*/ 0 h 155"/>
                <a:gd name="T10" fmla="*/ 0 60000 65536"/>
                <a:gd name="T11" fmla="*/ 0 60000 65536"/>
                <a:gd name="T12" fmla="*/ 0 60000 65536"/>
                <a:gd name="T13" fmla="*/ 0 60000 65536"/>
                <a:gd name="T14" fmla="*/ 0 60000 65536"/>
                <a:gd name="T15" fmla="*/ 0 w 13"/>
                <a:gd name="T16" fmla="*/ 0 h 155"/>
                <a:gd name="T17" fmla="*/ 13 w 13"/>
                <a:gd name="T18" fmla="*/ 155 h 155"/>
              </a:gdLst>
              <a:ahLst/>
              <a:cxnLst>
                <a:cxn ang="T10">
                  <a:pos x="T0" y="T1"/>
                </a:cxn>
                <a:cxn ang="T11">
                  <a:pos x="T2" y="T3"/>
                </a:cxn>
                <a:cxn ang="T12">
                  <a:pos x="T4" y="T5"/>
                </a:cxn>
                <a:cxn ang="T13">
                  <a:pos x="T6" y="T7"/>
                </a:cxn>
                <a:cxn ang="T14">
                  <a:pos x="T8" y="T9"/>
                </a:cxn>
              </a:cxnLst>
              <a:rect l="T15" t="T16" r="T17" b="T18"/>
              <a:pathLst>
                <a:path w="13" h="155">
                  <a:moveTo>
                    <a:pt x="0" y="0"/>
                  </a:moveTo>
                  <a:lnTo>
                    <a:pt x="13" y="0"/>
                  </a:lnTo>
                  <a:lnTo>
                    <a:pt x="13" y="149"/>
                  </a:lnTo>
                  <a:lnTo>
                    <a:pt x="1" y="155"/>
                  </a:lnTo>
                  <a:lnTo>
                    <a:pt x="0" y="0"/>
                  </a:lnTo>
                  <a:close/>
                </a:path>
              </a:pathLst>
            </a:custGeom>
            <a:solidFill>
              <a:srgbClr val="99FF99"/>
            </a:solidFill>
            <a:ln w="9525">
              <a:noFill/>
              <a:round/>
              <a:headEnd/>
              <a:tailEnd/>
            </a:ln>
          </xdr:spPr>
        </xdr:sp>
        <xdr:sp macro="" textlink="">
          <xdr:nvSpPr>
            <xdr:cNvPr id="11486" name="Line 66"/>
            <xdr:cNvSpPr>
              <a:spLocks noChangeShapeType="1"/>
            </xdr:cNvSpPr>
          </xdr:nvSpPr>
          <xdr:spPr bwMode="auto">
            <a:xfrm>
              <a:off x="937" y="705"/>
              <a:ext cx="0" cy="187"/>
            </a:xfrm>
            <a:prstGeom prst="line">
              <a:avLst/>
            </a:prstGeom>
            <a:noFill/>
            <a:ln w="28575">
              <a:solidFill>
                <a:srgbClr val="A6CAF0"/>
              </a:solidFill>
              <a:round/>
              <a:headEnd/>
              <a:tailEnd/>
            </a:ln>
          </xdr:spPr>
        </xdr:sp>
        <xdr:sp macro="" textlink="">
          <xdr:nvSpPr>
            <xdr:cNvPr id="11487" name="Line 67"/>
            <xdr:cNvSpPr>
              <a:spLocks noChangeShapeType="1"/>
            </xdr:cNvSpPr>
          </xdr:nvSpPr>
          <xdr:spPr bwMode="auto">
            <a:xfrm>
              <a:off x="924" y="707"/>
              <a:ext cx="1" cy="152"/>
            </a:xfrm>
            <a:prstGeom prst="line">
              <a:avLst/>
            </a:prstGeom>
            <a:noFill/>
            <a:ln w="19050">
              <a:solidFill>
                <a:srgbClr val="A6CAF0"/>
              </a:solidFill>
              <a:round/>
              <a:headEnd/>
              <a:tailEnd/>
            </a:ln>
          </xdr:spPr>
        </xdr:sp>
        <xdr:sp macro="" textlink="">
          <xdr:nvSpPr>
            <xdr:cNvPr id="11488" name="Line 68"/>
            <xdr:cNvSpPr>
              <a:spLocks noChangeShapeType="1"/>
            </xdr:cNvSpPr>
          </xdr:nvSpPr>
          <xdr:spPr bwMode="auto">
            <a:xfrm>
              <a:off x="912" y="721"/>
              <a:ext cx="1" cy="152"/>
            </a:xfrm>
            <a:prstGeom prst="line">
              <a:avLst/>
            </a:prstGeom>
            <a:noFill/>
            <a:ln w="19050">
              <a:solidFill>
                <a:srgbClr val="00CCFF"/>
              </a:solidFill>
              <a:round/>
              <a:headEnd/>
              <a:tailEnd/>
            </a:ln>
          </xdr:spPr>
        </xdr:sp>
        <xdr:sp macro="" textlink="">
          <xdr:nvSpPr>
            <xdr:cNvPr id="11489" name="Freeform 69"/>
            <xdr:cNvSpPr>
              <a:spLocks/>
            </xdr:cNvSpPr>
          </xdr:nvSpPr>
          <xdr:spPr bwMode="auto">
            <a:xfrm>
              <a:off x="910" y="707"/>
              <a:ext cx="2" cy="15"/>
            </a:xfrm>
            <a:custGeom>
              <a:avLst/>
              <a:gdLst>
                <a:gd name="T0" fmla="*/ 2 w 2"/>
                <a:gd name="T1" fmla="*/ 15 h 15"/>
                <a:gd name="T2" fmla="*/ 0 w 2"/>
                <a:gd name="T3" fmla="*/ 11 h 15"/>
                <a:gd name="T4" fmla="*/ 0 w 2"/>
                <a:gd name="T5" fmla="*/ 0 h 15"/>
                <a:gd name="T6" fmla="*/ 0 60000 65536"/>
                <a:gd name="T7" fmla="*/ 0 60000 65536"/>
                <a:gd name="T8" fmla="*/ 0 60000 65536"/>
                <a:gd name="T9" fmla="*/ 0 w 2"/>
                <a:gd name="T10" fmla="*/ 0 h 15"/>
                <a:gd name="T11" fmla="*/ 2 w 2"/>
                <a:gd name="T12" fmla="*/ 15 h 15"/>
              </a:gdLst>
              <a:ahLst/>
              <a:cxnLst>
                <a:cxn ang="T6">
                  <a:pos x="T0" y="T1"/>
                </a:cxn>
                <a:cxn ang="T7">
                  <a:pos x="T2" y="T3"/>
                </a:cxn>
                <a:cxn ang="T8">
                  <a:pos x="T4" y="T5"/>
                </a:cxn>
              </a:cxnLst>
              <a:rect l="T9" t="T10" r="T11" b="T12"/>
              <a:pathLst>
                <a:path w="2" h="15">
                  <a:moveTo>
                    <a:pt x="2" y="15"/>
                  </a:moveTo>
                  <a:lnTo>
                    <a:pt x="0" y="11"/>
                  </a:lnTo>
                  <a:lnTo>
                    <a:pt x="0" y="0"/>
                  </a:lnTo>
                </a:path>
              </a:pathLst>
            </a:custGeom>
            <a:noFill/>
            <a:ln w="19050" cmpd="sng">
              <a:solidFill>
                <a:srgbClr val="00CCFF"/>
              </a:solidFill>
              <a:round/>
              <a:headEnd/>
              <a:tailEnd/>
            </a:ln>
          </xdr:spPr>
        </xdr:sp>
        <xdr:sp macro="" textlink="">
          <xdr:nvSpPr>
            <xdr:cNvPr id="11490" name="Line 70"/>
            <xdr:cNvSpPr>
              <a:spLocks noChangeShapeType="1"/>
            </xdr:cNvSpPr>
          </xdr:nvSpPr>
          <xdr:spPr bwMode="auto">
            <a:xfrm>
              <a:off x="908" y="706"/>
              <a:ext cx="0" cy="0"/>
            </a:xfrm>
            <a:prstGeom prst="line">
              <a:avLst/>
            </a:prstGeom>
            <a:noFill/>
            <a:ln w="9525">
              <a:solidFill>
                <a:srgbClr val="000000"/>
              </a:solidFill>
              <a:round/>
              <a:headEnd/>
              <a:tailEnd/>
            </a:ln>
          </xdr:spPr>
        </xdr:sp>
        <xdr:sp macro="" textlink="">
          <xdr:nvSpPr>
            <xdr:cNvPr id="11491" name="Freeform 71"/>
            <xdr:cNvSpPr>
              <a:spLocks/>
            </xdr:cNvSpPr>
          </xdr:nvSpPr>
          <xdr:spPr bwMode="auto">
            <a:xfrm>
              <a:off x="903" y="656"/>
              <a:ext cx="73" cy="67"/>
            </a:xfrm>
            <a:custGeom>
              <a:avLst/>
              <a:gdLst>
                <a:gd name="T0" fmla="*/ 0 w 73"/>
                <a:gd name="T1" fmla="*/ 67 h 67"/>
                <a:gd name="T2" fmla="*/ 0 w 73"/>
                <a:gd name="T3" fmla="*/ 65 h 67"/>
                <a:gd name="T4" fmla="*/ 2 w 73"/>
                <a:gd name="T5" fmla="*/ 63 h 67"/>
                <a:gd name="T6" fmla="*/ 4 w 73"/>
                <a:gd name="T7" fmla="*/ 61 h 67"/>
                <a:gd name="T8" fmla="*/ 4 w 73"/>
                <a:gd name="T9" fmla="*/ 48 h 67"/>
                <a:gd name="T10" fmla="*/ 25 w 73"/>
                <a:gd name="T11" fmla="*/ 48 h 67"/>
                <a:gd name="T12" fmla="*/ 73 w 73"/>
                <a:gd name="T13" fmla="*/ 0 h 67"/>
                <a:gd name="T14" fmla="*/ 73 w 73"/>
                <a:gd name="T15" fmla="*/ 2 h 67"/>
                <a:gd name="T16" fmla="*/ 25 w 73"/>
                <a:gd name="T17" fmla="*/ 50 h 67"/>
                <a:gd name="T18" fmla="*/ 6 w 73"/>
                <a:gd name="T19" fmla="*/ 50 h 67"/>
                <a:gd name="T20" fmla="*/ 6 w 73"/>
                <a:gd name="T21" fmla="*/ 63 h 67"/>
                <a:gd name="T22" fmla="*/ 4 w 73"/>
                <a:gd name="T23" fmla="*/ 64 h 67"/>
                <a:gd name="T24" fmla="*/ 0 w 73"/>
                <a:gd name="T25" fmla="*/ 67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3"/>
                <a:gd name="T40" fmla="*/ 0 h 67"/>
                <a:gd name="T41" fmla="*/ 73 w 73"/>
                <a:gd name="T42" fmla="*/ 67 h 6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3" h="67">
                  <a:moveTo>
                    <a:pt x="0" y="67"/>
                  </a:moveTo>
                  <a:lnTo>
                    <a:pt x="0" y="65"/>
                  </a:lnTo>
                  <a:lnTo>
                    <a:pt x="2" y="63"/>
                  </a:lnTo>
                  <a:lnTo>
                    <a:pt x="4" y="61"/>
                  </a:lnTo>
                  <a:lnTo>
                    <a:pt x="4" y="48"/>
                  </a:lnTo>
                  <a:lnTo>
                    <a:pt x="25" y="48"/>
                  </a:lnTo>
                  <a:lnTo>
                    <a:pt x="73" y="0"/>
                  </a:lnTo>
                  <a:lnTo>
                    <a:pt x="73" y="2"/>
                  </a:lnTo>
                  <a:lnTo>
                    <a:pt x="25" y="50"/>
                  </a:lnTo>
                  <a:lnTo>
                    <a:pt x="6" y="50"/>
                  </a:lnTo>
                  <a:lnTo>
                    <a:pt x="6" y="63"/>
                  </a:lnTo>
                  <a:lnTo>
                    <a:pt x="4" y="64"/>
                  </a:lnTo>
                  <a:lnTo>
                    <a:pt x="0" y="67"/>
                  </a:lnTo>
                  <a:close/>
                </a:path>
              </a:pathLst>
            </a:custGeom>
            <a:solidFill>
              <a:srgbClr val="00CCFF"/>
            </a:solidFill>
            <a:ln w="6350" cmpd="sng">
              <a:solidFill>
                <a:srgbClr val="000000"/>
              </a:solidFill>
              <a:round/>
              <a:headEnd/>
              <a:tailEnd/>
            </a:ln>
          </xdr:spPr>
        </xdr:sp>
        <xdr:grpSp>
          <xdr:nvGrpSpPr>
            <xdr:cNvPr id="11492" name="Group 72"/>
            <xdr:cNvGrpSpPr>
              <a:grpSpLocks/>
            </xdr:cNvGrpSpPr>
          </xdr:nvGrpSpPr>
          <xdr:grpSpPr bwMode="auto">
            <a:xfrm>
              <a:off x="912" y="652"/>
              <a:ext cx="65" cy="47"/>
              <a:chOff x="112" y="627"/>
              <a:chExt cx="65" cy="47"/>
            </a:xfrm>
          </xdr:grpSpPr>
          <xdr:sp macro="" textlink="">
            <xdr:nvSpPr>
              <xdr:cNvPr id="11499" name="Freeform 73"/>
              <xdr:cNvSpPr>
                <a:spLocks/>
              </xdr:cNvSpPr>
            </xdr:nvSpPr>
            <xdr:spPr bwMode="auto">
              <a:xfrm>
                <a:off x="112" y="627"/>
                <a:ext cx="65" cy="41"/>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Lst>
                <a:ahLst/>
                <a:cxnLst>
                  <a:cxn ang="T10">
                    <a:pos x="T0" y="T1"/>
                  </a:cxn>
                  <a:cxn ang="T11">
                    <a:pos x="T2" y="T3"/>
                  </a:cxn>
                  <a:cxn ang="T12">
                    <a:pos x="T4" y="T5"/>
                  </a:cxn>
                  <a:cxn ang="T13">
                    <a:pos x="T6" y="T7"/>
                  </a:cxn>
                  <a:cxn ang="T14">
                    <a:pos x="T8" y="T9"/>
                  </a:cxn>
                </a:cxnLst>
                <a:rect l="T15" t="T16" r="T17" b="T18"/>
                <a:pathLst>
                  <a:path w="65" h="41">
                    <a:moveTo>
                      <a:pt x="24" y="41"/>
                    </a:moveTo>
                    <a:lnTo>
                      <a:pt x="0" y="41"/>
                    </a:lnTo>
                    <a:lnTo>
                      <a:pt x="41" y="0"/>
                    </a:lnTo>
                    <a:lnTo>
                      <a:pt x="65" y="0"/>
                    </a:lnTo>
                    <a:lnTo>
                      <a:pt x="24" y="41"/>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11500" name="Freeform 74"/>
              <xdr:cNvSpPr>
                <a:spLocks/>
              </xdr:cNvSpPr>
            </xdr:nvSpPr>
            <xdr:spPr bwMode="auto">
              <a:xfrm>
                <a:off x="112" y="627"/>
                <a:ext cx="65" cy="47"/>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5" h="47">
                    <a:moveTo>
                      <a:pt x="0" y="41"/>
                    </a:moveTo>
                    <a:lnTo>
                      <a:pt x="0" y="47"/>
                    </a:lnTo>
                    <a:lnTo>
                      <a:pt x="3" y="44"/>
                    </a:lnTo>
                    <a:lnTo>
                      <a:pt x="24" y="44"/>
                    </a:lnTo>
                    <a:lnTo>
                      <a:pt x="65" y="3"/>
                    </a:lnTo>
                    <a:lnTo>
                      <a:pt x="65" y="0"/>
                    </a:lnTo>
                    <a:lnTo>
                      <a:pt x="24" y="41"/>
                    </a:lnTo>
                    <a:lnTo>
                      <a:pt x="0" y="41"/>
                    </a:lnTo>
                    <a:close/>
                  </a:path>
                </a:pathLst>
              </a:custGeom>
              <a:solidFill>
                <a:srgbClr val="808080"/>
              </a:solidFill>
              <a:ln w="6350" cmpd="sng">
                <a:solidFill>
                  <a:srgbClr val="000000"/>
                </a:solidFill>
                <a:round/>
                <a:headEnd/>
                <a:tailEnd/>
              </a:ln>
            </xdr:spPr>
          </xdr:sp>
        </xdr:grpSp>
        <xdr:sp macro="" textlink="">
          <xdr:nvSpPr>
            <xdr:cNvPr id="11493" name="Line 75"/>
            <xdr:cNvSpPr>
              <a:spLocks noChangeShapeType="1"/>
            </xdr:cNvSpPr>
          </xdr:nvSpPr>
          <xdr:spPr bwMode="auto">
            <a:xfrm>
              <a:off x="936" y="693"/>
              <a:ext cx="0" cy="3"/>
            </a:xfrm>
            <a:prstGeom prst="line">
              <a:avLst/>
            </a:prstGeom>
            <a:noFill/>
            <a:ln w="9525">
              <a:solidFill>
                <a:srgbClr val="000000"/>
              </a:solidFill>
              <a:round/>
              <a:headEnd/>
              <a:tailEnd/>
            </a:ln>
          </xdr:spPr>
        </xdr:sp>
        <xdr:sp macro="" textlink="">
          <xdr:nvSpPr>
            <xdr:cNvPr id="11494" name="Line 76"/>
            <xdr:cNvSpPr>
              <a:spLocks noChangeShapeType="1"/>
            </xdr:cNvSpPr>
          </xdr:nvSpPr>
          <xdr:spPr bwMode="auto">
            <a:xfrm flipV="1">
              <a:off x="913" y="711"/>
              <a:ext cx="11" cy="11"/>
            </a:xfrm>
            <a:prstGeom prst="line">
              <a:avLst/>
            </a:prstGeom>
            <a:noFill/>
            <a:ln w="19050">
              <a:solidFill>
                <a:srgbClr val="A6CAF0"/>
              </a:solidFill>
              <a:round/>
              <a:headEnd/>
              <a:tailEnd/>
            </a:ln>
          </xdr:spPr>
        </xdr:sp>
        <xdr:sp macro="" textlink="">
          <xdr:nvSpPr>
            <xdr:cNvPr id="11495" name="Line 77"/>
            <xdr:cNvSpPr>
              <a:spLocks noChangeShapeType="1"/>
            </xdr:cNvSpPr>
          </xdr:nvSpPr>
          <xdr:spPr bwMode="auto">
            <a:xfrm flipV="1">
              <a:off x="909" y="707"/>
              <a:ext cx="12" cy="13"/>
            </a:xfrm>
            <a:prstGeom prst="line">
              <a:avLst/>
            </a:prstGeom>
            <a:noFill/>
            <a:ln w="19050">
              <a:solidFill>
                <a:srgbClr val="A6CAF0"/>
              </a:solidFill>
              <a:round/>
              <a:headEnd/>
              <a:tailEnd/>
            </a:ln>
          </xdr:spPr>
        </xdr:sp>
        <xdr:sp macro="" textlink="">
          <xdr:nvSpPr>
            <xdr:cNvPr id="11496" name="Freeform 78"/>
            <xdr:cNvSpPr>
              <a:spLocks/>
            </xdr:cNvSpPr>
          </xdr:nvSpPr>
          <xdr:spPr bwMode="auto">
            <a:xfrm>
              <a:off x="909" y="658"/>
              <a:ext cx="67" cy="177"/>
            </a:xfrm>
            <a:custGeom>
              <a:avLst/>
              <a:gdLst>
                <a:gd name="T0" fmla="*/ 67 w 67"/>
                <a:gd name="T1" fmla="*/ 0 h 177"/>
                <a:gd name="T2" fmla="*/ 67 w 67"/>
                <a:gd name="T3" fmla="*/ 2 h 177"/>
                <a:gd name="T4" fmla="*/ 19 w 67"/>
                <a:gd name="T5" fmla="*/ 50 h 177"/>
                <a:gd name="T6" fmla="*/ 2 w 67"/>
                <a:gd name="T7" fmla="*/ 50 h 177"/>
                <a:gd name="T8" fmla="*/ 2 w 67"/>
                <a:gd name="T9" fmla="*/ 60 h 177"/>
                <a:gd name="T10" fmla="*/ 3 w 67"/>
                <a:gd name="T11" fmla="*/ 62 h 177"/>
                <a:gd name="T12" fmla="*/ 4 w 67"/>
                <a:gd name="T13" fmla="*/ 64 h 177"/>
                <a:gd name="T14" fmla="*/ 5 w 67"/>
                <a:gd name="T15" fmla="*/ 177 h 177"/>
                <a:gd name="T16" fmla="*/ 3 w 67"/>
                <a:gd name="T17" fmla="*/ 175 h 177"/>
                <a:gd name="T18" fmla="*/ 2 w 67"/>
                <a:gd name="T19" fmla="*/ 66 h 177"/>
                <a:gd name="T20" fmla="*/ 1 w 67"/>
                <a:gd name="T21" fmla="*/ 63 h 177"/>
                <a:gd name="T22" fmla="*/ 0 w 67"/>
                <a:gd name="T23" fmla="*/ 61 h 177"/>
                <a:gd name="T24" fmla="*/ 0 w 67"/>
                <a:gd name="T25" fmla="*/ 48 h 177"/>
                <a:gd name="T26" fmla="*/ 19 w 67"/>
                <a:gd name="T27" fmla="*/ 48 h 177"/>
                <a:gd name="T28" fmla="*/ 67 w 67"/>
                <a:gd name="T29" fmla="*/ 0 h 17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7"/>
                <a:gd name="T46" fmla="*/ 0 h 177"/>
                <a:gd name="T47" fmla="*/ 67 w 67"/>
                <a:gd name="T48" fmla="*/ 177 h 17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7" h="177">
                  <a:moveTo>
                    <a:pt x="67" y="0"/>
                  </a:moveTo>
                  <a:lnTo>
                    <a:pt x="67" y="2"/>
                  </a:lnTo>
                  <a:lnTo>
                    <a:pt x="19" y="50"/>
                  </a:lnTo>
                  <a:lnTo>
                    <a:pt x="2" y="50"/>
                  </a:lnTo>
                  <a:lnTo>
                    <a:pt x="2" y="60"/>
                  </a:lnTo>
                  <a:lnTo>
                    <a:pt x="3" y="62"/>
                  </a:lnTo>
                  <a:lnTo>
                    <a:pt x="4" y="64"/>
                  </a:lnTo>
                  <a:lnTo>
                    <a:pt x="5" y="177"/>
                  </a:lnTo>
                  <a:lnTo>
                    <a:pt x="3" y="175"/>
                  </a:lnTo>
                  <a:lnTo>
                    <a:pt x="2" y="66"/>
                  </a:lnTo>
                  <a:lnTo>
                    <a:pt x="1" y="63"/>
                  </a:lnTo>
                  <a:lnTo>
                    <a:pt x="0" y="61"/>
                  </a:lnTo>
                  <a:lnTo>
                    <a:pt x="0" y="48"/>
                  </a:lnTo>
                  <a:lnTo>
                    <a:pt x="19" y="48"/>
                  </a:lnTo>
                  <a:lnTo>
                    <a:pt x="67" y="0"/>
                  </a:lnTo>
                  <a:close/>
                </a:path>
              </a:pathLst>
            </a:custGeom>
            <a:solidFill>
              <a:srgbClr val="00CCFF"/>
            </a:solidFill>
            <a:ln w="6350" cmpd="sng">
              <a:solidFill>
                <a:srgbClr val="000000"/>
              </a:solidFill>
              <a:round/>
              <a:headEnd/>
              <a:tailEnd/>
            </a:ln>
          </xdr:spPr>
        </xdr:sp>
        <xdr:sp macro="" textlink="">
          <xdr:nvSpPr>
            <xdr:cNvPr id="11497" name="Line 79"/>
            <xdr:cNvSpPr>
              <a:spLocks noChangeShapeType="1"/>
            </xdr:cNvSpPr>
          </xdr:nvSpPr>
          <xdr:spPr bwMode="auto">
            <a:xfrm>
              <a:off x="960" y="706"/>
              <a:ext cx="0" cy="0"/>
            </a:xfrm>
            <a:prstGeom prst="line">
              <a:avLst/>
            </a:prstGeom>
            <a:noFill/>
            <a:ln w="9525">
              <a:solidFill>
                <a:srgbClr val="000000"/>
              </a:solidFill>
              <a:round/>
              <a:headEnd/>
              <a:tailEnd/>
            </a:ln>
          </xdr:spPr>
        </xdr:sp>
        <xdr:sp macro="" textlink="">
          <xdr:nvSpPr>
            <xdr:cNvPr id="11498" name="Freeform 80"/>
            <xdr:cNvSpPr>
              <a:spLocks/>
            </xdr:cNvSpPr>
          </xdr:nvSpPr>
          <xdr:spPr bwMode="auto">
            <a:xfrm>
              <a:off x="889" y="719"/>
              <a:ext cx="29" cy="19"/>
            </a:xfrm>
            <a:custGeom>
              <a:avLst/>
              <a:gdLst>
                <a:gd name="T0" fmla="*/ 29 w 29"/>
                <a:gd name="T1" fmla="*/ 16 h 19"/>
                <a:gd name="T2" fmla="*/ 25 w 29"/>
                <a:gd name="T3" fmla="*/ 19 h 19"/>
                <a:gd name="T4" fmla="*/ 0 w 29"/>
                <a:gd name="T5" fmla="*/ 19 h 19"/>
                <a:gd name="T6" fmla="*/ 19 w 29"/>
                <a:gd name="T7" fmla="*/ 0 h 19"/>
                <a:gd name="T8" fmla="*/ 21 w 29"/>
                <a:gd name="T9" fmla="*/ 2 h 19"/>
                <a:gd name="T10" fmla="*/ 21 w 29"/>
                <a:gd name="T11" fmla="*/ 4 h 19"/>
                <a:gd name="T12" fmla="*/ 8 w 29"/>
                <a:gd name="T13" fmla="*/ 16 h 19"/>
                <a:gd name="T14" fmla="*/ 29 w 29"/>
                <a:gd name="T15" fmla="*/ 16 h 19"/>
                <a:gd name="T16" fmla="*/ 0 60000 65536"/>
                <a:gd name="T17" fmla="*/ 0 60000 65536"/>
                <a:gd name="T18" fmla="*/ 0 60000 65536"/>
                <a:gd name="T19" fmla="*/ 0 60000 65536"/>
                <a:gd name="T20" fmla="*/ 0 60000 65536"/>
                <a:gd name="T21" fmla="*/ 0 60000 65536"/>
                <a:gd name="T22" fmla="*/ 0 60000 65536"/>
                <a:gd name="T23" fmla="*/ 0 60000 65536"/>
                <a:gd name="T24" fmla="*/ 0 w 29"/>
                <a:gd name="T25" fmla="*/ 0 h 19"/>
                <a:gd name="T26" fmla="*/ 29 w 29"/>
                <a:gd name="T27" fmla="*/ 19 h 1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9" h="19">
                  <a:moveTo>
                    <a:pt x="29" y="16"/>
                  </a:moveTo>
                  <a:lnTo>
                    <a:pt x="25" y="19"/>
                  </a:lnTo>
                  <a:lnTo>
                    <a:pt x="0" y="19"/>
                  </a:lnTo>
                  <a:lnTo>
                    <a:pt x="19" y="0"/>
                  </a:lnTo>
                  <a:lnTo>
                    <a:pt x="21" y="2"/>
                  </a:lnTo>
                  <a:lnTo>
                    <a:pt x="21" y="4"/>
                  </a:lnTo>
                  <a:lnTo>
                    <a:pt x="8" y="16"/>
                  </a:lnTo>
                  <a:lnTo>
                    <a:pt x="29" y="16"/>
                  </a:lnTo>
                  <a:close/>
                </a:path>
              </a:pathLst>
            </a:custGeom>
            <a:solidFill>
              <a:srgbClr val="C0C0C0"/>
            </a:solidFill>
            <a:ln w="9525">
              <a:solidFill>
                <a:srgbClr val="000000"/>
              </a:solidFill>
              <a:round/>
              <a:headEnd/>
              <a:tailEnd/>
            </a:ln>
          </xdr:spPr>
        </xdr:sp>
      </xdr:grpSp>
      <xdr:sp macro="" textlink="">
        <xdr:nvSpPr>
          <xdr:cNvPr id="11421" name="Freeform 82"/>
          <xdr:cNvSpPr>
            <a:spLocks/>
          </xdr:cNvSpPr>
        </xdr:nvSpPr>
        <xdr:spPr bwMode="auto">
          <a:xfrm>
            <a:off x="3971925" y="1704975"/>
            <a:ext cx="590550" cy="400050"/>
          </a:xfrm>
          <a:custGeom>
            <a:avLst/>
            <a:gdLst>
              <a:gd name="T0" fmla="*/ 0 w 62"/>
              <a:gd name="T1" fmla="*/ 42 h 42"/>
              <a:gd name="T2" fmla="*/ 42 w 62"/>
              <a:gd name="T3" fmla="*/ 0 h 42"/>
              <a:gd name="T4" fmla="*/ 62 w 62"/>
              <a:gd name="T5" fmla="*/ 0 h 42"/>
              <a:gd name="T6" fmla="*/ 23 w 62"/>
              <a:gd name="T7" fmla="*/ 42 h 42"/>
              <a:gd name="T8" fmla="*/ 0 w 62"/>
              <a:gd name="T9" fmla="*/ 42 h 42"/>
              <a:gd name="T10" fmla="*/ 0 60000 65536"/>
              <a:gd name="T11" fmla="*/ 0 60000 65536"/>
              <a:gd name="T12" fmla="*/ 0 60000 65536"/>
              <a:gd name="T13" fmla="*/ 0 60000 65536"/>
              <a:gd name="T14" fmla="*/ 0 60000 65536"/>
              <a:gd name="T15" fmla="*/ 0 w 62"/>
              <a:gd name="T16" fmla="*/ 0 h 42"/>
              <a:gd name="T17" fmla="*/ 62 w 62"/>
              <a:gd name="T18" fmla="*/ 42 h 42"/>
            </a:gdLst>
            <a:ahLst/>
            <a:cxnLst>
              <a:cxn ang="T10">
                <a:pos x="T0" y="T1"/>
              </a:cxn>
              <a:cxn ang="T11">
                <a:pos x="T2" y="T3"/>
              </a:cxn>
              <a:cxn ang="T12">
                <a:pos x="T4" y="T5"/>
              </a:cxn>
              <a:cxn ang="T13">
                <a:pos x="T6" y="T7"/>
              </a:cxn>
              <a:cxn ang="T14">
                <a:pos x="T8" y="T9"/>
              </a:cxn>
            </a:cxnLst>
            <a:rect l="T15" t="T16" r="T17" b="T18"/>
            <a:pathLst>
              <a:path w="62" h="42">
                <a:moveTo>
                  <a:pt x="0" y="42"/>
                </a:moveTo>
                <a:lnTo>
                  <a:pt x="42" y="0"/>
                </a:lnTo>
                <a:lnTo>
                  <a:pt x="62" y="0"/>
                </a:lnTo>
                <a:lnTo>
                  <a:pt x="23" y="42"/>
                </a:lnTo>
                <a:lnTo>
                  <a:pt x="0" y="42"/>
                </a:lnTo>
                <a:close/>
              </a:path>
            </a:pathLst>
          </a:custGeom>
          <a:gradFill rotWithShape="1">
            <a:gsLst>
              <a:gs pos="0">
                <a:srgbClr val="69FFFF"/>
              </a:gs>
              <a:gs pos="100000">
                <a:srgbClr val="CCFFCC"/>
              </a:gs>
            </a:gsLst>
            <a:lin ang="0" scaled="1"/>
          </a:gradFill>
          <a:ln w="9525">
            <a:solidFill>
              <a:srgbClr val="000000"/>
            </a:solidFill>
            <a:round/>
            <a:headEnd/>
            <a:tailEnd/>
          </a:ln>
        </xdr:spPr>
      </xdr:sp>
      <xdr:sp macro="" textlink="">
        <xdr:nvSpPr>
          <xdr:cNvPr id="11422" name="Rectangle 83"/>
          <xdr:cNvSpPr>
            <a:spLocks noChangeArrowheads="1"/>
          </xdr:cNvSpPr>
        </xdr:nvSpPr>
        <xdr:spPr bwMode="auto">
          <a:xfrm>
            <a:off x="3562350" y="2457450"/>
            <a:ext cx="257175" cy="1438275"/>
          </a:xfrm>
          <a:prstGeom prst="rect">
            <a:avLst/>
          </a:prstGeom>
          <a:gradFill rotWithShape="1">
            <a:gsLst>
              <a:gs pos="0">
                <a:srgbClr val="FFFFFF"/>
              </a:gs>
              <a:gs pos="100000">
                <a:srgbClr val="767676"/>
              </a:gs>
            </a:gsLst>
            <a:lin ang="2700000" scaled="1"/>
          </a:gradFill>
          <a:ln w="9525">
            <a:solidFill>
              <a:srgbClr val="000000"/>
            </a:solidFill>
            <a:miter lim="800000"/>
            <a:headEnd/>
            <a:tailEnd/>
          </a:ln>
        </xdr:spPr>
      </xdr:sp>
      <xdr:sp macro="" textlink="">
        <xdr:nvSpPr>
          <xdr:cNvPr id="11423" name="Freeform 84"/>
          <xdr:cNvSpPr>
            <a:spLocks/>
          </xdr:cNvSpPr>
        </xdr:nvSpPr>
        <xdr:spPr bwMode="auto">
          <a:xfrm>
            <a:off x="3819525" y="2257425"/>
            <a:ext cx="200025" cy="1685925"/>
          </a:xfrm>
          <a:custGeom>
            <a:avLst/>
            <a:gdLst>
              <a:gd name="T0" fmla="*/ 0 w 21"/>
              <a:gd name="T1" fmla="*/ 20 h 177"/>
              <a:gd name="T2" fmla="*/ 21 w 21"/>
              <a:gd name="T3" fmla="*/ 0 h 177"/>
              <a:gd name="T4" fmla="*/ 21 w 21"/>
              <a:gd name="T5" fmla="*/ 176 h 177"/>
              <a:gd name="T6" fmla="*/ 0 w 21"/>
              <a:gd name="T7" fmla="*/ 177 h 177"/>
              <a:gd name="T8" fmla="*/ 0 w 21"/>
              <a:gd name="T9" fmla="*/ 20 h 177"/>
              <a:gd name="T10" fmla="*/ 0 60000 65536"/>
              <a:gd name="T11" fmla="*/ 0 60000 65536"/>
              <a:gd name="T12" fmla="*/ 0 60000 65536"/>
              <a:gd name="T13" fmla="*/ 0 60000 65536"/>
              <a:gd name="T14" fmla="*/ 0 60000 65536"/>
              <a:gd name="T15" fmla="*/ 0 w 21"/>
              <a:gd name="T16" fmla="*/ 0 h 177"/>
              <a:gd name="T17" fmla="*/ 21 w 21"/>
              <a:gd name="T18" fmla="*/ 177 h 177"/>
            </a:gdLst>
            <a:ahLst/>
            <a:cxnLst>
              <a:cxn ang="T10">
                <a:pos x="T0" y="T1"/>
              </a:cxn>
              <a:cxn ang="T11">
                <a:pos x="T2" y="T3"/>
              </a:cxn>
              <a:cxn ang="T12">
                <a:pos x="T4" y="T5"/>
              </a:cxn>
              <a:cxn ang="T13">
                <a:pos x="T6" y="T7"/>
              </a:cxn>
              <a:cxn ang="T14">
                <a:pos x="T8" y="T9"/>
              </a:cxn>
            </a:cxnLst>
            <a:rect l="T15" t="T16" r="T17" b="T18"/>
            <a:pathLst>
              <a:path w="21" h="177">
                <a:moveTo>
                  <a:pt x="0" y="20"/>
                </a:moveTo>
                <a:lnTo>
                  <a:pt x="21" y="0"/>
                </a:lnTo>
                <a:lnTo>
                  <a:pt x="21" y="176"/>
                </a:lnTo>
                <a:lnTo>
                  <a:pt x="0" y="177"/>
                </a:lnTo>
                <a:lnTo>
                  <a:pt x="0" y="20"/>
                </a:lnTo>
                <a:close/>
              </a:path>
            </a:pathLst>
          </a:custGeom>
          <a:gradFill rotWithShape="1">
            <a:gsLst>
              <a:gs pos="0">
                <a:srgbClr val="767676"/>
              </a:gs>
              <a:gs pos="50000">
                <a:srgbClr val="FFFFFF"/>
              </a:gs>
              <a:gs pos="100000">
                <a:srgbClr val="767676"/>
              </a:gs>
            </a:gsLst>
            <a:lin ang="0" scaled="1"/>
          </a:gradFill>
          <a:ln w="9525">
            <a:solidFill>
              <a:srgbClr val="000000"/>
            </a:solidFill>
            <a:round/>
            <a:headEnd/>
            <a:tailEnd/>
          </a:ln>
        </xdr:spPr>
      </xdr:sp>
      <xdr:sp macro="" textlink="">
        <xdr:nvSpPr>
          <xdr:cNvPr id="11424" name="Line 85"/>
          <xdr:cNvSpPr>
            <a:spLocks noChangeShapeType="1"/>
          </xdr:cNvSpPr>
        </xdr:nvSpPr>
        <xdr:spPr bwMode="auto">
          <a:xfrm flipV="1">
            <a:off x="4019550" y="2133600"/>
            <a:ext cx="123825" cy="123825"/>
          </a:xfrm>
          <a:prstGeom prst="line">
            <a:avLst/>
          </a:prstGeom>
          <a:noFill/>
          <a:ln w="28575">
            <a:solidFill>
              <a:srgbClr val="A6CAF0"/>
            </a:solidFill>
            <a:round/>
            <a:headEnd/>
            <a:tailEnd/>
          </a:ln>
        </xdr:spPr>
      </xdr:sp>
      <xdr:sp macro="" textlink="">
        <xdr:nvSpPr>
          <xdr:cNvPr id="11425" name="Freeform 86"/>
          <xdr:cNvSpPr>
            <a:spLocks/>
          </xdr:cNvSpPr>
        </xdr:nvSpPr>
        <xdr:spPr bwMode="auto">
          <a:xfrm>
            <a:off x="4124325" y="2038350"/>
            <a:ext cx="257175" cy="1924050"/>
          </a:xfrm>
          <a:custGeom>
            <a:avLst/>
            <a:gdLst>
              <a:gd name="T0" fmla="*/ 0 w 27"/>
              <a:gd name="T1" fmla="*/ 9 h 202"/>
              <a:gd name="T2" fmla="*/ 0 w 27"/>
              <a:gd name="T3" fmla="*/ 201 h 202"/>
              <a:gd name="T4" fmla="*/ 0 w 27"/>
              <a:gd name="T5" fmla="*/ 202 h 202"/>
              <a:gd name="T6" fmla="*/ 22 w 27"/>
              <a:gd name="T7" fmla="*/ 202 h 202"/>
              <a:gd name="T8" fmla="*/ 27 w 27"/>
              <a:gd name="T9" fmla="*/ 0 h 202"/>
              <a:gd name="T10" fmla="*/ 14 w 27"/>
              <a:gd name="T11" fmla="*/ 1 h 202"/>
              <a:gd name="T12" fmla="*/ 0 60000 65536"/>
              <a:gd name="T13" fmla="*/ 0 60000 65536"/>
              <a:gd name="T14" fmla="*/ 0 60000 65536"/>
              <a:gd name="T15" fmla="*/ 0 60000 65536"/>
              <a:gd name="T16" fmla="*/ 0 60000 65536"/>
              <a:gd name="T17" fmla="*/ 0 60000 65536"/>
              <a:gd name="T18" fmla="*/ 0 w 27"/>
              <a:gd name="T19" fmla="*/ 0 h 202"/>
              <a:gd name="T20" fmla="*/ 27 w 27"/>
              <a:gd name="T21" fmla="*/ 202 h 202"/>
            </a:gdLst>
            <a:ahLst/>
            <a:cxnLst>
              <a:cxn ang="T12">
                <a:pos x="T0" y="T1"/>
              </a:cxn>
              <a:cxn ang="T13">
                <a:pos x="T2" y="T3"/>
              </a:cxn>
              <a:cxn ang="T14">
                <a:pos x="T4" y="T5"/>
              </a:cxn>
              <a:cxn ang="T15">
                <a:pos x="T6" y="T7"/>
              </a:cxn>
              <a:cxn ang="T16">
                <a:pos x="T8" y="T9"/>
              </a:cxn>
              <a:cxn ang="T17">
                <a:pos x="T10" y="T11"/>
              </a:cxn>
            </a:cxnLst>
            <a:rect l="T18" t="T19" r="T20" b="T21"/>
            <a:pathLst>
              <a:path w="27" h="202">
                <a:moveTo>
                  <a:pt x="0" y="9"/>
                </a:moveTo>
                <a:lnTo>
                  <a:pt x="0" y="201"/>
                </a:lnTo>
                <a:lnTo>
                  <a:pt x="0" y="202"/>
                </a:lnTo>
                <a:lnTo>
                  <a:pt x="22" y="202"/>
                </a:lnTo>
                <a:lnTo>
                  <a:pt x="27" y="0"/>
                </a:lnTo>
                <a:lnTo>
                  <a:pt x="14" y="1"/>
                </a:lnTo>
              </a:path>
            </a:pathLst>
          </a:custGeom>
          <a:solidFill>
            <a:srgbClr val="336666"/>
          </a:solidFill>
          <a:ln w="9525">
            <a:noFill/>
            <a:round/>
            <a:headEnd/>
            <a:tailEnd/>
          </a:ln>
        </xdr:spPr>
      </xdr:sp>
      <xdr:sp macro="" textlink="">
        <xdr:nvSpPr>
          <xdr:cNvPr id="11426" name="Freeform 87"/>
          <xdr:cNvSpPr>
            <a:spLocks/>
          </xdr:cNvSpPr>
        </xdr:nvSpPr>
        <xdr:spPr bwMode="auto">
          <a:xfrm>
            <a:off x="4010025" y="2133600"/>
            <a:ext cx="123825" cy="1485900"/>
          </a:xfrm>
          <a:custGeom>
            <a:avLst/>
            <a:gdLst>
              <a:gd name="T0" fmla="*/ 0 w 13"/>
              <a:gd name="T1" fmla="*/ 0 h 155"/>
              <a:gd name="T2" fmla="*/ 13 w 13"/>
              <a:gd name="T3" fmla="*/ 0 h 155"/>
              <a:gd name="T4" fmla="*/ 13 w 13"/>
              <a:gd name="T5" fmla="*/ 172 h 155"/>
              <a:gd name="T6" fmla="*/ 1 w 13"/>
              <a:gd name="T7" fmla="*/ 178 h 155"/>
              <a:gd name="T8" fmla="*/ 0 w 13"/>
              <a:gd name="T9" fmla="*/ 0 h 155"/>
              <a:gd name="T10" fmla="*/ 0 60000 65536"/>
              <a:gd name="T11" fmla="*/ 0 60000 65536"/>
              <a:gd name="T12" fmla="*/ 0 60000 65536"/>
              <a:gd name="T13" fmla="*/ 0 60000 65536"/>
              <a:gd name="T14" fmla="*/ 0 60000 65536"/>
              <a:gd name="T15" fmla="*/ 0 w 13"/>
              <a:gd name="T16" fmla="*/ 0 h 155"/>
              <a:gd name="T17" fmla="*/ 13 w 13"/>
              <a:gd name="T18" fmla="*/ 155 h 155"/>
            </a:gdLst>
            <a:ahLst/>
            <a:cxnLst>
              <a:cxn ang="T10">
                <a:pos x="T0" y="T1"/>
              </a:cxn>
              <a:cxn ang="T11">
                <a:pos x="T2" y="T3"/>
              </a:cxn>
              <a:cxn ang="T12">
                <a:pos x="T4" y="T5"/>
              </a:cxn>
              <a:cxn ang="T13">
                <a:pos x="T6" y="T7"/>
              </a:cxn>
              <a:cxn ang="T14">
                <a:pos x="T8" y="T9"/>
              </a:cxn>
            </a:cxnLst>
            <a:rect l="T15" t="T16" r="T17" b="T18"/>
            <a:pathLst>
              <a:path w="13" h="155">
                <a:moveTo>
                  <a:pt x="0" y="0"/>
                </a:moveTo>
                <a:lnTo>
                  <a:pt x="13" y="0"/>
                </a:lnTo>
                <a:lnTo>
                  <a:pt x="13" y="149"/>
                </a:lnTo>
                <a:lnTo>
                  <a:pt x="1" y="155"/>
                </a:lnTo>
                <a:lnTo>
                  <a:pt x="0" y="0"/>
                </a:lnTo>
                <a:close/>
              </a:path>
            </a:pathLst>
          </a:custGeom>
          <a:solidFill>
            <a:srgbClr val="99FF99"/>
          </a:solidFill>
          <a:ln w="9525">
            <a:noFill/>
            <a:round/>
            <a:headEnd/>
            <a:tailEnd/>
          </a:ln>
        </xdr:spPr>
      </xdr:sp>
      <xdr:sp macro="" textlink="">
        <xdr:nvSpPr>
          <xdr:cNvPr id="11427" name="Line 88"/>
          <xdr:cNvSpPr>
            <a:spLocks noChangeShapeType="1"/>
          </xdr:cNvSpPr>
        </xdr:nvSpPr>
        <xdr:spPr bwMode="auto">
          <a:xfrm>
            <a:off x="4257675" y="2114550"/>
            <a:ext cx="0" cy="1781175"/>
          </a:xfrm>
          <a:prstGeom prst="line">
            <a:avLst/>
          </a:prstGeom>
          <a:noFill/>
          <a:ln w="28575">
            <a:solidFill>
              <a:srgbClr val="A6CAF0"/>
            </a:solidFill>
            <a:round/>
            <a:headEnd/>
            <a:tailEnd/>
          </a:ln>
        </xdr:spPr>
      </xdr:sp>
      <xdr:sp macro="" textlink="">
        <xdr:nvSpPr>
          <xdr:cNvPr id="11428" name="Line 89"/>
          <xdr:cNvSpPr>
            <a:spLocks noChangeShapeType="1"/>
          </xdr:cNvSpPr>
        </xdr:nvSpPr>
        <xdr:spPr bwMode="auto">
          <a:xfrm>
            <a:off x="4133850" y="2133600"/>
            <a:ext cx="9525" cy="1447800"/>
          </a:xfrm>
          <a:prstGeom prst="line">
            <a:avLst/>
          </a:prstGeom>
          <a:noFill/>
          <a:ln w="19050">
            <a:solidFill>
              <a:srgbClr val="A6CAF0"/>
            </a:solidFill>
            <a:round/>
            <a:headEnd/>
            <a:tailEnd/>
          </a:ln>
        </xdr:spPr>
      </xdr:sp>
      <xdr:sp macro="" textlink="">
        <xdr:nvSpPr>
          <xdr:cNvPr id="11429" name="Line 90"/>
          <xdr:cNvSpPr>
            <a:spLocks noChangeShapeType="1"/>
          </xdr:cNvSpPr>
        </xdr:nvSpPr>
        <xdr:spPr bwMode="auto">
          <a:xfrm>
            <a:off x="4019550" y="2266950"/>
            <a:ext cx="9525" cy="1447800"/>
          </a:xfrm>
          <a:prstGeom prst="line">
            <a:avLst/>
          </a:prstGeom>
          <a:noFill/>
          <a:ln w="19050">
            <a:solidFill>
              <a:srgbClr val="00CCFF"/>
            </a:solidFill>
            <a:round/>
            <a:headEnd/>
            <a:tailEnd/>
          </a:ln>
        </xdr:spPr>
      </xdr:sp>
      <xdr:sp macro="" textlink="">
        <xdr:nvSpPr>
          <xdr:cNvPr id="11430" name="Freeform 91"/>
          <xdr:cNvSpPr>
            <a:spLocks/>
          </xdr:cNvSpPr>
        </xdr:nvSpPr>
        <xdr:spPr bwMode="auto">
          <a:xfrm>
            <a:off x="4000500" y="2133600"/>
            <a:ext cx="19050" cy="142875"/>
          </a:xfrm>
          <a:custGeom>
            <a:avLst/>
            <a:gdLst>
              <a:gd name="T0" fmla="*/ 2 w 2"/>
              <a:gd name="T1" fmla="*/ 15 h 15"/>
              <a:gd name="T2" fmla="*/ 0 w 2"/>
              <a:gd name="T3" fmla="*/ 11 h 15"/>
              <a:gd name="T4" fmla="*/ 0 w 2"/>
              <a:gd name="T5" fmla="*/ 0 h 15"/>
              <a:gd name="T6" fmla="*/ 0 60000 65536"/>
              <a:gd name="T7" fmla="*/ 0 60000 65536"/>
              <a:gd name="T8" fmla="*/ 0 60000 65536"/>
              <a:gd name="T9" fmla="*/ 0 w 2"/>
              <a:gd name="T10" fmla="*/ 0 h 15"/>
              <a:gd name="T11" fmla="*/ 2 w 2"/>
              <a:gd name="T12" fmla="*/ 15 h 15"/>
            </a:gdLst>
            <a:ahLst/>
            <a:cxnLst>
              <a:cxn ang="T6">
                <a:pos x="T0" y="T1"/>
              </a:cxn>
              <a:cxn ang="T7">
                <a:pos x="T2" y="T3"/>
              </a:cxn>
              <a:cxn ang="T8">
                <a:pos x="T4" y="T5"/>
              </a:cxn>
            </a:cxnLst>
            <a:rect l="T9" t="T10" r="T11" b="T12"/>
            <a:pathLst>
              <a:path w="2" h="15">
                <a:moveTo>
                  <a:pt x="2" y="15"/>
                </a:moveTo>
                <a:lnTo>
                  <a:pt x="0" y="11"/>
                </a:lnTo>
                <a:lnTo>
                  <a:pt x="0" y="0"/>
                </a:lnTo>
              </a:path>
            </a:pathLst>
          </a:custGeom>
          <a:noFill/>
          <a:ln w="19050" cmpd="sng">
            <a:solidFill>
              <a:srgbClr val="00CCFF"/>
            </a:solidFill>
            <a:round/>
            <a:headEnd/>
            <a:tailEnd/>
          </a:ln>
        </xdr:spPr>
      </xdr:sp>
      <xdr:sp macro="" textlink="">
        <xdr:nvSpPr>
          <xdr:cNvPr id="11431" name="Line 92"/>
          <xdr:cNvSpPr>
            <a:spLocks noChangeShapeType="1"/>
          </xdr:cNvSpPr>
        </xdr:nvSpPr>
        <xdr:spPr bwMode="auto">
          <a:xfrm>
            <a:off x="3981450" y="2124075"/>
            <a:ext cx="0" cy="0"/>
          </a:xfrm>
          <a:prstGeom prst="line">
            <a:avLst/>
          </a:prstGeom>
          <a:noFill/>
          <a:ln w="9525">
            <a:solidFill>
              <a:srgbClr val="000000"/>
            </a:solidFill>
            <a:round/>
            <a:headEnd/>
            <a:tailEnd/>
          </a:ln>
        </xdr:spPr>
      </xdr:sp>
      <xdr:sp macro="" textlink="">
        <xdr:nvSpPr>
          <xdr:cNvPr id="11432" name="Freeform 93"/>
          <xdr:cNvSpPr>
            <a:spLocks/>
          </xdr:cNvSpPr>
        </xdr:nvSpPr>
        <xdr:spPr bwMode="auto">
          <a:xfrm>
            <a:off x="3933825" y="1647825"/>
            <a:ext cx="695325" cy="638175"/>
          </a:xfrm>
          <a:custGeom>
            <a:avLst/>
            <a:gdLst>
              <a:gd name="T0" fmla="*/ 0 w 73"/>
              <a:gd name="T1" fmla="*/ 67 h 67"/>
              <a:gd name="T2" fmla="*/ 0 w 73"/>
              <a:gd name="T3" fmla="*/ 65 h 67"/>
              <a:gd name="T4" fmla="*/ 2 w 73"/>
              <a:gd name="T5" fmla="*/ 63 h 67"/>
              <a:gd name="T6" fmla="*/ 4 w 73"/>
              <a:gd name="T7" fmla="*/ 61 h 67"/>
              <a:gd name="T8" fmla="*/ 4 w 73"/>
              <a:gd name="T9" fmla="*/ 48 h 67"/>
              <a:gd name="T10" fmla="*/ 25 w 73"/>
              <a:gd name="T11" fmla="*/ 48 h 67"/>
              <a:gd name="T12" fmla="*/ 73 w 73"/>
              <a:gd name="T13" fmla="*/ 0 h 67"/>
              <a:gd name="T14" fmla="*/ 73 w 73"/>
              <a:gd name="T15" fmla="*/ 2 h 67"/>
              <a:gd name="T16" fmla="*/ 25 w 73"/>
              <a:gd name="T17" fmla="*/ 50 h 67"/>
              <a:gd name="T18" fmla="*/ 6 w 73"/>
              <a:gd name="T19" fmla="*/ 50 h 67"/>
              <a:gd name="T20" fmla="*/ 6 w 73"/>
              <a:gd name="T21" fmla="*/ 63 h 67"/>
              <a:gd name="T22" fmla="*/ 4 w 73"/>
              <a:gd name="T23" fmla="*/ 64 h 67"/>
              <a:gd name="T24" fmla="*/ 0 w 73"/>
              <a:gd name="T25" fmla="*/ 67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3"/>
              <a:gd name="T40" fmla="*/ 0 h 67"/>
              <a:gd name="T41" fmla="*/ 73 w 73"/>
              <a:gd name="T42" fmla="*/ 67 h 6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3" h="67">
                <a:moveTo>
                  <a:pt x="0" y="67"/>
                </a:moveTo>
                <a:lnTo>
                  <a:pt x="0" y="65"/>
                </a:lnTo>
                <a:lnTo>
                  <a:pt x="2" y="63"/>
                </a:lnTo>
                <a:lnTo>
                  <a:pt x="4" y="61"/>
                </a:lnTo>
                <a:lnTo>
                  <a:pt x="4" y="48"/>
                </a:lnTo>
                <a:lnTo>
                  <a:pt x="25" y="48"/>
                </a:lnTo>
                <a:lnTo>
                  <a:pt x="73" y="0"/>
                </a:lnTo>
                <a:lnTo>
                  <a:pt x="73" y="2"/>
                </a:lnTo>
                <a:lnTo>
                  <a:pt x="25" y="50"/>
                </a:lnTo>
                <a:lnTo>
                  <a:pt x="6" y="50"/>
                </a:lnTo>
                <a:lnTo>
                  <a:pt x="6" y="63"/>
                </a:lnTo>
                <a:lnTo>
                  <a:pt x="4" y="64"/>
                </a:lnTo>
                <a:lnTo>
                  <a:pt x="0" y="67"/>
                </a:lnTo>
                <a:close/>
              </a:path>
            </a:pathLst>
          </a:custGeom>
          <a:solidFill>
            <a:srgbClr val="00CCFF"/>
          </a:solidFill>
          <a:ln w="6350" cmpd="sng">
            <a:solidFill>
              <a:srgbClr val="000000"/>
            </a:solidFill>
            <a:round/>
            <a:headEnd/>
            <a:tailEnd/>
          </a:ln>
        </xdr:spPr>
      </xdr:sp>
      <xdr:grpSp>
        <xdr:nvGrpSpPr>
          <xdr:cNvPr id="11433" name="Group 94"/>
          <xdr:cNvGrpSpPr>
            <a:grpSpLocks/>
          </xdr:cNvGrpSpPr>
        </xdr:nvGrpSpPr>
        <xdr:grpSpPr bwMode="auto">
          <a:xfrm>
            <a:off x="4019550" y="1609725"/>
            <a:ext cx="619125" cy="447675"/>
            <a:chOff x="112" y="627"/>
            <a:chExt cx="65" cy="47"/>
          </a:xfrm>
        </xdr:grpSpPr>
        <xdr:sp macro="" textlink="">
          <xdr:nvSpPr>
            <xdr:cNvPr id="11460" name="Freeform 95"/>
            <xdr:cNvSpPr>
              <a:spLocks/>
            </xdr:cNvSpPr>
          </xdr:nvSpPr>
          <xdr:spPr bwMode="auto">
            <a:xfrm>
              <a:off x="112" y="627"/>
              <a:ext cx="65" cy="41"/>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Lst>
              <a:ahLst/>
              <a:cxnLst>
                <a:cxn ang="T10">
                  <a:pos x="T0" y="T1"/>
                </a:cxn>
                <a:cxn ang="T11">
                  <a:pos x="T2" y="T3"/>
                </a:cxn>
                <a:cxn ang="T12">
                  <a:pos x="T4" y="T5"/>
                </a:cxn>
                <a:cxn ang="T13">
                  <a:pos x="T6" y="T7"/>
                </a:cxn>
                <a:cxn ang="T14">
                  <a:pos x="T8" y="T9"/>
                </a:cxn>
              </a:cxnLst>
              <a:rect l="T15" t="T16" r="T17" b="T18"/>
              <a:pathLst>
                <a:path w="65" h="41">
                  <a:moveTo>
                    <a:pt x="24" y="41"/>
                  </a:moveTo>
                  <a:lnTo>
                    <a:pt x="0" y="41"/>
                  </a:lnTo>
                  <a:lnTo>
                    <a:pt x="41" y="0"/>
                  </a:lnTo>
                  <a:lnTo>
                    <a:pt x="65" y="0"/>
                  </a:lnTo>
                  <a:lnTo>
                    <a:pt x="24" y="41"/>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11461" name="Freeform 96"/>
            <xdr:cNvSpPr>
              <a:spLocks/>
            </xdr:cNvSpPr>
          </xdr:nvSpPr>
          <xdr:spPr bwMode="auto">
            <a:xfrm>
              <a:off x="112" y="627"/>
              <a:ext cx="65" cy="47"/>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5" h="47">
                  <a:moveTo>
                    <a:pt x="0" y="41"/>
                  </a:moveTo>
                  <a:lnTo>
                    <a:pt x="0" y="47"/>
                  </a:lnTo>
                  <a:lnTo>
                    <a:pt x="3" y="44"/>
                  </a:lnTo>
                  <a:lnTo>
                    <a:pt x="24" y="44"/>
                  </a:lnTo>
                  <a:lnTo>
                    <a:pt x="65" y="3"/>
                  </a:lnTo>
                  <a:lnTo>
                    <a:pt x="65" y="0"/>
                  </a:lnTo>
                  <a:lnTo>
                    <a:pt x="24" y="41"/>
                  </a:lnTo>
                  <a:lnTo>
                    <a:pt x="0" y="41"/>
                  </a:lnTo>
                  <a:close/>
                </a:path>
              </a:pathLst>
            </a:custGeom>
            <a:solidFill>
              <a:srgbClr val="808080"/>
            </a:solidFill>
            <a:ln w="6350" cmpd="sng">
              <a:solidFill>
                <a:srgbClr val="000000"/>
              </a:solidFill>
              <a:round/>
              <a:headEnd/>
              <a:tailEnd/>
            </a:ln>
          </xdr:spPr>
        </xdr:sp>
      </xdr:grpSp>
      <xdr:sp macro="" textlink="">
        <xdr:nvSpPr>
          <xdr:cNvPr id="11434" name="Line 97"/>
          <xdr:cNvSpPr>
            <a:spLocks noChangeShapeType="1"/>
          </xdr:cNvSpPr>
        </xdr:nvSpPr>
        <xdr:spPr bwMode="auto">
          <a:xfrm>
            <a:off x="4248150" y="2000250"/>
            <a:ext cx="0" cy="28575"/>
          </a:xfrm>
          <a:prstGeom prst="line">
            <a:avLst/>
          </a:prstGeom>
          <a:noFill/>
          <a:ln w="9525">
            <a:solidFill>
              <a:srgbClr val="000000"/>
            </a:solidFill>
            <a:round/>
            <a:headEnd/>
            <a:tailEnd/>
          </a:ln>
        </xdr:spPr>
      </xdr:sp>
      <xdr:sp macro="" textlink="">
        <xdr:nvSpPr>
          <xdr:cNvPr id="11435" name="Line 98"/>
          <xdr:cNvSpPr>
            <a:spLocks noChangeShapeType="1"/>
          </xdr:cNvSpPr>
        </xdr:nvSpPr>
        <xdr:spPr bwMode="auto">
          <a:xfrm flipV="1">
            <a:off x="4029075" y="2171700"/>
            <a:ext cx="104775" cy="104775"/>
          </a:xfrm>
          <a:prstGeom prst="line">
            <a:avLst/>
          </a:prstGeom>
          <a:noFill/>
          <a:ln w="19050">
            <a:solidFill>
              <a:srgbClr val="A6CAF0"/>
            </a:solidFill>
            <a:round/>
            <a:headEnd/>
            <a:tailEnd/>
          </a:ln>
        </xdr:spPr>
      </xdr:sp>
      <xdr:sp macro="" textlink="">
        <xdr:nvSpPr>
          <xdr:cNvPr id="11436" name="Line 99"/>
          <xdr:cNvSpPr>
            <a:spLocks noChangeShapeType="1"/>
          </xdr:cNvSpPr>
        </xdr:nvSpPr>
        <xdr:spPr bwMode="auto">
          <a:xfrm flipV="1">
            <a:off x="3990975" y="2133600"/>
            <a:ext cx="114300" cy="123825"/>
          </a:xfrm>
          <a:prstGeom prst="line">
            <a:avLst/>
          </a:prstGeom>
          <a:noFill/>
          <a:ln w="19050">
            <a:solidFill>
              <a:srgbClr val="A6CAF0"/>
            </a:solidFill>
            <a:round/>
            <a:headEnd/>
            <a:tailEnd/>
          </a:ln>
        </xdr:spPr>
      </xdr:sp>
      <xdr:sp macro="" textlink="">
        <xdr:nvSpPr>
          <xdr:cNvPr id="11437" name="Freeform 100"/>
          <xdr:cNvSpPr>
            <a:spLocks/>
          </xdr:cNvSpPr>
        </xdr:nvSpPr>
        <xdr:spPr bwMode="auto">
          <a:xfrm>
            <a:off x="3562350" y="2247900"/>
            <a:ext cx="457200" cy="209550"/>
          </a:xfrm>
          <a:custGeom>
            <a:avLst/>
            <a:gdLst>
              <a:gd name="T0" fmla="*/ 0 w 48"/>
              <a:gd name="T1" fmla="*/ 22 h 22"/>
              <a:gd name="T2" fmla="*/ 3 w 48"/>
              <a:gd name="T3" fmla="*/ 19 h 22"/>
              <a:gd name="T4" fmla="*/ 25 w 48"/>
              <a:gd name="T5" fmla="*/ 19 h 22"/>
              <a:gd name="T6" fmla="*/ 44 w 48"/>
              <a:gd name="T7" fmla="*/ 0 h 22"/>
              <a:gd name="T8" fmla="*/ 48 w 48"/>
              <a:gd name="T9" fmla="*/ 1 h 22"/>
              <a:gd name="T10" fmla="*/ 27 w 48"/>
              <a:gd name="T11" fmla="*/ 22 h 22"/>
              <a:gd name="T12" fmla="*/ 0 w 48"/>
              <a:gd name="T13" fmla="*/ 22 h 22"/>
              <a:gd name="T14" fmla="*/ 0 60000 65536"/>
              <a:gd name="T15" fmla="*/ 0 60000 65536"/>
              <a:gd name="T16" fmla="*/ 0 60000 65536"/>
              <a:gd name="T17" fmla="*/ 0 60000 65536"/>
              <a:gd name="T18" fmla="*/ 0 60000 65536"/>
              <a:gd name="T19" fmla="*/ 0 60000 65536"/>
              <a:gd name="T20" fmla="*/ 0 60000 65536"/>
              <a:gd name="T21" fmla="*/ 0 w 48"/>
              <a:gd name="T22" fmla="*/ 0 h 22"/>
              <a:gd name="T23" fmla="*/ 48 w 48"/>
              <a:gd name="T24" fmla="*/ 22 h 2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8" h="22">
                <a:moveTo>
                  <a:pt x="0" y="22"/>
                </a:moveTo>
                <a:lnTo>
                  <a:pt x="3" y="19"/>
                </a:lnTo>
                <a:lnTo>
                  <a:pt x="25" y="19"/>
                </a:lnTo>
                <a:lnTo>
                  <a:pt x="44" y="0"/>
                </a:lnTo>
                <a:lnTo>
                  <a:pt x="48" y="1"/>
                </a:lnTo>
                <a:lnTo>
                  <a:pt x="27" y="22"/>
                </a:lnTo>
                <a:lnTo>
                  <a:pt x="0" y="22"/>
                </a:lnTo>
                <a:close/>
              </a:path>
            </a:pathLst>
          </a:custGeom>
          <a:solidFill>
            <a:srgbClr val="C0C0C0"/>
          </a:solidFill>
          <a:ln w="9525">
            <a:solidFill>
              <a:srgbClr val="000000"/>
            </a:solidFill>
            <a:round/>
            <a:headEnd/>
            <a:tailEnd/>
          </a:ln>
        </xdr:spPr>
      </xdr:sp>
      <xdr:sp macro="" textlink="">
        <xdr:nvSpPr>
          <xdr:cNvPr id="11438" name="Freeform 101"/>
          <xdr:cNvSpPr>
            <a:spLocks/>
          </xdr:cNvSpPr>
        </xdr:nvSpPr>
        <xdr:spPr bwMode="auto">
          <a:xfrm>
            <a:off x="3990975" y="1666875"/>
            <a:ext cx="638175" cy="1685925"/>
          </a:xfrm>
          <a:custGeom>
            <a:avLst/>
            <a:gdLst>
              <a:gd name="T0" fmla="*/ 67 w 67"/>
              <a:gd name="T1" fmla="*/ 0 h 177"/>
              <a:gd name="T2" fmla="*/ 67 w 67"/>
              <a:gd name="T3" fmla="*/ 2 h 177"/>
              <a:gd name="T4" fmla="*/ 19 w 67"/>
              <a:gd name="T5" fmla="*/ 50 h 177"/>
              <a:gd name="T6" fmla="*/ 2 w 67"/>
              <a:gd name="T7" fmla="*/ 50 h 177"/>
              <a:gd name="T8" fmla="*/ 2 w 67"/>
              <a:gd name="T9" fmla="*/ 60 h 177"/>
              <a:gd name="T10" fmla="*/ 3 w 67"/>
              <a:gd name="T11" fmla="*/ 62 h 177"/>
              <a:gd name="T12" fmla="*/ 4 w 67"/>
              <a:gd name="T13" fmla="*/ 64 h 177"/>
              <a:gd name="T14" fmla="*/ 5 w 67"/>
              <a:gd name="T15" fmla="*/ 177 h 177"/>
              <a:gd name="T16" fmla="*/ 3 w 67"/>
              <a:gd name="T17" fmla="*/ 175 h 177"/>
              <a:gd name="T18" fmla="*/ 2 w 67"/>
              <a:gd name="T19" fmla="*/ 66 h 177"/>
              <a:gd name="T20" fmla="*/ 1 w 67"/>
              <a:gd name="T21" fmla="*/ 63 h 177"/>
              <a:gd name="T22" fmla="*/ 0 w 67"/>
              <a:gd name="T23" fmla="*/ 61 h 177"/>
              <a:gd name="T24" fmla="*/ 0 w 67"/>
              <a:gd name="T25" fmla="*/ 48 h 177"/>
              <a:gd name="T26" fmla="*/ 19 w 67"/>
              <a:gd name="T27" fmla="*/ 48 h 177"/>
              <a:gd name="T28" fmla="*/ 67 w 67"/>
              <a:gd name="T29" fmla="*/ 0 h 17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7"/>
              <a:gd name="T46" fmla="*/ 0 h 177"/>
              <a:gd name="T47" fmla="*/ 67 w 67"/>
              <a:gd name="T48" fmla="*/ 177 h 17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7" h="177">
                <a:moveTo>
                  <a:pt x="67" y="0"/>
                </a:moveTo>
                <a:lnTo>
                  <a:pt x="67" y="2"/>
                </a:lnTo>
                <a:lnTo>
                  <a:pt x="19" y="50"/>
                </a:lnTo>
                <a:lnTo>
                  <a:pt x="2" y="50"/>
                </a:lnTo>
                <a:lnTo>
                  <a:pt x="2" y="60"/>
                </a:lnTo>
                <a:lnTo>
                  <a:pt x="3" y="62"/>
                </a:lnTo>
                <a:lnTo>
                  <a:pt x="4" y="64"/>
                </a:lnTo>
                <a:lnTo>
                  <a:pt x="5" y="177"/>
                </a:lnTo>
                <a:lnTo>
                  <a:pt x="3" y="175"/>
                </a:lnTo>
                <a:lnTo>
                  <a:pt x="2" y="66"/>
                </a:lnTo>
                <a:lnTo>
                  <a:pt x="1" y="63"/>
                </a:lnTo>
                <a:lnTo>
                  <a:pt x="0" y="61"/>
                </a:lnTo>
                <a:lnTo>
                  <a:pt x="0" y="48"/>
                </a:lnTo>
                <a:lnTo>
                  <a:pt x="19" y="48"/>
                </a:lnTo>
                <a:lnTo>
                  <a:pt x="67" y="0"/>
                </a:lnTo>
                <a:close/>
              </a:path>
            </a:pathLst>
          </a:custGeom>
          <a:solidFill>
            <a:srgbClr val="00CCFF"/>
          </a:solidFill>
          <a:ln w="6350" cmpd="sng">
            <a:solidFill>
              <a:srgbClr val="000000"/>
            </a:solidFill>
            <a:round/>
            <a:headEnd/>
            <a:tailEnd/>
          </a:ln>
        </xdr:spPr>
      </xdr:sp>
      <xdr:sp macro="" textlink="">
        <xdr:nvSpPr>
          <xdr:cNvPr id="11439" name="Line 102"/>
          <xdr:cNvSpPr>
            <a:spLocks noChangeShapeType="1"/>
          </xdr:cNvSpPr>
        </xdr:nvSpPr>
        <xdr:spPr bwMode="auto">
          <a:xfrm>
            <a:off x="4476750" y="2124075"/>
            <a:ext cx="0" cy="0"/>
          </a:xfrm>
          <a:prstGeom prst="line">
            <a:avLst/>
          </a:prstGeom>
          <a:noFill/>
          <a:ln w="9525">
            <a:solidFill>
              <a:srgbClr val="000000"/>
            </a:solidFill>
            <a:round/>
            <a:headEnd/>
            <a:tailEnd/>
          </a:ln>
        </xdr:spPr>
      </xdr:sp>
      <xdr:sp macro="" textlink="">
        <xdr:nvSpPr>
          <xdr:cNvPr id="11440" name="Freeform 103"/>
          <xdr:cNvSpPr>
            <a:spLocks/>
          </xdr:cNvSpPr>
        </xdr:nvSpPr>
        <xdr:spPr bwMode="auto">
          <a:xfrm>
            <a:off x="4229100" y="1704975"/>
            <a:ext cx="590550" cy="400050"/>
          </a:xfrm>
          <a:custGeom>
            <a:avLst/>
            <a:gdLst>
              <a:gd name="T0" fmla="*/ 0 w 62"/>
              <a:gd name="T1" fmla="*/ 42 h 42"/>
              <a:gd name="T2" fmla="*/ 42 w 62"/>
              <a:gd name="T3" fmla="*/ 0 h 42"/>
              <a:gd name="T4" fmla="*/ 62 w 62"/>
              <a:gd name="T5" fmla="*/ 0 h 42"/>
              <a:gd name="T6" fmla="*/ 23 w 62"/>
              <a:gd name="T7" fmla="*/ 42 h 42"/>
              <a:gd name="T8" fmla="*/ 0 w 62"/>
              <a:gd name="T9" fmla="*/ 42 h 42"/>
              <a:gd name="T10" fmla="*/ 0 60000 65536"/>
              <a:gd name="T11" fmla="*/ 0 60000 65536"/>
              <a:gd name="T12" fmla="*/ 0 60000 65536"/>
              <a:gd name="T13" fmla="*/ 0 60000 65536"/>
              <a:gd name="T14" fmla="*/ 0 60000 65536"/>
              <a:gd name="T15" fmla="*/ 0 w 62"/>
              <a:gd name="T16" fmla="*/ 0 h 42"/>
              <a:gd name="T17" fmla="*/ 62 w 62"/>
              <a:gd name="T18" fmla="*/ 42 h 42"/>
            </a:gdLst>
            <a:ahLst/>
            <a:cxnLst>
              <a:cxn ang="T10">
                <a:pos x="T0" y="T1"/>
              </a:cxn>
              <a:cxn ang="T11">
                <a:pos x="T2" y="T3"/>
              </a:cxn>
              <a:cxn ang="T12">
                <a:pos x="T4" y="T5"/>
              </a:cxn>
              <a:cxn ang="T13">
                <a:pos x="T6" y="T7"/>
              </a:cxn>
              <a:cxn ang="T14">
                <a:pos x="T8" y="T9"/>
              </a:cxn>
            </a:cxnLst>
            <a:rect l="T15" t="T16" r="T17" b="T18"/>
            <a:pathLst>
              <a:path w="62" h="42">
                <a:moveTo>
                  <a:pt x="0" y="42"/>
                </a:moveTo>
                <a:lnTo>
                  <a:pt x="42" y="0"/>
                </a:lnTo>
                <a:lnTo>
                  <a:pt x="62" y="0"/>
                </a:lnTo>
                <a:lnTo>
                  <a:pt x="23" y="42"/>
                </a:lnTo>
                <a:lnTo>
                  <a:pt x="0" y="42"/>
                </a:lnTo>
                <a:close/>
              </a:path>
            </a:pathLst>
          </a:custGeom>
          <a:gradFill rotWithShape="1">
            <a:gsLst>
              <a:gs pos="0">
                <a:srgbClr val="69FFFF"/>
              </a:gs>
              <a:gs pos="100000">
                <a:srgbClr val="CCFFCC"/>
              </a:gs>
            </a:gsLst>
            <a:lin ang="0" scaled="1"/>
          </a:gradFill>
          <a:ln w="9525">
            <a:solidFill>
              <a:srgbClr val="000000"/>
            </a:solidFill>
            <a:round/>
            <a:headEnd/>
            <a:tailEnd/>
          </a:ln>
        </xdr:spPr>
      </xdr:sp>
      <xdr:sp macro="" textlink="">
        <xdr:nvSpPr>
          <xdr:cNvPr id="11441" name="Freeform 104"/>
          <xdr:cNvSpPr>
            <a:spLocks/>
          </xdr:cNvSpPr>
        </xdr:nvSpPr>
        <xdr:spPr bwMode="auto">
          <a:xfrm>
            <a:off x="4057650" y="2257425"/>
            <a:ext cx="219075" cy="1676400"/>
          </a:xfrm>
          <a:custGeom>
            <a:avLst/>
            <a:gdLst>
              <a:gd name="T0" fmla="*/ 0 w 23"/>
              <a:gd name="T1" fmla="*/ 18 h 176"/>
              <a:gd name="T2" fmla="*/ 23 w 23"/>
              <a:gd name="T3" fmla="*/ 0 h 176"/>
              <a:gd name="T4" fmla="*/ 23 w 23"/>
              <a:gd name="T5" fmla="*/ 176 h 176"/>
              <a:gd name="T6" fmla="*/ 0 w 23"/>
              <a:gd name="T7" fmla="*/ 176 h 176"/>
              <a:gd name="T8" fmla="*/ 0 w 23"/>
              <a:gd name="T9" fmla="*/ 18 h 176"/>
              <a:gd name="T10" fmla="*/ 0 60000 65536"/>
              <a:gd name="T11" fmla="*/ 0 60000 65536"/>
              <a:gd name="T12" fmla="*/ 0 60000 65536"/>
              <a:gd name="T13" fmla="*/ 0 60000 65536"/>
              <a:gd name="T14" fmla="*/ 0 60000 65536"/>
              <a:gd name="T15" fmla="*/ 0 w 23"/>
              <a:gd name="T16" fmla="*/ 0 h 176"/>
              <a:gd name="T17" fmla="*/ 23 w 23"/>
              <a:gd name="T18" fmla="*/ 176 h 176"/>
            </a:gdLst>
            <a:ahLst/>
            <a:cxnLst>
              <a:cxn ang="T10">
                <a:pos x="T0" y="T1"/>
              </a:cxn>
              <a:cxn ang="T11">
                <a:pos x="T2" y="T3"/>
              </a:cxn>
              <a:cxn ang="T12">
                <a:pos x="T4" y="T5"/>
              </a:cxn>
              <a:cxn ang="T13">
                <a:pos x="T6" y="T7"/>
              </a:cxn>
              <a:cxn ang="T14">
                <a:pos x="T8" y="T9"/>
              </a:cxn>
            </a:cxnLst>
            <a:rect l="T15" t="T16" r="T17" b="T18"/>
            <a:pathLst>
              <a:path w="23" h="176">
                <a:moveTo>
                  <a:pt x="0" y="18"/>
                </a:moveTo>
                <a:lnTo>
                  <a:pt x="23" y="0"/>
                </a:lnTo>
                <a:lnTo>
                  <a:pt x="23" y="176"/>
                </a:lnTo>
                <a:lnTo>
                  <a:pt x="0" y="176"/>
                </a:lnTo>
                <a:lnTo>
                  <a:pt x="0" y="18"/>
                </a:lnTo>
                <a:close/>
              </a:path>
            </a:pathLst>
          </a:custGeom>
          <a:gradFill rotWithShape="1">
            <a:gsLst>
              <a:gs pos="0">
                <a:srgbClr val="DDDDDD"/>
              </a:gs>
              <a:gs pos="100000">
                <a:srgbClr val="666666"/>
              </a:gs>
            </a:gsLst>
            <a:lin ang="0" scaled="1"/>
          </a:gradFill>
          <a:ln w="9525">
            <a:solidFill>
              <a:srgbClr val="000000"/>
            </a:solidFill>
            <a:round/>
            <a:headEnd/>
            <a:tailEnd/>
          </a:ln>
        </xdr:spPr>
      </xdr:sp>
      <xdr:sp macro="" textlink="">
        <xdr:nvSpPr>
          <xdr:cNvPr id="11442" name="Line 105"/>
          <xdr:cNvSpPr>
            <a:spLocks noChangeShapeType="1"/>
          </xdr:cNvSpPr>
        </xdr:nvSpPr>
        <xdr:spPr bwMode="auto">
          <a:xfrm flipV="1">
            <a:off x="4276725" y="2133600"/>
            <a:ext cx="123825" cy="123825"/>
          </a:xfrm>
          <a:prstGeom prst="line">
            <a:avLst/>
          </a:prstGeom>
          <a:noFill/>
          <a:ln w="28575">
            <a:solidFill>
              <a:srgbClr val="A6CAF0"/>
            </a:solidFill>
            <a:round/>
            <a:headEnd/>
            <a:tailEnd/>
          </a:ln>
        </xdr:spPr>
      </xdr:sp>
      <xdr:sp macro="" textlink="">
        <xdr:nvSpPr>
          <xdr:cNvPr id="11443" name="Freeform 106"/>
          <xdr:cNvSpPr>
            <a:spLocks/>
          </xdr:cNvSpPr>
        </xdr:nvSpPr>
        <xdr:spPr bwMode="auto">
          <a:xfrm>
            <a:off x="4381500" y="2038350"/>
            <a:ext cx="257175" cy="1924050"/>
          </a:xfrm>
          <a:custGeom>
            <a:avLst/>
            <a:gdLst>
              <a:gd name="T0" fmla="*/ 0 w 27"/>
              <a:gd name="T1" fmla="*/ 9 h 202"/>
              <a:gd name="T2" fmla="*/ 0 w 27"/>
              <a:gd name="T3" fmla="*/ 201 h 202"/>
              <a:gd name="T4" fmla="*/ 0 w 27"/>
              <a:gd name="T5" fmla="*/ 202 h 202"/>
              <a:gd name="T6" fmla="*/ 22 w 27"/>
              <a:gd name="T7" fmla="*/ 202 h 202"/>
              <a:gd name="T8" fmla="*/ 27 w 27"/>
              <a:gd name="T9" fmla="*/ 0 h 202"/>
              <a:gd name="T10" fmla="*/ 15 w 27"/>
              <a:gd name="T11" fmla="*/ 0 h 202"/>
              <a:gd name="T12" fmla="*/ 0 60000 65536"/>
              <a:gd name="T13" fmla="*/ 0 60000 65536"/>
              <a:gd name="T14" fmla="*/ 0 60000 65536"/>
              <a:gd name="T15" fmla="*/ 0 60000 65536"/>
              <a:gd name="T16" fmla="*/ 0 60000 65536"/>
              <a:gd name="T17" fmla="*/ 0 60000 65536"/>
              <a:gd name="T18" fmla="*/ 0 w 27"/>
              <a:gd name="T19" fmla="*/ 0 h 202"/>
              <a:gd name="T20" fmla="*/ 27 w 27"/>
              <a:gd name="T21" fmla="*/ 202 h 202"/>
            </a:gdLst>
            <a:ahLst/>
            <a:cxnLst>
              <a:cxn ang="T12">
                <a:pos x="T0" y="T1"/>
              </a:cxn>
              <a:cxn ang="T13">
                <a:pos x="T2" y="T3"/>
              </a:cxn>
              <a:cxn ang="T14">
                <a:pos x="T4" y="T5"/>
              </a:cxn>
              <a:cxn ang="T15">
                <a:pos x="T6" y="T7"/>
              </a:cxn>
              <a:cxn ang="T16">
                <a:pos x="T8" y="T9"/>
              </a:cxn>
              <a:cxn ang="T17">
                <a:pos x="T10" y="T11"/>
              </a:cxn>
            </a:cxnLst>
            <a:rect l="T18" t="T19" r="T20" b="T21"/>
            <a:pathLst>
              <a:path w="27" h="202">
                <a:moveTo>
                  <a:pt x="0" y="9"/>
                </a:moveTo>
                <a:lnTo>
                  <a:pt x="0" y="201"/>
                </a:lnTo>
                <a:lnTo>
                  <a:pt x="0" y="202"/>
                </a:lnTo>
                <a:lnTo>
                  <a:pt x="22" y="202"/>
                </a:lnTo>
                <a:lnTo>
                  <a:pt x="27" y="0"/>
                </a:lnTo>
                <a:lnTo>
                  <a:pt x="15" y="0"/>
                </a:lnTo>
              </a:path>
            </a:pathLst>
          </a:custGeom>
          <a:solidFill>
            <a:srgbClr val="336666"/>
          </a:solidFill>
          <a:ln w="9525">
            <a:noFill/>
            <a:round/>
            <a:headEnd/>
            <a:tailEnd/>
          </a:ln>
        </xdr:spPr>
      </xdr:sp>
      <xdr:sp macro="" textlink="">
        <xdr:nvSpPr>
          <xdr:cNvPr id="11444" name="Freeform 107"/>
          <xdr:cNvSpPr>
            <a:spLocks/>
          </xdr:cNvSpPr>
        </xdr:nvSpPr>
        <xdr:spPr bwMode="auto">
          <a:xfrm>
            <a:off x="4267200" y="2133600"/>
            <a:ext cx="123825" cy="1485900"/>
          </a:xfrm>
          <a:custGeom>
            <a:avLst/>
            <a:gdLst>
              <a:gd name="T0" fmla="*/ 0 w 13"/>
              <a:gd name="T1" fmla="*/ 0 h 155"/>
              <a:gd name="T2" fmla="*/ 13 w 13"/>
              <a:gd name="T3" fmla="*/ 0 h 155"/>
              <a:gd name="T4" fmla="*/ 13 w 13"/>
              <a:gd name="T5" fmla="*/ 172 h 155"/>
              <a:gd name="T6" fmla="*/ 1 w 13"/>
              <a:gd name="T7" fmla="*/ 178 h 155"/>
              <a:gd name="T8" fmla="*/ 0 w 13"/>
              <a:gd name="T9" fmla="*/ 0 h 155"/>
              <a:gd name="T10" fmla="*/ 0 60000 65536"/>
              <a:gd name="T11" fmla="*/ 0 60000 65536"/>
              <a:gd name="T12" fmla="*/ 0 60000 65536"/>
              <a:gd name="T13" fmla="*/ 0 60000 65536"/>
              <a:gd name="T14" fmla="*/ 0 60000 65536"/>
              <a:gd name="T15" fmla="*/ 0 w 13"/>
              <a:gd name="T16" fmla="*/ 0 h 155"/>
              <a:gd name="T17" fmla="*/ 13 w 13"/>
              <a:gd name="T18" fmla="*/ 155 h 155"/>
            </a:gdLst>
            <a:ahLst/>
            <a:cxnLst>
              <a:cxn ang="T10">
                <a:pos x="T0" y="T1"/>
              </a:cxn>
              <a:cxn ang="T11">
                <a:pos x="T2" y="T3"/>
              </a:cxn>
              <a:cxn ang="T12">
                <a:pos x="T4" y="T5"/>
              </a:cxn>
              <a:cxn ang="T13">
                <a:pos x="T6" y="T7"/>
              </a:cxn>
              <a:cxn ang="T14">
                <a:pos x="T8" y="T9"/>
              </a:cxn>
            </a:cxnLst>
            <a:rect l="T15" t="T16" r="T17" b="T18"/>
            <a:pathLst>
              <a:path w="13" h="155">
                <a:moveTo>
                  <a:pt x="0" y="0"/>
                </a:moveTo>
                <a:lnTo>
                  <a:pt x="13" y="0"/>
                </a:lnTo>
                <a:lnTo>
                  <a:pt x="13" y="149"/>
                </a:lnTo>
                <a:lnTo>
                  <a:pt x="1" y="155"/>
                </a:lnTo>
                <a:lnTo>
                  <a:pt x="0" y="0"/>
                </a:lnTo>
                <a:close/>
              </a:path>
            </a:pathLst>
          </a:custGeom>
          <a:solidFill>
            <a:srgbClr val="99FF99"/>
          </a:solidFill>
          <a:ln w="9525">
            <a:noFill/>
            <a:round/>
            <a:headEnd/>
            <a:tailEnd/>
          </a:ln>
        </xdr:spPr>
      </xdr:sp>
      <xdr:sp macro="" textlink="">
        <xdr:nvSpPr>
          <xdr:cNvPr id="11445" name="Line 108"/>
          <xdr:cNvSpPr>
            <a:spLocks noChangeShapeType="1"/>
          </xdr:cNvSpPr>
        </xdr:nvSpPr>
        <xdr:spPr bwMode="auto">
          <a:xfrm>
            <a:off x="4514850" y="2114550"/>
            <a:ext cx="0" cy="1781175"/>
          </a:xfrm>
          <a:prstGeom prst="line">
            <a:avLst/>
          </a:prstGeom>
          <a:noFill/>
          <a:ln w="28575">
            <a:solidFill>
              <a:srgbClr val="A6CAF0"/>
            </a:solidFill>
            <a:round/>
            <a:headEnd/>
            <a:tailEnd/>
          </a:ln>
        </xdr:spPr>
      </xdr:sp>
      <xdr:sp macro="" textlink="">
        <xdr:nvSpPr>
          <xdr:cNvPr id="11446" name="Line 109"/>
          <xdr:cNvSpPr>
            <a:spLocks noChangeShapeType="1"/>
          </xdr:cNvSpPr>
        </xdr:nvSpPr>
        <xdr:spPr bwMode="auto">
          <a:xfrm>
            <a:off x="4391025" y="2133600"/>
            <a:ext cx="9525" cy="1447800"/>
          </a:xfrm>
          <a:prstGeom prst="line">
            <a:avLst/>
          </a:prstGeom>
          <a:noFill/>
          <a:ln w="19050">
            <a:solidFill>
              <a:srgbClr val="A6CAF0"/>
            </a:solidFill>
            <a:round/>
            <a:headEnd/>
            <a:tailEnd/>
          </a:ln>
        </xdr:spPr>
      </xdr:sp>
      <xdr:sp macro="" textlink="">
        <xdr:nvSpPr>
          <xdr:cNvPr id="11447" name="Line 110"/>
          <xdr:cNvSpPr>
            <a:spLocks noChangeShapeType="1"/>
          </xdr:cNvSpPr>
        </xdr:nvSpPr>
        <xdr:spPr bwMode="auto">
          <a:xfrm>
            <a:off x="4276725" y="2266950"/>
            <a:ext cx="9525" cy="1447800"/>
          </a:xfrm>
          <a:prstGeom prst="line">
            <a:avLst/>
          </a:prstGeom>
          <a:noFill/>
          <a:ln w="19050">
            <a:solidFill>
              <a:srgbClr val="00CCFF"/>
            </a:solidFill>
            <a:round/>
            <a:headEnd/>
            <a:tailEnd/>
          </a:ln>
        </xdr:spPr>
      </xdr:sp>
      <xdr:sp macro="" textlink="">
        <xdr:nvSpPr>
          <xdr:cNvPr id="11448" name="Freeform 111"/>
          <xdr:cNvSpPr>
            <a:spLocks/>
          </xdr:cNvSpPr>
        </xdr:nvSpPr>
        <xdr:spPr bwMode="auto">
          <a:xfrm>
            <a:off x="4257675" y="2133600"/>
            <a:ext cx="19050" cy="142875"/>
          </a:xfrm>
          <a:custGeom>
            <a:avLst/>
            <a:gdLst>
              <a:gd name="T0" fmla="*/ 2 w 2"/>
              <a:gd name="T1" fmla="*/ 15 h 15"/>
              <a:gd name="T2" fmla="*/ 0 w 2"/>
              <a:gd name="T3" fmla="*/ 11 h 15"/>
              <a:gd name="T4" fmla="*/ 0 w 2"/>
              <a:gd name="T5" fmla="*/ 0 h 15"/>
              <a:gd name="T6" fmla="*/ 0 60000 65536"/>
              <a:gd name="T7" fmla="*/ 0 60000 65536"/>
              <a:gd name="T8" fmla="*/ 0 60000 65536"/>
              <a:gd name="T9" fmla="*/ 0 w 2"/>
              <a:gd name="T10" fmla="*/ 0 h 15"/>
              <a:gd name="T11" fmla="*/ 2 w 2"/>
              <a:gd name="T12" fmla="*/ 15 h 15"/>
            </a:gdLst>
            <a:ahLst/>
            <a:cxnLst>
              <a:cxn ang="T6">
                <a:pos x="T0" y="T1"/>
              </a:cxn>
              <a:cxn ang="T7">
                <a:pos x="T2" y="T3"/>
              </a:cxn>
              <a:cxn ang="T8">
                <a:pos x="T4" y="T5"/>
              </a:cxn>
            </a:cxnLst>
            <a:rect l="T9" t="T10" r="T11" b="T12"/>
            <a:pathLst>
              <a:path w="2" h="15">
                <a:moveTo>
                  <a:pt x="2" y="15"/>
                </a:moveTo>
                <a:lnTo>
                  <a:pt x="0" y="11"/>
                </a:lnTo>
                <a:lnTo>
                  <a:pt x="0" y="0"/>
                </a:lnTo>
              </a:path>
            </a:pathLst>
          </a:custGeom>
          <a:noFill/>
          <a:ln w="19050" cmpd="sng">
            <a:solidFill>
              <a:srgbClr val="00CCFF"/>
            </a:solidFill>
            <a:round/>
            <a:headEnd/>
            <a:tailEnd/>
          </a:ln>
        </xdr:spPr>
      </xdr:sp>
      <xdr:sp macro="" textlink="">
        <xdr:nvSpPr>
          <xdr:cNvPr id="11449" name="Line 112"/>
          <xdr:cNvSpPr>
            <a:spLocks noChangeShapeType="1"/>
          </xdr:cNvSpPr>
        </xdr:nvSpPr>
        <xdr:spPr bwMode="auto">
          <a:xfrm>
            <a:off x="4238625" y="2124075"/>
            <a:ext cx="0" cy="0"/>
          </a:xfrm>
          <a:prstGeom prst="line">
            <a:avLst/>
          </a:prstGeom>
          <a:noFill/>
          <a:ln w="9525">
            <a:solidFill>
              <a:srgbClr val="000000"/>
            </a:solidFill>
            <a:round/>
            <a:headEnd/>
            <a:tailEnd/>
          </a:ln>
        </xdr:spPr>
      </xdr:sp>
      <xdr:sp macro="" textlink="">
        <xdr:nvSpPr>
          <xdr:cNvPr id="11450" name="Freeform 113"/>
          <xdr:cNvSpPr>
            <a:spLocks/>
          </xdr:cNvSpPr>
        </xdr:nvSpPr>
        <xdr:spPr bwMode="auto">
          <a:xfrm>
            <a:off x="4191000" y="1647825"/>
            <a:ext cx="695325" cy="638175"/>
          </a:xfrm>
          <a:custGeom>
            <a:avLst/>
            <a:gdLst>
              <a:gd name="T0" fmla="*/ 0 w 73"/>
              <a:gd name="T1" fmla="*/ 67 h 67"/>
              <a:gd name="T2" fmla="*/ 0 w 73"/>
              <a:gd name="T3" fmla="*/ 65 h 67"/>
              <a:gd name="T4" fmla="*/ 2 w 73"/>
              <a:gd name="T5" fmla="*/ 63 h 67"/>
              <a:gd name="T6" fmla="*/ 4 w 73"/>
              <a:gd name="T7" fmla="*/ 61 h 67"/>
              <a:gd name="T8" fmla="*/ 4 w 73"/>
              <a:gd name="T9" fmla="*/ 48 h 67"/>
              <a:gd name="T10" fmla="*/ 25 w 73"/>
              <a:gd name="T11" fmla="*/ 48 h 67"/>
              <a:gd name="T12" fmla="*/ 73 w 73"/>
              <a:gd name="T13" fmla="*/ 0 h 67"/>
              <a:gd name="T14" fmla="*/ 73 w 73"/>
              <a:gd name="T15" fmla="*/ 2 h 67"/>
              <a:gd name="T16" fmla="*/ 25 w 73"/>
              <a:gd name="T17" fmla="*/ 50 h 67"/>
              <a:gd name="T18" fmla="*/ 6 w 73"/>
              <a:gd name="T19" fmla="*/ 50 h 67"/>
              <a:gd name="T20" fmla="*/ 6 w 73"/>
              <a:gd name="T21" fmla="*/ 63 h 67"/>
              <a:gd name="T22" fmla="*/ 4 w 73"/>
              <a:gd name="T23" fmla="*/ 64 h 67"/>
              <a:gd name="T24" fmla="*/ 0 w 73"/>
              <a:gd name="T25" fmla="*/ 67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3"/>
              <a:gd name="T40" fmla="*/ 0 h 67"/>
              <a:gd name="T41" fmla="*/ 73 w 73"/>
              <a:gd name="T42" fmla="*/ 67 h 6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3" h="67">
                <a:moveTo>
                  <a:pt x="0" y="67"/>
                </a:moveTo>
                <a:lnTo>
                  <a:pt x="0" y="65"/>
                </a:lnTo>
                <a:lnTo>
                  <a:pt x="2" y="63"/>
                </a:lnTo>
                <a:lnTo>
                  <a:pt x="4" y="61"/>
                </a:lnTo>
                <a:lnTo>
                  <a:pt x="4" y="48"/>
                </a:lnTo>
                <a:lnTo>
                  <a:pt x="25" y="48"/>
                </a:lnTo>
                <a:lnTo>
                  <a:pt x="73" y="0"/>
                </a:lnTo>
                <a:lnTo>
                  <a:pt x="73" y="2"/>
                </a:lnTo>
                <a:lnTo>
                  <a:pt x="25" y="50"/>
                </a:lnTo>
                <a:lnTo>
                  <a:pt x="6" y="50"/>
                </a:lnTo>
                <a:lnTo>
                  <a:pt x="6" y="63"/>
                </a:lnTo>
                <a:lnTo>
                  <a:pt x="4" y="64"/>
                </a:lnTo>
                <a:lnTo>
                  <a:pt x="0" y="67"/>
                </a:lnTo>
                <a:close/>
              </a:path>
            </a:pathLst>
          </a:custGeom>
          <a:solidFill>
            <a:srgbClr val="00CCFF"/>
          </a:solidFill>
          <a:ln w="6350" cmpd="sng">
            <a:solidFill>
              <a:srgbClr val="000000"/>
            </a:solidFill>
            <a:round/>
            <a:headEnd/>
            <a:tailEnd/>
          </a:ln>
        </xdr:spPr>
      </xdr:sp>
      <xdr:sp macro="" textlink="">
        <xdr:nvSpPr>
          <xdr:cNvPr id="11458" name="Freeform 115"/>
          <xdr:cNvSpPr>
            <a:spLocks/>
          </xdr:cNvSpPr>
        </xdr:nvSpPr>
        <xdr:spPr bwMode="auto">
          <a:xfrm>
            <a:off x="4276725" y="1609725"/>
            <a:ext cx="619125" cy="390525"/>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Lst>
            <a:ahLst/>
            <a:cxnLst>
              <a:cxn ang="T10">
                <a:pos x="T0" y="T1"/>
              </a:cxn>
              <a:cxn ang="T11">
                <a:pos x="T2" y="T3"/>
              </a:cxn>
              <a:cxn ang="T12">
                <a:pos x="T4" y="T5"/>
              </a:cxn>
              <a:cxn ang="T13">
                <a:pos x="T6" y="T7"/>
              </a:cxn>
              <a:cxn ang="T14">
                <a:pos x="T8" y="T9"/>
              </a:cxn>
            </a:cxnLst>
            <a:rect l="T15" t="T16" r="T17" b="T18"/>
            <a:pathLst>
              <a:path w="65" h="41">
                <a:moveTo>
                  <a:pt x="24" y="41"/>
                </a:moveTo>
                <a:lnTo>
                  <a:pt x="0" y="41"/>
                </a:lnTo>
                <a:lnTo>
                  <a:pt x="41" y="0"/>
                </a:lnTo>
                <a:lnTo>
                  <a:pt x="65" y="0"/>
                </a:lnTo>
                <a:lnTo>
                  <a:pt x="24" y="41"/>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11459" name="Freeform 116"/>
          <xdr:cNvSpPr>
            <a:spLocks/>
          </xdr:cNvSpPr>
        </xdr:nvSpPr>
        <xdr:spPr bwMode="auto">
          <a:xfrm>
            <a:off x="4276725" y="1609725"/>
            <a:ext cx="619125" cy="447675"/>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5" h="47">
                <a:moveTo>
                  <a:pt x="0" y="41"/>
                </a:moveTo>
                <a:lnTo>
                  <a:pt x="0" y="47"/>
                </a:lnTo>
                <a:lnTo>
                  <a:pt x="3" y="44"/>
                </a:lnTo>
                <a:lnTo>
                  <a:pt x="24" y="44"/>
                </a:lnTo>
                <a:lnTo>
                  <a:pt x="65" y="3"/>
                </a:lnTo>
                <a:lnTo>
                  <a:pt x="65" y="0"/>
                </a:lnTo>
                <a:lnTo>
                  <a:pt x="24" y="41"/>
                </a:lnTo>
                <a:lnTo>
                  <a:pt x="0" y="41"/>
                </a:lnTo>
                <a:close/>
              </a:path>
            </a:pathLst>
          </a:custGeom>
          <a:solidFill>
            <a:srgbClr val="808080"/>
          </a:solidFill>
          <a:ln w="6350" cmpd="sng">
            <a:solidFill>
              <a:srgbClr val="000000"/>
            </a:solidFill>
            <a:round/>
            <a:headEnd/>
            <a:tailEnd/>
          </a:ln>
        </xdr:spPr>
      </xdr:sp>
      <xdr:sp macro="" textlink="">
        <xdr:nvSpPr>
          <xdr:cNvPr id="11452" name="Line 117"/>
          <xdr:cNvSpPr>
            <a:spLocks noChangeShapeType="1"/>
          </xdr:cNvSpPr>
        </xdr:nvSpPr>
        <xdr:spPr bwMode="auto">
          <a:xfrm>
            <a:off x="4505325" y="2000250"/>
            <a:ext cx="0" cy="28575"/>
          </a:xfrm>
          <a:prstGeom prst="line">
            <a:avLst/>
          </a:prstGeom>
          <a:noFill/>
          <a:ln w="9525">
            <a:solidFill>
              <a:srgbClr val="000000"/>
            </a:solidFill>
            <a:round/>
            <a:headEnd/>
            <a:tailEnd/>
          </a:ln>
        </xdr:spPr>
      </xdr:sp>
      <xdr:sp macro="" textlink="">
        <xdr:nvSpPr>
          <xdr:cNvPr id="11453" name="Line 118"/>
          <xdr:cNvSpPr>
            <a:spLocks noChangeShapeType="1"/>
          </xdr:cNvSpPr>
        </xdr:nvSpPr>
        <xdr:spPr bwMode="auto">
          <a:xfrm flipV="1">
            <a:off x="4286250" y="2171700"/>
            <a:ext cx="104775" cy="104775"/>
          </a:xfrm>
          <a:prstGeom prst="line">
            <a:avLst/>
          </a:prstGeom>
          <a:noFill/>
          <a:ln w="19050">
            <a:solidFill>
              <a:srgbClr val="A6CAF0"/>
            </a:solidFill>
            <a:round/>
            <a:headEnd/>
            <a:tailEnd/>
          </a:ln>
        </xdr:spPr>
      </xdr:sp>
      <xdr:sp macro="" textlink="">
        <xdr:nvSpPr>
          <xdr:cNvPr id="11454" name="Line 119"/>
          <xdr:cNvSpPr>
            <a:spLocks noChangeShapeType="1"/>
          </xdr:cNvSpPr>
        </xdr:nvSpPr>
        <xdr:spPr bwMode="auto">
          <a:xfrm flipV="1">
            <a:off x="4248150" y="2133600"/>
            <a:ext cx="114300" cy="123825"/>
          </a:xfrm>
          <a:prstGeom prst="line">
            <a:avLst/>
          </a:prstGeom>
          <a:noFill/>
          <a:ln w="19050">
            <a:solidFill>
              <a:srgbClr val="A6CAF0"/>
            </a:solidFill>
            <a:round/>
            <a:headEnd/>
            <a:tailEnd/>
          </a:ln>
        </xdr:spPr>
      </xdr:sp>
      <xdr:sp macro="" textlink="">
        <xdr:nvSpPr>
          <xdr:cNvPr id="11455" name="Freeform 120"/>
          <xdr:cNvSpPr>
            <a:spLocks/>
          </xdr:cNvSpPr>
        </xdr:nvSpPr>
        <xdr:spPr bwMode="auto">
          <a:xfrm>
            <a:off x="4248150" y="1666875"/>
            <a:ext cx="638175" cy="1685925"/>
          </a:xfrm>
          <a:custGeom>
            <a:avLst/>
            <a:gdLst>
              <a:gd name="T0" fmla="*/ 67 w 67"/>
              <a:gd name="T1" fmla="*/ 0 h 177"/>
              <a:gd name="T2" fmla="*/ 67 w 67"/>
              <a:gd name="T3" fmla="*/ 2 h 177"/>
              <a:gd name="T4" fmla="*/ 19 w 67"/>
              <a:gd name="T5" fmla="*/ 50 h 177"/>
              <a:gd name="T6" fmla="*/ 2 w 67"/>
              <a:gd name="T7" fmla="*/ 50 h 177"/>
              <a:gd name="T8" fmla="*/ 2 w 67"/>
              <a:gd name="T9" fmla="*/ 60 h 177"/>
              <a:gd name="T10" fmla="*/ 3 w 67"/>
              <a:gd name="T11" fmla="*/ 62 h 177"/>
              <a:gd name="T12" fmla="*/ 4 w 67"/>
              <a:gd name="T13" fmla="*/ 64 h 177"/>
              <a:gd name="T14" fmla="*/ 5 w 67"/>
              <a:gd name="T15" fmla="*/ 177 h 177"/>
              <a:gd name="T16" fmla="*/ 3 w 67"/>
              <a:gd name="T17" fmla="*/ 175 h 177"/>
              <a:gd name="T18" fmla="*/ 2 w 67"/>
              <a:gd name="T19" fmla="*/ 66 h 177"/>
              <a:gd name="T20" fmla="*/ 1 w 67"/>
              <a:gd name="T21" fmla="*/ 63 h 177"/>
              <a:gd name="T22" fmla="*/ 0 w 67"/>
              <a:gd name="T23" fmla="*/ 61 h 177"/>
              <a:gd name="T24" fmla="*/ 0 w 67"/>
              <a:gd name="T25" fmla="*/ 48 h 177"/>
              <a:gd name="T26" fmla="*/ 19 w 67"/>
              <a:gd name="T27" fmla="*/ 48 h 177"/>
              <a:gd name="T28" fmla="*/ 67 w 67"/>
              <a:gd name="T29" fmla="*/ 0 h 17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7"/>
              <a:gd name="T46" fmla="*/ 0 h 177"/>
              <a:gd name="T47" fmla="*/ 67 w 67"/>
              <a:gd name="T48" fmla="*/ 177 h 17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7" h="177">
                <a:moveTo>
                  <a:pt x="67" y="0"/>
                </a:moveTo>
                <a:lnTo>
                  <a:pt x="67" y="2"/>
                </a:lnTo>
                <a:lnTo>
                  <a:pt x="19" y="50"/>
                </a:lnTo>
                <a:lnTo>
                  <a:pt x="2" y="50"/>
                </a:lnTo>
                <a:lnTo>
                  <a:pt x="2" y="60"/>
                </a:lnTo>
                <a:lnTo>
                  <a:pt x="3" y="62"/>
                </a:lnTo>
                <a:lnTo>
                  <a:pt x="4" y="64"/>
                </a:lnTo>
                <a:lnTo>
                  <a:pt x="5" y="177"/>
                </a:lnTo>
                <a:lnTo>
                  <a:pt x="3" y="175"/>
                </a:lnTo>
                <a:lnTo>
                  <a:pt x="2" y="66"/>
                </a:lnTo>
                <a:lnTo>
                  <a:pt x="1" y="63"/>
                </a:lnTo>
                <a:lnTo>
                  <a:pt x="0" y="61"/>
                </a:lnTo>
                <a:lnTo>
                  <a:pt x="0" y="48"/>
                </a:lnTo>
                <a:lnTo>
                  <a:pt x="19" y="48"/>
                </a:lnTo>
                <a:lnTo>
                  <a:pt x="67" y="0"/>
                </a:lnTo>
                <a:close/>
              </a:path>
            </a:pathLst>
          </a:custGeom>
          <a:solidFill>
            <a:srgbClr val="00CCFF"/>
          </a:solidFill>
          <a:ln w="6350" cmpd="sng">
            <a:solidFill>
              <a:srgbClr val="000000"/>
            </a:solidFill>
            <a:round/>
            <a:headEnd/>
            <a:tailEnd/>
          </a:ln>
        </xdr:spPr>
      </xdr:sp>
      <xdr:sp macro="" textlink="">
        <xdr:nvSpPr>
          <xdr:cNvPr id="11456" name="Line 121"/>
          <xdr:cNvSpPr>
            <a:spLocks noChangeShapeType="1"/>
          </xdr:cNvSpPr>
        </xdr:nvSpPr>
        <xdr:spPr bwMode="auto">
          <a:xfrm>
            <a:off x="4733925" y="2124075"/>
            <a:ext cx="0" cy="0"/>
          </a:xfrm>
          <a:prstGeom prst="line">
            <a:avLst/>
          </a:prstGeom>
          <a:noFill/>
          <a:ln w="9525">
            <a:solidFill>
              <a:srgbClr val="000000"/>
            </a:solidFill>
            <a:round/>
            <a:headEnd/>
            <a:tailEnd/>
          </a:ln>
        </xdr:spPr>
      </xdr:sp>
      <xdr:sp macro="" textlink="">
        <xdr:nvSpPr>
          <xdr:cNvPr id="11457" name="Freeform 122"/>
          <xdr:cNvSpPr>
            <a:spLocks/>
          </xdr:cNvSpPr>
        </xdr:nvSpPr>
        <xdr:spPr bwMode="auto">
          <a:xfrm>
            <a:off x="4057650" y="2247900"/>
            <a:ext cx="276225" cy="180975"/>
          </a:xfrm>
          <a:custGeom>
            <a:avLst/>
            <a:gdLst>
              <a:gd name="T0" fmla="*/ 29 w 29"/>
              <a:gd name="T1" fmla="*/ 16 h 19"/>
              <a:gd name="T2" fmla="*/ 25 w 29"/>
              <a:gd name="T3" fmla="*/ 19 h 19"/>
              <a:gd name="T4" fmla="*/ 0 w 29"/>
              <a:gd name="T5" fmla="*/ 19 h 19"/>
              <a:gd name="T6" fmla="*/ 19 w 29"/>
              <a:gd name="T7" fmla="*/ 0 h 19"/>
              <a:gd name="T8" fmla="*/ 21 w 29"/>
              <a:gd name="T9" fmla="*/ 2 h 19"/>
              <a:gd name="T10" fmla="*/ 21 w 29"/>
              <a:gd name="T11" fmla="*/ 4 h 19"/>
              <a:gd name="T12" fmla="*/ 8 w 29"/>
              <a:gd name="T13" fmla="*/ 16 h 19"/>
              <a:gd name="T14" fmla="*/ 29 w 29"/>
              <a:gd name="T15" fmla="*/ 16 h 19"/>
              <a:gd name="T16" fmla="*/ 0 60000 65536"/>
              <a:gd name="T17" fmla="*/ 0 60000 65536"/>
              <a:gd name="T18" fmla="*/ 0 60000 65536"/>
              <a:gd name="T19" fmla="*/ 0 60000 65536"/>
              <a:gd name="T20" fmla="*/ 0 60000 65536"/>
              <a:gd name="T21" fmla="*/ 0 60000 65536"/>
              <a:gd name="T22" fmla="*/ 0 60000 65536"/>
              <a:gd name="T23" fmla="*/ 0 60000 65536"/>
              <a:gd name="T24" fmla="*/ 0 w 29"/>
              <a:gd name="T25" fmla="*/ 0 h 19"/>
              <a:gd name="T26" fmla="*/ 29 w 29"/>
              <a:gd name="T27" fmla="*/ 19 h 1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9" h="19">
                <a:moveTo>
                  <a:pt x="29" y="16"/>
                </a:moveTo>
                <a:lnTo>
                  <a:pt x="25" y="19"/>
                </a:lnTo>
                <a:lnTo>
                  <a:pt x="0" y="19"/>
                </a:lnTo>
                <a:lnTo>
                  <a:pt x="19" y="0"/>
                </a:lnTo>
                <a:lnTo>
                  <a:pt x="21" y="2"/>
                </a:lnTo>
                <a:lnTo>
                  <a:pt x="21" y="4"/>
                </a:lnTo>
                <a:lnTo>
                  <a:pt x="8" y="16"/>
                </a:lnTo>
                <a:lnTo>
                  <a:pt x="29" y="16"/>
                </a:lnTo>
                <a:close/>
              </a:path>
            </a:pathLst>
          </a:custGeom>
          <a:solidFill>
            <a:srgbClr val="C0C0C0"/>
          </a:solidFill>
          <a:ln w="9525">
            <a:solidFill>
              <a:srgbClr val="000000"/>
            </a:solidFill>
            <a:round/>
            <a:headEnd/>
            <a:tailEnd/>
          </a:ln>
        </xdr:spPr>
      </xdr:sp>
      <xdr:grpSp>
        <xdr:nvGrpSpPr>
          <xdr:cNvPr id="11337" name="Group 123"/>
          <xdr:cNvGrpSpPr>
            <a:grpSpLocks/>
          </xdr:cNvGrpSpPr>
        </xdr:nvGrpSpPr>
        <xdr:grpSpPr bwMode="auto">
          <a:xfrm>
            <a:off x="4076700" y="1609725"/>
            <a:ext cx="1333500" cy="2352675"/>
            <a:chOff x="837" y="652"/>
            <a:chExt cx="140" cy="247"/>
          </a:xfrm>
        </xdr:grpSpPr>
        <xdr:sp macro="" textlink="">
          <xdr:nvSpPr>
            <xdr:cNvPr id="11380" name="Freeform 124"/>
            <xdr:cNvSpPr>
              <a:spLocks/>
            </xdr:cNvSpPr>
          </xdr:nvSpPr>
          <xdr:spPr bwMode="auto">
            <a:xfrm>
              <a:off x="880" y="662"/>
              <a:ext cx="62" cy="42"/>
            </a:xfrm>
            <a:custGeom>
              <a:avLst/>
              <a:gdLst>
                <a:gd name="T0" fmla="*/ 0 w 62"/>
                <a:gd name="T1" fmla="*/ 42 h 42"/>
                <a:gd name="T2" fmla="*/ 42 w 62"/>
                <a:gd name="T3" fmla="*/ 0 h 42"/>
                <a:gd name="T4" fmla="*/ 62 w 62"/>
                <a:gd name="T5" fmla="*/ 0 h 42"/>
                <a:gd name="T6" fmla="*/ 23 w 62"/>
                <a:gd name="T7" fmla="*/ 42 h 42"/>
                <a:gd name="T8" fmla="*/ 0 w 62"/>
                <a:gd name="T9" fmla="*/ 42 h 42"/>
                <a:gd name="T10" fmla="*/ 0 60000 65536"/>
                <a:gd name="T11" fmla="*/ 0 60000 65536"/>
                <a:gd name="T12" fmla="*/ 0 60000 65536"/>
                <a:gd name="T13" fmla="*/ 0 60000 65536"/>
                <a:gd name="T14" fmla="*/ 0 60000 65536"/>
                <a:gd name="T15" fmla="*/ 0 w 62"/>
                <a:gd name="T16" fmla="*/ 0 h 42"/>
                <a:gd name="T17" fmla="*/ 62 w 62"/>
                <a:gd name="T18" fmla="*/ 42 h 42"/>
              </a:gdLst>
              <a:ahLst/>
              <a:cxnLst>
                <a:cxn ang="T10">
                  <a:pos x="T0" y="T1"/>
                </a:cxn>
                <a:cxn ang="T11">
                  <a:pos x="T2" y="T3"/>
                </a:cxn>
                <a:cxn ang="T12">
                  <a:pos x="T4" y="T5"/>
                </a:cxn>
                <a:cxn ang="T13">
                  <a:pos x="T6" y="T7"/>
                </a:cxn>
                <a:cxn ang="T14">
                  <a:pos x="T8" y="T9"/>
                </a:cxn>
              </a:cxnLst>
              <a:rect l="T15" t="T16" r="T17" b="T18"/>
              <a:pathLst>
                <a:path w="62" h="42">
                  <a:moveTo>
                    <a:pt x="0" y="42"/>
                  </a:moveTo>
                  <a:lnTo>
                    <a:pt x="42" y="0"/>
                  </a:lnTo>
                  <a:lnTo>
                    <a:pt x="62" y="0"/>
                  </a:lnTo>
                  <a:lnTo>
                    <a:pt x="23" y="42"/>
                  </a:lnTo>
                  <a:lnTo>
                    <a:pt x="0" y="42"/>
                  </a:lnTo>
                  <a:close/>
                </a:path>
              </a:pathLst>
            </a:custGeom>
            <a:gradFill rotWithShape="1">
              <a:gsLst>
                <a:gs pos="0">
                  <a:srgbClr val="69FFFF"/>
                </a:gs>
                <a:gs pos="100000">
                  <a:srgbClr val="CCFFCC"/>
                </a:gs>
              </a:gsLst>
              <a:lin ang="0" scaled="1"/>
            </a:gradFill>
            <a:ln w="9525">
              <a:solidFill>
                <a:srgbClr val="000000"/>
              </a:solidFill>
              <a:round/>
              <a:headEnd/>
              <a:tailEnd/>
            </a:ln>
          </xdr:spPr>
        </xdr:sp>
        <xdr:sp macro="" textlink="">
          <xdr:nvSpPr>
            <xdr:cNvPr id="11381" name="Rectangle 125"/>
            <xdr:cNvSpPr>
              <a:spLocks noChangeArrowheads="1"/>
            </xdr:cNvSpPr>
          </xdr:nvSpPr>
          <xdr:spPr bwMode="auto">
            <a:xfrm>
              <a:off x="837" y="741"/>
              <a:ext cx="27" cy="151"/>
            </a:xfrm>
            <a:prstGeom prst="rect">
              <a:avLst/>
            </a:prstGeom>
            <a:gradFill rotWithShape="1">
              <a:gsLst>
                <a:gs pos="0">
                  <a:srgbClr val="FFFFFF"/>
                </a:gs>
                <a:gs pos="100000">
                  <a:srgbClr val="767676"/>
                </a:gs>
              </a:gsLst>
              <a:lin ang="2700000" scaled="1"/>
            </a:gradFill>
            <a:ln w="9525">
              <a:solidFill>
                <a:srgbClr val="000000"/>
              </a:solidFill>
              <a:miter lim="800000"/>
              <a:headEnd/>
              <a:tailEnd/>
            </a:ln>
          </xdr:spPr>
        </xdr:sp>
        <xdr:sp macro="" textlink="">
          <xdr:nvSpPr>
            <xdr:cNvPr id="11382" name="Freeform 126"/>
            <xdr:cNvSpPr>
              <a:spLocks/>
            </xdr:cNvSpPr>
          </xdr:nvSpPr>
          <xdr:spPr bwMode="auto">
            <a:xfrm>
              <a:off x="864" y="720"/>
              <a:ext cx="21" cy="177"/>
            </a:xfrm>
            <a:custGeom>
              <a:avLst/>
              <a:gdLst>
                <a:gd name="T0" fmla="*/ 0 w 21"/>
                <a:gd name="T1" fmla="*/ 20 h 177"/>
                <a:gd name="T2" fmla="*/ 21 w 21"/>
                <a:gd name="T3" fmla="*/ 0 h 177"/>
                <a:gd name="T4" fmla="*/ 21 w 21"/>
                <a:gd name="T5" fmla="*/ 176 h 177"/>
                <a:gd name="T6" fmla="*/ 0 w 21"/>
                <a:gd name="T7" fmla="*/ 177 h 177"/>
                <a:gd name="T8" fmla="*/ 0 w 21"/>
                <a:gd name="T9" fmla="*/ 20 h 177"/>
                <a:gd name="T10" fmla="*/ 0 60000 65536"/>
                <a:gd name="T11" fmla="*/ 0 60000 65536"/>
                <a:gd name="T12" fmla="*/ 0 60000 65536"/>
                <a:gd name="T13" fmla="*/ 0 60000 65536"/>
                <a:gd name="T14" fmla="*/ 0 60000 65536"/>
                <a:gd name="T15" fmla="*/ 0 w 21"/>
                <a:gd name="T16" fmla="*/ 0 h 177"/>
                <a:gd name="T17" fmla="*/ 21 w 21"/>
                <a:gd name="T18" fmla="*/ 177 h 177"/>
              </a:gdLst>
              <a:ahLst/>
              <a:cxnLst>
                <a:cxn ang="T10">
                  <a:pos x="T0" y="T1"/>
                </a:cxn>
                <a:cxn ang="T11">
                  <a:pos x="T2" y="T3"/>
                </a:cxn>
                <a:cxn ang="T12">
                  <a:pos x="T4" y="T5"/>
                </a:cxn>
                <a:cxn ang="T13">
                  <a:pos x="T6" y="T7"/>
                </a:cxn>
                <a:cxn ang="T14">
                  <a:pos x="T8" y="T9"/>
                </a:cxn>
              </a:cxnLst>
              <a:rect l="T15" t="T16" r="T17" b="T18"/>
              <a:pathLst>
                <a:path w="21" h="177">
                  <a:moveTo>
                    <a:pt x="0" y="20"/>
                  </a:moveTo>
                  <a:lnTo>
                    <a:pt x="21" y="0"/>
                  </a:lnTo>
                  <a:lnTo>
                    <a:pt x="21" y="176"/>
                  </a:lnTo>
                  <a:lnTo>
                    <a:pt x="0" y="177"/>
                  </a:lnTo>
                  <a:lnTo>
                    <a:pt x="0" y="20"/>
                  </a:lnTo>
                  <a:close/>
                </a:path>
              </a:pathLst>
            </a:custGeom>
            <a:gradFill rotWithShape="1">
              <a:gsLst>
                <a:gs pos="0">
                  <a:srgbClr val="767676"/>
                </a:gs>
                <a:gs pos="50000">
                  <a:srgbClr val="FFFFFF"/>
                </a:gs>
                <a:gs pos="100000">
                  <a:srgbClr val="767676"/>
                </a:gs>
              </a:gsLst>
              <a:lin ang="0" scaled="1"/>
            </a:gradFill>
            <a:ln w="9525">
              <a:solidFill>
                <a:srgbClr val="000000"/>
              </a:solidFill>
              <a:round/>
              <a:headEnd/>
              <a:tailEnd/>
            </a:ln>
          </xdr:spPr>
        </xdr:sp>
        <xdr:sp macro="" textlink="">
          <xdr:nvSpPr>
            <xdr:cNvPr id="11383" name="Line 127"/>
            <xdr:cNvSpPr>
              <a:spLocks noChangeShapeType="1"/>
            </xdr:cNvSpPr>
          </xdr:nvSpPr>
          <xdr:spPr bwMode="auto">
            <a:xfrm flipV="1">
              <a:off x="885" y="707"/>
              <a:ext cx="13" cy="13"/>
            </a:xfrm>
            <a:prstGeom prst="line">
              <a:avLst/>
            </a:prstGeom>
            <a:noFill/>
            <a:ln w="28575">
              <a:solidFill>
                <a:srgbClr val="A6CAF0"/>
              </a:solidFill>
              <a:round/>
              <a:headEnd/>
              <a:tailEnd/>
            </a:ln>
          </xdr:spPr>
        </xdr:sp>
        <xdr:sp macro="" textlink="">
          <xdr:nvSpPr>
            <xdr:cNvPr id="11384" name="Freeform 128"/>
            <xdr:cNvSpPr>
              <a:spLocks/>
            </xdr:cNvSpPr>
          </xdr:nvSpPr>
          <xdr:spPr bwMode="auto">
            <a:xfrm>
              <a:off x="896" y="697"/>
              <a:ext cx="27" cy="202"/>
            </a:xfrm>
            <a:custGeom>
              <a:avLst/>
              <a:gdLst>
                <a:gd name="T0" fmla="*/ 0 w 27"/>
                <a:gd name="T1" fmla="*/ 9 h 202"/>
                <a:gd name="T2" fmla="*/ 0 w 27"/>
                <a:gd name="T3" fmla="*/ 201 h 202"/>
                <a:gd name="T4" fmla="*/ 0 w 27"/>
                <a:gd name="T5" fmla="*/ 202 h 202"/>
                <a:gd name="T6" fmla="*/ 22 w 27"/>
                <a:gd name="T7" fmla="*/ 202 h 202"/>
                <a:gd name="T8" fmla="*/ 27 w 27"/>
                <a:gd name="T9" fmla="*/ 0 h 202"/>
                <a:gd name="T10" fmla="*/ 14 w 27"/>
                <a:gd name="T11" fmla="*/ 1 h 202"/>
                <a:gd name="T12" fmla="*/ 0 60000 65536"/>
                <a:gd name="T13" fmla="*/ 0 60000 65536"/>
                <a:gd name="T14" fmla="*/ 0 60000 65536"/>
                <a:gd name="T15" fmla="*/ 0 60000 65536"/>
                <a:gd name="T16" fmla="*/ 0 60000 65536"/>
                <a:gd name="T17" fmla="*/ 0 60000 65536"/>
                <a:gd name="T18" fmla="*/ 0 w 27"/>
                <a:gd name="T19" fmla="*/ 0 h 202"/>
                <a:gd name="T20" fmla="*/ 27 w 27"/>
                <a:gd name="T21" fmla="*/ 202 h 202"/>
              </a:gdLst>
              <a:ahLst/>
              <a:cxnLst>
                <a:cxn ang="T12">
                  <a:pos x="T0" y="T1"/>
                </a:cxn>
                <a:cxn ang="T13">
                  <a:pos x="T2" y="T3"/>
                </a:cxn>
                <a:cxn ang="T14">
                  <a:pos x="T4" y="T5"/>
                </a:cxn>
                <a:cxn ang="T15">
                  <a:pos x="T6" y="T7"/>
                </a:cxn>
                <a:cxn ang="T16">
                  <a:pos x="T8" y="T9"/>
                </a:cxn>
                <a:cxn ang="T17">
                  <a:pos x="T10" y="T11"/>
                </a:cxn>
              </a:cxnLst>
              <a:rect l="T18" t="T19" r="T20" b="T21"/>
              <a:pathLst>
                <a:path w="27" h="202">
                  <a:moveTo>
                    <a:pt x="0" y="9"/>
                  </a:moveTo>
                  <a:lnTo>
                    <a:pt x="0" y="201"/>
                  </a:lnTo>
                  <a:lnTo>
                    <a:pt x="0" y="202"/>
                  </a:lnTo>
                  <a:lnTo>
                    <a:pt x="22" y="202"/>
                  </a:lnTo>
                  <a:lnTo>
                    <a:pt x="27" y="0"/>
                  </a:lnTo>
                  <a:lnTo>
                    <a:pt x="14" y="1"/>
                  </a:lnTo>
                </a:path>
              </a:pathLst>
            </a:custGeom>
            <a:solidFill>
              <a:srgbClr val="336666"/>
            </a:solidFill>
            <a:ln w="9525">
              <a:noFill/>
              <a:round/>
              <a:headEnd/>
              <a:tailEnd/>
            </a:ln>
          </xdr:spPr>
        </xdr:sp>
        <xdr:sp macro="" textlink="">
          <xdr:nvSpPr>
            <xdr:cNvPr id="11385" name="Freeform 129"/>
            <xdr:cNvSpPr>
              <a:spLocks/>
            </xdr:cNvSpPr>
          </xdr:nvSpPr>
          <xdr:spPr bwMode="auto">
            <a:xfrm>
              <a:off x="884" y="707"/>
              <a:ext cx="13" cy="156"/>
            </a:xfrm>
            <a:custGeom>
              <a:avLst/>
              <a:gdLst>
                <a:gd name="T0" fmla="*/ 0 w 13"/>
                <a:gd name="T1" fmla="*/ 0 h 155"/>
                <a:gd name="T2" fmla="*/ 13 w 13"/>
                <a:gd name="T3" fmla="*/ 0 h 155"/>
                <a:gd name="T4" fmla="*/ 13 w 13"/>
                <a:gd name="T5" fmla="*/ 172 h 155"/>
                <a:gd name="T6" fmla="*/ 1 w 13"/>
                <a:gd name="T7" fmla="*/ 178 h 155"/>
                <a:gd name="T8" fmla="*/ 0 w 13"/>
                <a:gd name="T9" fmla="*/ 0 h 155"/>
                <a:gd name="T10" fmla="*/ 0 60000 65536"/>
                <a:gd name="T11" fmla="*/ 0 60000 65536"/>
                <a:gd name="T12" fmla="*/ 0 60000 65536"/>
                <a:gd name="T13" fmla="*/ 0 60000 65536"/>
                <a:gd name="T14" fmla="*/ 0 60000 65536"/>
                <a:gd name="T15" fmla="*/ 0 w 13"/>
                <a:gd name="T16" fmla="*/ 0 h 155"/>
                <a:gd name="T17" fmla="*/ 13 w 13"/>
                <a:gd name="T18" fmla="*/ 155 h 155"/>
              </a:gdLst>
              <a:ahLst/>
              <a:cxnLst>
                <a:cxn ang="T10">
                  <a:pos x="T0" y="T1"/>
                </a:cxn>
                <a:cxn ang="T11">
                  <a:pos x="T2" y="T3"/>
                </a:cxn>
                <a:cxn ang="T12">
                  <a:pos x="T4" y="T5"/>
                </a:cxn>
                <a:cxn ang="T13">
                  <a:pos x="T6" y="T7"/>
                </a:cxn>
                <a:cxn ang="T14">
                  <a:pos x="T8" y="T9"/>
                </a:cxn>
              </a:cxnLst>
              <a:rect l="T15" t="T16" r="T17" b="T18"/>
              <a:pathLst>
                <a:path w="13" h="155">
                  <a:moveTo>
                    <a:pt x="0" y="0"/>
                  </a:moveTo>
                  <a:lnTo>
                    <a:pt x="13" y="0"/>
                  </a:lnTo>
                  <a:lnTo>
                    <a:pt x="13" y="149"/>
                  </a:lnTo>
                  <a:lnTo>
                    <a:pt x="1" y="155"/>
                  </a:lnTo>
                  <a:lnTo>
                    <a:pt x="0" y="0"/>
                  </a:lnTo>
                  <a:close/>
                </a:path>
              </a:pathLst>
            </a:custGeom>
            <a:solidFill>
              <a:srgbClr val="99FF99"/>
            </a:solidFill>
            <a:ln w="9525">
              <a:noFill/>
              <a:round/>
              <a:headEnd/>
              <a:tailEnd/>
            </a:ln>
          </xdr:spPr>
        </xdr:sp>
        <xdr:sp macro="" textlink="">
          <xdr:nvSpPr>
            <xdr:cNvPr id="11386" name="Line 130"/>
            <xdr:cNvSpPr>
              <a:spLocks noChangeShapeType="1"/>
            </xdr:cNvSpPr>
          </xdr:nvSpPr>
          <xdr:spPr bwMode="auto">
            <a:xfrm>
              <a:off x="910" y="705"/>
              <a:ext cx="0" cy="187"/>
            </a:xfrm>
            <a:prstGeom prst="line">
              <a:avLst/>
            </a:prstGeom>
            <a:noFill/>
            <a:ln w="28575">
              <a:solidFill>
                <a:srgbClr val="A6CAF0"/>
              </a:solidFill>
              <a:round/>
              <a:headEnd/>
              <a:tailEnd/>
            </a:ln>
          </xdr:spPr>
        </xdr:sp>
        <xdr:sp macro="" textlink="">
          <xdr:nvSpPr>
            <xdr:cNvPr id="11387" name="Line 131"/>
            <xdr:cNvSpPr>
              <a:spLocks noChangeShapeType="1"/>
            </xdr:cNvSpPr>
          </xdr:nvSpPr>
          <xdr:spPr bwMode="auto">
            <a:xfrm>
              <a:off x="897" y="707"/>
              <a:ext cx="1" cy="152"/>
            </a:xfrm>
            <a:prstGeom prst="line">
              <a:avLst/>
            </a:prstGeom>
            <a:noFill/>
            <a:ln w="19050">
              <a:solidFill>
                <a:srgbClr val="A6CAF0"/>
              </a:solidFill>
              <a:round/>
              <a:headEnd/>
              <a:tailEnd/>
            </a:ln>
          </xdr:spPr>
        </xdr:sp>
        <xdr:sp macro="" textlink="">
          <xdr:nvSpPr>
            <xdr:cNvPr id="11388" name="Line 132"/>
            <xdr:cNvSpPr>
              <a:spLocks noChangeShapeType="1"/>
            </xdr:cNvSpPr>
          </xdr:nvSpPr>
          <xdr:spPr bwMode="auto">
            <a:xfrm>
              <a:off x="885" y="721"/>
              <a:ext cx="1" cy="152"/>
            </a:xfrm>
            <a:prstGeom prst="line">
              <a:avLst/>
            </a:prstGeom>
            <a:noFill/>
            <a:ln w="19050">
              <a:solidFill>
                <a:srgbClr val="00CCFF"/>
              </a:solidFill>
              <a:round/>
              <a:headEnd/>
              <a:tailEnd/>
            </a:ln>
          </xdr:spPr>
        </xdr:sp>
        <xdr:sp macro="" textlink="">
          <xdr:nvSpPr>
            <xdr:cNvPr id="11389" name="Freeform 133"/>
            <xdr:cNvSpPr>
              <a:spLocks/>
            </xdr:cNvSpPr>
          </xdr:nvSpPr>
          <xdr:spPr bwMode="auto">
            <a:xfrm>
              <a:off x="883" y="707"/>
              <a:ext cx="2" cy="15"/>
            </a:xfrm>
            <a:custGeom>
              <a:avLst/>
              <a:gdLst>
                <a:gd name="T0" fmla="*/ 2 w 2"/>
                <a:gd name="T1" fmla="*/ 15 h 15"/>
                <a:gd name="T2" fmla="*/ 0 w 2"/>
                <a:gd name="T3" fmla="*/ 11 h 15"/>
                <a:gd name="T4" fmla="*/ 0 w 2"/>
                <a:gd name="T5" fmla="*/ 0 h 15"/>
                <a:gd name="T6" fmla="*/ 0 60000 65536"/>
                <a:gd name="T7" fmla="*/ 0 60000 65536"/>
                <a:gd name="T8" fmla="*/ 0 60000 65536"/>
                <a:gd name="T9" fmla="*/ 0 w 2"/>
                <a:gd name="T10" fmla="*/ 0 h 15"/>
                <a:gd name="T11" fmla="*/ 2 w 2"/>
                <a:gd name="T12" fmla="*/ 15 h 15"/>
              </a:gdLst>
              <a:ahLst/>
              <a:cxnLst>
                <a:cxn ang="T6">
                  <a:pos x="T0" y="T1"/>
                </a:cxn>
                <a:cxn ang="T7">
                  <a:pos x="T2" y="T3"/>
                </a:cxn>
                <a:cxn ang="T8">
                  <a:pos x="T4" y="T5"/>
                </a:cxn>
              </a:cxnLst>
              <a:rect l="T9" t="T10" r="T11" b="T12"/>
              <a:pathLst>
                <a:path w="2" h="15">
                  <a:moveTo>
                    <a:pt x="2" y="15"/>
                  </a:moveTo>
                  <a:lnTo>
                    <a:pt x="0" y="11"/>
                  </a:lnTo>
                  <a:lnTo>
                    <a:pt x="0" y="0"/>
                  </a:lnTo>
                </a:path>
              </a:pathLst>
            </a:custGeom>
            <a:noFill/>
            <a:ln w="19050" cmpd="sng">
              <a:solidFill>
                <a:srgbClr val="00CCFF"/>
              </a:solidFill>
              <a:round/>
              <a:headEnd/>
              <a:tailEnd/>
            </a:ln>
          </xdr:spPr>
        </xdr:sp>
        <xdr:sp macro="" textlink="">
          <xdr:nvSpPr>
            <xdr:cNvPr id="11390" name="Line 134"/>
            <xdr:cNvSpPr>
              <a:spLocks noChangeShapeType="1"/>
            </xdr:cNvSpPr>
          </xdr:nvSpPr>
          <xdr:spPr bwMode="auto">
            <a:xfrm>
              <a:off x="881" y="706"/>
              <a:ext cx="0" cy="0"/>
            </a:xfrm>
            <a:prstGeom prst="line">
              <a:avLst/>
            </a:prstGeom>
            <a:noFill/>
            <a:ln w="9525">
              <a:solidFill>
                <a:srgbClr val="000000"/>
              </a:solidFill>
              <a:round/>
              <a:headEnd/>
              <a:tailEnd/>
            </a:ln>
          </xdr:spPr>
        </xdr:sp>
        <xdr:sp macro="" textlink="">
          <xdr:nvSpPr>
            <xdr:cNvPr id="11391" name="Freeform 135"/>
            <xdr:cNvSpPr>
              <a:spLocks/>
            </xdr:cNvSpPr>
          </xdr:nvSpPr>
          <xdr:spPr bwMode="auto">
            <a:xfrm>
              <a:off x="876" y="656"/>
              <a:ext cx="73" cy="67"/>
            </a:xfrm>
            <a:custGeom>
              <a:avLst/>
              <a:gdLst>
                <a:gd name="T0" fmla="*/ 0 w 73"/>
                <a:gd name="T1" fmla="*/ 67 h 67"/>
                <a:gd name="T2" fmla="*/ 0 w 73"/>
                <a:gd name="T3" fmla="*/ 65 h 67"/>
                <a:gd name="T4" fmla="*/ 2 w 73"/>
                <a:gd name="T5" fmla="*/ 63 h 67"/>
                <a:gd name="T6" fmla="*/ 4 w 73"/>
                <a:gd name="T7" fmla="*/ 61 h 67"/>
                <a:gd name="T8" fmla="*/ 4 w 73"/>
                <a:gd name="T9" fmla="*/ 48 h 67"/>
                <a:gd name="T10" fmla="*/ 25 w 73"/>
                <a:gd name="T11" fmla="*/ 48 h 67"/>
                <a:gd name="T12" fmla="*/ 73 w 73"/>
                <a:gd name="T13" fmla="*/ 0 h 67"/>
                <a:gd name="T14" fmla="*/ 73 w 73"/>
                <a:gd name="T15" fmla="*/ 2 h 67"/>
                <a:gd name="T16" fmla="*/ 25 w 73"/>
                <a:gd name="T17" fmla="*/ 50 h 67"/>
                <a:gd name="T18" fmla="*/ 6 w 73"/>
                <a:gd name="T19" fmla="*/ 50 h 67"/>
                <a:gd name="T20" fmla="*/ 6 w 73"/>
                <a:gd name="T21" fmla="*/ 63 h 67"/>
                <a:gd name="T22" fmla="*/ 4 w 73"/>
                <a:gd name="T23" fmla="*/ 64 h 67"/>
                <a:gd name="T24" fmla="*/ 0 w 73"/>
                <a:gd name="T25" fmla="*/ 67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3"/>
                <a:gd name="T40" fmla="*/ 0 h 67"/>
                <a:gd name="T41" fmla="*/ 73 w 73"/>
                <a:gd name="T42" fmla="*/ 67 h 6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3" h="67">
                  <a:moveTo>
                    <a:pt x="0" y="67"/>
                  </a:moveTo>
                  <a:lnTo>
                    <a:pt x="0" y="65"/>
                  </a:lnTo>
                  <a:lnTo>
                    <a:pt x="2" y="63"/>
                  </a:lnTo>
                  <a:lnTo>
                    <a:pt x="4" y="61"/>
                  </a:lnTo>
                  <a:lnTo>
                    <a:pt x="4" y="48"/>
                  </a:lnTo>
                  <a:lnTo>
                    <a:pt x="25" y="48"/>
                  </a:lnTo>
                  <a:lnTo>
                    <a:pt x="73" y="0"/>
                  </a:lnTo>
                  <a:lnTo>
                    <a:pt x="73" y="2"/>
                  </a:lnTo>
                  <a:lnTo>
                    <a:pt x="25" y="50"/>
                  </a:lnTo>
                  <a:lnTo>
                    <a:pt x="6" y="50"/>
                  </a:lnTo>
                  <a:lnTo>
                    <a:pt x="6" y="63"/>
                  </a:lnTo>
                  <a:lnTo>
                    <a:pt x="4" y="64"/>
                  </a:lnTo>
                  <a:lnTo>
                    <a:pt x="0" y="67"/>
                  </a:lnTo>
                  <a:close/>
                </a:path>
              </a:pathLst>
            </a:custGeom>
            <a:solidFill>
              <a:srgbClr val="00CCFF"/>
            </a:solidFill>
            <a:ln w="6350" cmpd="sng">
              <a:solidFill>
                <a:srgbClr val="000000"/>
              </a:solidFill>
              <a:round/>
              <a:headEnd/>
              <a:tailEnd/>
            </a:ln>
          </xdr:spPr>
        </xdr:sp>
        <xdr:grpSp>
          <xdr:nvGrpSpPr>
            <xdr:cNvPr id="11392" name="Group 136"/>
            <xdr:cNvGrpSpPr>
              <a:grpSpLocks/>
            </xdr:cNvGrpSpPr>
          </xdr:nvGrpSpPr>
          <xdr:grpSpPr bwMode="auto">
            <a:xfrm>
              <a:off x="885" y="652"/>
              <a:ext cx="65" cy="47"/>
              <a:chOff x="112" y="627"/>
              <a:chExt cx="65" cy="47"/>
            </a:xfrm>
          </xdr:grpSpPr>
          <xdr:sp macro="" textlink="">
            <xdr:nvSpPr>
              <xdr:cNvPr id="11419" name="Freeform 137"/>
              <xdr:cNvSpPr>
                <a:spLocks/>
              </xdr:cNvSpPr>
            </xdr:nvSpPr>
            <xdr:spPr bwMode="auto">
              <a:xfrm>
                <a:off x="112" y="627"/>
                <a:ext cx="65" cy="41"/>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Lst>
                <a:ahLst/>
                <a:cxnLst>
                  <a:cxn ang="T10">
                    <a:pos x="T0" y="T1"/>
                  </a:cxn>
                  <a:cxn ang="T11">
                    <a:pos x="T2" y="T3"/>
                  </a:cxn>
                  <a:cxn ang="T12">
                    <a:pos x="T4" y="T5"/>
                  </a:cxn>
                  <a:cxn ang="T13">
                    <a:pos x="T6" y="T7"/>
                  </a:cxn>
                  <a:cxn ang="T14">
                    <a:pos x="T8" y="T9"/>
                  </a:cxn>
                </a:cxnLst>
                <a:rect l="T15" t="T16" r="T17" b="T18"/>
                <a:pathLst>
                  <a:path w="65" h="41">
                    <a:moveTo>
                      <a:pt x="24" y="41"/>
                    </a:moveTo>
                    <a:lnTo>
                      <a:pt x="0" y="41"/>
                    </a:lnTo>
                    <a:lnTo>
                      <a:pt x="41" y="0"/>
                    </a:lnTo>
                    <a:lnTo>
                      <a:pt x="65" y="0"/>
                    </a:lnTo>
                    <a:lnTo>
                      <a:pt x="24" y="41"/>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11420" name="Freeform 138"/>
              <xdr:cNvSpPr>
                <a:spLocks/>
              </xdr:cNvSpPr>
            </xdr:nvSpPr>
            <xdr:spPr bwMode="auto">
              <a:xfrm>
                <a:off x="112" y="627"/>
                <a:ext cx="65" cy="47"/>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5" h="47">
                    <a:moveTo>
                      <a:pt x="0" y="41"/>
                    </a:moveTo>
                    <a:lnTo>
                      <a:pt x="0" y="47"/>
                    </a:lnTo>
                    <a:lnTo>
                      <a:pt x="3" y="44"/>
                    </a:lnTo>
                    <a:lnTo>
                      <a:pt x="24" y="44"/>
                    </a:lnTo>
                    <a:lnTo>
                      <a:pt x="65" y="3"/>
                    </a:lnTo>
                    <a:lnTo>
                      <a:pt x="65" y="0"/>
                    </a:lnTo>
                    <a:lnTo>
                      <a:pt x="24" y="41"/>
                    </a:lnTo>
                    <a:lnTo>
                      <a:pt x="0" y="41"/>
                    </a:lnTo>
                    <a:close/>
                  </a:path>
                </a:pathLst>
              </a:custGeom>
              <a:solidFill>
                <a:srgbClr val="808080"/>
              </a:solidFill>
              <a:ln w="6350" cmpd="sng">
                <a:solidFill>
                  <a:srgbClr val="000000"/>
                </a:solidFill>
                <a:round/>
                <a:headEnd/>
                <a:tailEnd/>
              </a:ln>
            </xdr:spPr>
          </xdr:sp>
        </xdr:grpSp>
        <xdr:sp macro="" textlink="">
          <xdr:nvSpPr>
            <xdr:cNvPr id="11393" name="Line 139"/>
            <xdr:cNvSpPr>
              <a:spLocks noChangeShapeType="1"/>
            </xdr:cNvSpPr>
          </xdr:nvSpPr>
          <xdr:spPr bwMode="auto">
            <a:xfrm>
              <a:off x="909" y="693"/>
              <a:ext cx="0" cy="3"/>
            </a:xfrm>
            <a:prstGeom prst="line">
              <a:avLst/>
            </a:prstGeom>
            <a:noFill/>
            <a:ln w="9525">
              <a:solidFill>
                <a:srgbClr val="000000"/>
              </a:solidFill>
              <a:round/>
              <a:headEnd/>
              <a:tailEnd/>
            </a:ln>
          </xdr:spPr>
        </xdr:sp>
        <xdr:sp macro="" textlink="">
          <xdr:nvSpPr>
            <xdr:cNvPr id="11394" name="Line 140"/>
            <xdr:cNvSpPr>
              <a:spLocks noChangeShapeType="1"/>
            </xdr:cNvSpPr>
          </xdr:nvSpPr>
          <xdr:spPr bwMode="auto">
            <a:xfrm flipV="1">
              <a:off x="886" y="711"/>
              <a:ext cx="11" cy="11"/>
            </a:xfrm>
            <a:prstGeom prst="line">
              <a:avLst/>
            </a:prstGeom>
            <a:noFill/>
            <a:ln w="19050">
              <a:solidFill>
                <a:srgbClr val="A6CAF0"/>
              </a:solidFill>
              <a:round/>
              <a:headEnd/>
              <a:tailEnd/>
            </a:ln>
          </xdr:spPr>
        </xdr:sp>
        <xdr:sp macro="" textlink="">
          <xdr:nvSpPr>
            <xdr:cNvPr id="11395" name="Line 141"/>
            <xdr:cNvSpPr>
              <a:spLocks noChangeShapeType="1"/>
            </xdr:cNvSpPr>
          </xdr:nvSpPr>
          <xdr:spPr bwMode="auto">
            <a:xfrm flipV="1">
              <a:off x="882" y="707"/>
              <a:ext cx="12" cy="13"/>
            </a:xfrm>
            <a:prstGeom prst="line">
              <a:avLst/>
            </a:prstGeom>
            <a:noFill/>
            <a:ln w="19050">
              <a:solidFill>
                <a:srgbClr val="A6CAF0"/>
              </a:solidFill>
              <a:round/>
              <a:headEnd/>
              <a:tailEnd/>
            </a:ln>
          </xdr:spPr>
        </xdr:sp>
        <xdr:sp macro="" textlink="">
          <xdr:nvSpPr>
            <xdr:cNvPr id="11396" name="Freeform 142"/>
            <xdr:cNvSpPr>
              <a:spLocks/>
            </xdr:cNvSpPr>
          </xdr:nvSpPr>
          <xdr:spPr bwMode="auto">
            <a:xfrm>
              <a:off x="837" y="719"/>
              <a:ext cx="48" cy="22"/>
            </a:xfrm>
            <a:custGeom>
              <a:avLst/>
              <a:gdLst>
                <a:gd name="T0" fmla="*/ 0 w 48"/>
                <a:gd name="T1" fmla="*/ 22 h 22"/>
                <a:gd name="T2" fmla="*/ 3 w 48"/>
                <a:gd name="T3" fmla="*/ 19 h 22"/>
                <a:gd name="T4" fmla="*/ 25 w 48"/>
                <a:gd name="T5" fmla="*/ 19 h 22"/>
                <a:gd name="T6" fmla="*/ 44 w 48"/>
                <a:gd name="T7" fmla="*/ 0 h 22"/>
                <a:gd name="T8" fmla="*/ 48 w 48"/>
                <a:gd name="T9" fmla="*/ 1 h 22"/>
                <a:gd name="T10" fmla="*/ 27 w 48"/>
                <a:gd name="T11" fmla="*/ 22 h 22"/>
                <a:gd name="T12" fmla="*/ 0 w 48"/>
                <a:gd name="T13" fmla="*/ 22 h 22"/>
                <a:gd name="T14" fmla="*/ 0 60000 65536"/>
                <a:gd name="T15" fmla="*/ 0 60000 65536"/>
                <a:gd name="T16" fmla="*/ 0 60000 65536"/>
                <a:gd name="T17" fmla="*/ 0 60000 65536"/>
                <a:gd name="T18" fmla="*/ 0 60000 65536"/>
                <a:gd name="T19" fmla="*/ 0 60000 65536"/>
                <a:gd name="T20" fmla="*/ 0 60000 65536"/>
                <a:gd name="T21" fmla="*/ 0 w 48"/>
                <a:gd name="T22" fmla="*/ 0 h 22"/>
                <a:gd name="T23" fmla="*/ 48 w 48"/>
                <a:gd name="T24" fmla="*/ 22 h 2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8" h="22">
                  <a:moveTo>
                    <a:pt x="0" y="22"/>
                  </a:moveTo>
                  <a:lnTo>
                    <a:pt x="3" y="19"/>
                  </a:lnTo>
                  <a:lnTo>
                    <a:pt x="25" y="19"/>
                  </a:lnTo>
                  <a:lnTo>
                    <a:pt x="44" y="0"/>
                  </a:lnTo>
                  <a:lnTo>
                    <a:pt x="48" y="1"/>
                  </a:lnTo>
                  <a:lnTo>
                    <a:pt x="27" y="22"/>
                  </a:lnTo>
                  <a:lnTo>
                    <a:pt x="0" y="22"/>
                  </a:lnTo>
                  <a:close/>
                </a:path>
              </a:pathLst>
            </a:custGeom>
            <a:solidFill>
              <a:srgbClr val="C0C0C0"/>
            </a:solidFill>
            <a:ln w="9525">
              <a:solidFill>
                <a:srgbClr val="000000"/>
              </a:solidFill>
              <a:round/>
              <a:headEnd/>
              <a:tailEnd/>
            </a:ln>
          </xdr:spPr>
        </xdr:sp>
        <xdr:sp macro="" textlink="">
          <xdr:nvSpPr>
            <xdr:cNvPr id="11397" name="Freeform 143"/>
            <xdr:cNvSpPr>
              <a:spLocks/>
            </xdr:cNvSpPr>
          </xdr:nvSpPr>
          <xdr:spPr bwMode="auto">
            <a:xfrm>
              <a:off x="882" y="658"/>
              <a:ext cx="67" cy="177"/>
            </a:xfrm>
            <a:custGeom>
              <a:avLst/>
              <a:gdLst>
                <a:gd name="T0" fmla="*/ 67 w 67"/>
                <a:gd name="T1" fmla="*/ 0 h 177"/>
                <a:gd name="T2" fmla="*/ 67 w 67"/>
                <a:gd name="T3" fmla="*/ 2 h 177"/>
                <a:gd name="T4" fmla="*/ 19 w 67"/>
                <a:gd name="T5" fmla="*/ 50 h 177"/>
                <a:gd name="T6" fmla="*/ 2 w 67"/>
                <a:gd name="T7" fmla="*/ 50 h 177"/>
                <a:gd name="T8" fmla="*/ 2 w 67"/>
                <a:gd name="T9" fmla="*/ 60 h 177"/>
                <a:gd name="T10" fmla="*/ 3 w 67"/>
                <a:gd name="T11" fmla="*/ 62 h 177"/>
                <a:gd name="T12" fmla="*/ 4 w 67"/>
                <a:gd name="T13" fmla="*/ 64 h 177"/>
                <a:gd name="T14" fmla="*/ 5 w 67"/>
                <a:gd name="T15" fmla="*/ 177 h 177"/>
                <a:gd name="T16" fmla="*/ 3 w 67"/>
                <a:gd name="T17" fmla="*/ 175 h 177"/>
                <a:gd name="T18" fmla="*/ 2 w 67"/>
                <a:gd name="T19" fmla="*/ 66 h 177"/>
                <a:gd name="T20" fmla="*/ 1 w 67"/>
                <a:gd name="T21" fmla="*/ 63 h 177"/>
                <a:gd name="T22" fmla="*/ 0 w 67"/>
                <a:gd name="T23" fmla="*/ 61 h 177"/>
                <a:gd name="T24" fmla="*/ 0 w 67"/>
                <a:gd name="T25" fmla="*/ 48 h 177"/>
                <a:gd name="T26" fmla="*/ 19 w 67"/>
                <a:gd name="T27" fmla="*/ 48 h 177"/>
                <a:gd name="T28" fmla="*/ 67 w 67"/>
                <a:gd name="T29" fmla="*/ 0 h 17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7"/>
                <a:gd name="T46" fmla="*/ 0 h 177"/>
                <a:gd name="T47" fmla="*/ 67 w 67"/>
                <a:gd name="T48" fmla="*/ 177 h 17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7" h="177">
                  <a:moveTo>
                    <a:pt x="67" y="0"/>
                  </a:moveTo>
                  <a:lnTo>
                    <a:pt x="67" y="2"/>
                  </a:lnTo>
                  <a:lnTo>
                    <a:pt x="19" y="50"/>
                  </a:lnTo>
                  <a:lnTo>
                    <a:pt x="2" y="50"/>
                  </a:lnTo>
                  <a:lnTo>
                    <a:pt x="2" y="60"/>
                  </a:lnTo>
                  <a:lnTo>
                    <a:pt x="3" y="62"/>
                  </a:lnTo>
                  <a:lnTo>
                    <a:pt x="4" y="64"/>
                  </a:lnTo>
                  <a:lnTo>
                    <a:pt x="5" y="177"/>
                  </a:lnTo>
                  <a:lnTo>
                    <a:pt x="3" y="175"/>
                  </a:lnTo>
                  <a:lnTo>
                    <a:pt x="2" y="66"/>
                  </a:lnTo>
                  <a:lnTo>
                    <a:pt x="1" y="63"/>
                  </a:lnTo>
                  <a:lnTo>
                    <a:pt x="0" y="61"/>
                  </a:lnTo>
                  <a:lnTo>
                    <a:pt x="0" y="48"/>
                  </a:lnTo>
                  <a:lnTo>
                    <a:pt x="19" y="48"/>
                  </a:lnTo>
                  <a:lnTo>
                    <a:pt x="67" y="0"/>
                  </a:lnTo>
                  <a:close/>
                </a:path>
              </a:pathLst>
            </a:custGeom>
            <a:solidFill>
              <a:srgbClr val="00CCFF"/>
            </a:solidFill>
            <a:ln w="6350" cmpd="sng">
              <a:solidFill>
                <a:srgbClr val="000000"/>
              </a:solidFill>
              <a:round/>
              <a:headEnd/>
              <a:tailEnd/>
            </a:ln>
          </xdr:spPr>
        </xdr:sp>
        <xdr:sp macro="" textlink="">
          <xdr:nvSpPr>
            <xdr:cNvPr id="11398" name="Line 144"/>
            <xdr:cNvSpPr>
              <a:spLocks noChangeShapeType="1"/>
            </xdr:cNvSpPr>
          </xdr:nvSpPr>
          <xdr:spPr bwMode="auto">
            <a:xfrm>
              <a:off x="933" y="706"/>
              <a:ext cx="0" cy="0"/>
            </a:xfrm>
            <a:prstGeom prst="line">
              <a:avLst/>
            </a:prstGeom>
            <a:noFill/>
            <a:ln w="9525">
              <a:solidFill>
                <a:srgbClr val="000000"/>
              </a:solidFill>
              <a:round/>
              <a:headEnd/>
              <a:tailEnd/>
            </a:ln>
          </xdr:spPr>
        </xdr:sp>
        <xdr:sp macro="" textlink="">
          <xdr:nvSpPr>
            <xdr:cNvPr id="11399" name="Freeform 145"/>
            <xdr:cNvSpPr>
              <a:spLocks/>
            </xdr:cNvSpPr>
          </xdr:nvSpPr>
          <xdr:spPr bwMode="auto">
            <a:xfrm>
              <a:off x="907" y="662"/>
              <a:ext cx="62" cy="42"/>
            </a:xfrm>
            <a:custGeom>
              <a:avLst/>
              <a:gdLst>
                <a:gd name="T0" fmla="*/ 0 w 62"/>
                <a:gd name="T1" fmla="*/ 42 h 42"/>
                <a:gd name="T2" fmla="*/ 42 w 62"/>
                <a:gd name="T3" fmla="*/ 0 h 42"/>
                <a:gd name="T4" fmla="*/ 62 w 62"/>
                <a:gd name="T5" fmla="*/ 0 h 42"/>
                <a:gd name="T6" fmla="*/ 23 w 62"/>
                <a:gd name="T7" fmla="*/ 42 h 42"/>
                <a:gd name="T8" fmla="*/ 0 w 62"/>
                <a:gd name="T9" fmla="*/ 42 h 42"/>
                <a:gd name="T10" fmla="*/ 0 60000 65536"/>
                <a:gd name="T11" fmla="*/ 0 60000 65536"/>
                <a:gd name="T12" fmla="*/ 0 60000 65536"/>
                <a:gd name="T13" fmla="*/ 0 60000 65536"/>
                <a:gd name="T14" fmla="*/ 0 60000 65536"/>
                <a:gd name="T15" fmla="*/ 0 w 62"/>
                <a:gd name="T16" fmla="*/ 0 h 42"/>
                <a:gd name="T17" fmla="*/ 62 w 62"/>
                <a:gd name="T18" fmla="*/ 42 h 42"/>
              </a:gdLst>
              <a:ahLst/>
              <a:cxnLst>
                <a:cxn ang="T10">
                  <a:pos x="T0" y="T1"/>
                </a:cxn>
                <a:cxn ang="T11">
                  <a:pos x="T2" y="T3"/>
                </a:cxn>
                <a:cxn ang="T12">
                  <a:pos x="T4" y="T5"/>
                </a:cxn>
                <a:cxn ang="T13">
                  <a:pos x="T6" y="T7"/>
                </a:cxn>
                <a:cxn ang="T14">
                  <a:pos x="T8" y="T9"/>
                </a:cxn>
              </a:cxnLst>
              <a:rect l="T15" t="T16" r="T17" b="T18"/>
              <a:pathLst>
                <a:path w="62" h="42">
                  <a:moveTo>
                    <a:pt x="0" y="42"/>
                  </a:moveTo>
                  <a:lnTo>
                    <a:pt x="42" y="0"/>
                  </a:lnTo>
                  <a:lnTo>
                    <a:pt x="62" y="0"/>
                  </a:lnTo>
                  <a:lnTo>
                    <a:pt x="23" y="42"/>
                  </a:lnTo>
                  <a:lnTo>
                    <a:pt x="0" y="42"/>
                  </a:lnTo>
                  <a:close/>
                </a:path>
              </a:pathLst>
            </a:custGeom>
            <a:gradFill rotWithShape="1">
              <a:gsLst>
                <a:gs pos="0">
                  <a:srgbClr val="69FFFF"/>
                </a:gs>
                <a:gs pos="100000">
                  <a:srgbClr val="CCFFCC"/>
                </a:gs>
              </a:gsLst>
              <a:lin ang="0" scaled="1"/>
            </a:gradFill>
            <a:ln w="9525">
              <a:solidFill>
                <a:srgbClr val="000000"/>
              </a:solidFill>
              <a:round/>
              <a:headEnd/>
              <a:tailEnd/>
            </a:ln>
          </xdr:spPr>
        </xdr:sp>
        <xdr:sp macro="" textlink="">
          <xdr:nvSpPr>
            <xdr:cNvPr id="11400" name="Freeform 146"/>
            <xdr:cNvSpPr>
              <a:spLocks/>
            </xdr:cNvSpPr>
          </xdr:nvSpPr>
          <xdr:spPr bwMode="auto">
            <a:xfrm>
              <a:off x="889" y="720"/>
              <a:ext cx="23" cy="176"/>
            </a:xfrm>
            <a:custGeom>
              <a:avLst/>
              <a:gdLst>
                <a:gd name="T0" fmla="*/ 0 w 23"/>
                <a:gd name="T1" fmla="*/ 18 h 176"/>
                <a:gd name="T2" fmla="*/ 23 w 23"/>
                <a:gd name="T3" fmla="*/ 0 h 176"/>
                <a:gd name="T4" fmla="*/ 23 w 23"/>
                <a:gd name="T5" fmla="*/ 176 h 176"/>
                <a:gd name="T6" fmla="*/ 0 w 23"/>
                <a:gd name="T7" fmla="*/ 176 h 176"/>
                <a:gd name="T8" fmla="*/ 0 w 23"/>
                <a:gd name="T9" fmla="*/ 18 h 176"/>
                <a:gd name="T10" fmla="*/ 0 60000 65536"/>
                <a:gd name="T11" fmla="*/ 0 60000 65536"/>
                <a:gd name="T12" fmla="*/ 0 60000 65536"/>
                <a:gd name="T13" fmla="*/ 0 60000 65536"/>
                <a:gd name="T14" fmla="*/ 0 60000 65536"/>
                <a:gd name="T15" fmla="*/ 0 w 23"/>
                <a:gd name="T16" fmla="*/ 0 h 176"/>
                <a:gd name="T17" fmla="*/ 23 w 23"/>
                <a:gd name="T18" fmla="*/ 176 h 176"/>
              </a:gdLst>
              <a:ahLst/>
              <a:cxnLst>
                <a:cxn ang="T10">
                  <a:pos x="T0" y="T1"/>
                </a:cxn>
                <a:cxn ang="T11">
                  <a:pos x="T2" y="T3"/>
                </a:cxn>
                <a:cxn ang="T12">
                  <a:pos x="T4" y="T5"/>
                </a:cxn>
                <a:cxn ang="T13">
                  <a:pos x="T6" y="T7"/>
                </a:cxn>
                <a:cxn ang="T14">
                  <a:pos x="T8" y="T9"/>
                </a:cxn>
              </a:cxnLst>
              <a:rect l="T15" t="T16" r="T17" b="T18"/>
              <a:pathLst>
                <a:path w="23" h="176">
                  <a:moveTo>
                    <a:pt x="0" y="18"/>
                  </a:moveTo>
                  <a:lnTo>
                    <a:pt x="23" y="0"/>
                  </a:lnTo>
                  <a:lnTo>
                    <a:pt x="23" y="176"/>
                  </a:lnTo>
                  <a:lnTo>
                    <a:pt x="0" y="176"/>
                  </a:lnTo>
                  <a:lnTo>
                    <a:pt x="0" y="18"/>
                  </a:lnTo>
                  <a:close/>
                </a:path>
              </a:pathLst>
            </a:custGeom>
            <a:gradFill rotWithShape="1">
              <a:gsLst>
                <a:gs pos="0">
                  <a:srgbClr val="DDDDDD"/>
                </a:gs>
                <a:gs pos="100000">
                  <a:srgbClr val="666666"/>
                </a:gs>
              </a:gsLst>
              <a:lin ang="0" scaled="1"/>
            </a:gradFill>
            <a:ln w="9525">
              <a:solidFill>
                <a:srgbClr val="000000"/>
              </a:solidFill>
              <a:round/>
              <a:headEnd/>
              <a:tailEnd/>
            </a:ln>
          </xdr:spPr>
        </xdr:sp>
        <xdr:sp macro="" textlink="">
          <xdr:nvSpPr>
            <xdr:cNvPr id="11401" name="Line 147"/>
            <xdr:cNvSpPr>
              <a:spLocks noChangeShapeType="1"/>
            </xdr:cNvSpPr>
          </xdr:nvSpPr>
          <xdr:spPr bwMode="auto">
            <a:xfrm flipV="1">
              <a:off x="912" y="707"/>
              <a:ext cx="13" cy="13"/>
            </a:xfrm>
            <a:prstGeom prst="line">
              <a:avLst/>
            </a:prstGeom>
            <a:noFill/>
            <a:ln w="28575">
              <a:solidFill>
                <a:srgbClr val="A6CAF0"/>
              </a:solidFill>
              <a:round/>
              <a:headEnd/>
              <a:tailEnd/>
            </a:ln>
          </xdr:spPr>
        </xdr:sp>
        <xdr:sp macro="" textlink="">
          <xdr:nvSpPr>
            <xdr:cNvPr id="11402" name="Freeform 148"/>
            <xdr:cNvSpPr>
              <a:spLocks/>
            </xdr:cNvSpPr>
          </xdr:nvSpPr>
          <xdr:spPr bwMode="auto">
            <a:xfrm>
              <a:off x="923" y="697"/>
              <a:ext cx="27" cy="202"/>
            </a:xfrm>
            <a:custGeom>
              <a:avLst/>
              <a:gdLst>
                <a:gd name="T0" fmla="*/ 0 w 27"/>
                <a:gd name="T1" fmla="*/ 9 h 202"/>
                <a:gd name="T2" fmla="*/ 0 w 27"/>
                <a:gd name="T3" fmla="*/ 201 h 202"/>
                <a:gd name="T4" fmla="*/ 0 w 27"/>
                <a:gd name="T5" fmla="*/ 202 h 202"/>
                <a:gd name="T6" fmla="*/ 22 w 27"/>
                <a:gd name="T7" fmla="*/ 202 h 202"/>
                <a:gd name="T8" fmla="*/ 27 w 27"/>
                <a:gd name="T9" fmla="*/ 0 h 202"/>
                <a:gd name="T10" fmla="*/ 15 w 27"/>
                <a:gd name="T11" fmla="*/ 0 h 202"/>
                <a:gd name="T12" fmla="*/ 0 60000 65536"/>
                <a:gd name="T13" fmla="*/ 0 60000 65536"/>
                <a:gd name="T14" fmla="*/ 0 60000 65536"/>
                <a:gd name="T15" fmla="*/ 0 60000 65536"/>
                <a:gd name="T16" fmla="*/ 0 60000 65536"/>
                <a:gd name="T17" fmla="*/ 0 60000 65536"/>
                <a:gd name="T18" fmla="*/ 0 w 27"/>
                <a:gd name="T19" fmla="*/ 0 h 202"/>
                <a:gd name="T20" fmla="*/ 27 w 27"/>
                <a:gd name="T21" fmla="*/ 202 h 202"/>
              </a:gdLst>
              <a:ahLst/>
              <a:cxnLst>
                <a:cxn ang="T12">
                  <a:pos x="T0" y="T1"/>
                </a:cxn>
                <a:cxn ang="T13">
                  <a:pos x="T2" y="T3"/>
                </a:cxn>
                <a:cxn ang="T14">
                  <a:pos x="T4" y="T5"/>
                </a:cxn>
                <a:cxn ang="T15">
                  <a:pos x="T6" y="T7"/>
                </a:cxn>
                <a:cxn ang="T16">
                  <a:pos x="T8" y="T9"/>
                </a:cxn>
                <a:cxn ang="T17">
                  <a:pos x="T10" y="T11"/>
                </a:cxn>
              </a:cxnLst>
              <a:rect l="T18" t="T19" r="T20" b="T21"/>
              <a:pathLst>
                <a:path w="27" h="202">
                  <a:moveTo>
                    <a:pt x="0" y="9"/>
                  </a:moveTo>
                  <a:lnTo>
                    <a:pt x="0" y="201"/>
                  </a:lnTo>
                  <a:lnTo>
                    <a:pt x="0" y="202"/>
                  </a:lnTo>
                  <a:lnTo>
                    <a:pt x="22" y="202"/>
                  </a:lnTo>
                  <a:lnTo>
                    <a:pt x="27" y="0"/>
                  </a:lnTo>
                  <a:lnTo>
                    <a:pt x="15" y="0"/>
                  </a:lnTo>
                </a:path>
              </a:pathLst>
            </a:custGeom>
            <a:solidFill>
              <a:srgbClr val="336666"/>
            </a:solidFill>
            <a:ln w="9525">
              <a:noFill/>
              <a:round/>
              <a:headEnd/>
              <a:tailEnd/>
            </a:ln>
          </xdr:spPr>
        </xdr:sp>
        <xdr:sp macro="" textlink="">
          <xdr:nvSpPr>
            <xdr:cNvPr id="11403" name="Freeform 149"/>
            <xdr:cNvSpPr>
              <a:spLocks/>
            </xdr:cNvSpPr>
          </xdr:nvSpPr>
          <xdr:spPr bwMode="auto">
            <a:xfrm>
              <a:off x="911" y="707"/>
              <a:ext cx="13" cy="156"/>
            </a:xfrm>
            <a:custGeom>
              <a:avLst/>
              <a:gdLst>
                <a:gd name="T0" fmla="*/ 0 w 13"/>
                <a:gd name="T1" fmla="*/ 0 h 155"/>
                <a:gd name="T2" fmla="*/ 13 w 13"/>
                <a:gd name="T3" fmla="*/ 0 h 155"/>
                <a:gd name="T4" fmla="*/ 13 w 13"/>
                <a:gd name="T5" fmla="*/ 172 h 155"/>
                <a:gd name="T6" fmla="*/ 1 w 13"/>
                <a:gd name="T7" fmla="*/ 178 h 155"/>
                <a:gd name="T8" fmla="*/ 0 w 13"/>
                <a:gd name="T9" fmla="*/ 0 h 155"/>
                <a:gd name="T10" fmla="*/ 0 60000 65536"/>
                <a:gd name="T11" fmla="*/ 0 60000 65536"/>
                <a:gd name="T12" fmla="*/ 0 60000 65536"/>
                <a:gd name="T13" fmla="*/ 0 60000 65536"/>
                <a:gd name="T14" fmla="*/ 0 60000 65536"/>
                <a:gd name="T15" fmla="*/ 0 w 13"/>
                <a:gd name="T16" fmla="*/ 0 h 155"/>
                <a:gd name="T17" fmla="*/ 13 w 13"/>
                <a:gd name="T18" fmla="*/ 155 h 155"/>
              </a:gdLst>
              <a:ahLst/>
              <a:cxnLst>
                <a:cxn ang="T10">
                  <a:pos x="T0" y="T1"/>
                </a:cxn>
                <a:cxn ang="T11">
                  <a:pos x="T2" y="T3"/>
                </a:cxn>
                <a:cxn ang="T12">
                  <a:pos x="T4" y="T5"/>
                </a:cxn>
                <a:cxn ang="T13">
                  <a:pos x="T6" y="T7"/>
                </a:cxn>
                <a:cxn ang="T14">
                  <a:pos x="T8" y="T9"/>
                </a:cxn>
              </a:cxnLst>
              <a:rect l="T15" t="T16" r="T17" b="T18"/>
              <a:pathLst>
                <a:path w="13" h="155">
                  <a:moveTo>
                    <a:pt x="0" y="0"/>
                  </a:moveTo>
                  <a:lnTo>
                    <a:pt x="13" y="0"/>
                  </a:lnTo>
                  <a:lnTo>
                    <a:pt x="13" y="149"/>
                  </a:lnTo>
                  <a:lnTo>
                    <a:pt x="1" y="155"/>
                  </a:lnTo>
                  <a:lnTo>
                    <a:pt x="0" y="0"/>
                  </a:lnTo>
                  <a:close/>
                </a:path>
              </a:pathLst>
            </a:custGeom>
            <a:solidFill>
              <a:srgbClr val="99FF99"/>
            </a:solidFill>
            <a:ln w="9525">
              <a:noFill/>
              <a:round/>
              <a:headEnd/>
              <a:tailEnd/>
            </a:ln>
          </xdr:spPr>
        </xdr:sp>
        <xdr:sp macro="" textlink="">
          <xdr:nvSpPr>
            <xdr:cNvPr id="11404" name="Line 150"/>
            <xdr:cNvSpPr>
              <a:spLocks noChangeShapeType="1"/>
            </xdr:cNvSpPr>
          </xdr:nvSpPr>
          <xdr:spPr bwMode="auto">
            <a:xfrm>
              <a:off x="937" y="705"/>
              <a:ext cx="0" cy="187"/>
            </a:xfrm>
            <a:prstGeom prst="line">
              <a:avLst/>
            </a:prstGeom>
            <a:noFill/>
            <a:ln w="28575">
              <a:solidFill>
                <a:srgbClr val="A6CAF0"/>
              </a:solidFill>
              <a:round/>
              <a:headEnd/>
              <a:tailEnd/>
            </a:ln>
          </xdr:spPr>
        </xdr:sp>
        <xdr:sp macro="" textlink="">
          <xdr:nvSpPr>
            <xdr:cNvPr id="11405" name="Line 151"/>
            <xdr:cNvSpPr>
              <a:spLocks noChangeShapeType="1"/>
            </xdr:cNvSpPr>
          </xdr:nvSpPr>
          <xdr:spPr bwMode="auto">
            <a:xfrm>
              <a:off x="924" y="707"/>
              <a:ext cx="1" cy="152"/>
            </a:xfrm>
            <a:prstGeom prst="line">
              <a:avLst/>
            </a:prstGeom>
            <a:noFill/>
            <a:ln w="19050">
              <a:solidFill>
                <a:srgbClr val="A6CAF0"/>
              </a:solidFill>
              <a:round/>
              <a:headEnd/>
              <a:tailEnd/>
            </a:ln>
          </xdr:spPr>
        </xdr:sp>
        <xdr:sp macro="" textlink="">
          <xdr:nvSpPr>
            <xdr:cNvPr id="11406" name="Line 152"/>
            <xdr:cNvSpPr>
              <a:spLocks noChangeShapeType="1"/>
            </xdr:cNvSpPr>
          </xdr:nvSpPr>
          <xdr:spPr bwMode="auto">
            <a:xfrm>
              <a:off x="912" y="721"/>
              <a:ext cx="1" cy="152"/>
            </a:xfrm>
            <a:prstGeom prst="line">
              <a:avLst/>
            </a:prstGeom>
            <a:noFill/>
            <a:ln w="19050">
              <a:solidFill>
                <a:srgbClr val="00CCFF"/>
              </a:solidFill>
              <a:round/>
              <a:headEnd/>
              <a:tailEnd/>
            </a:ln>
          </xdr:spPr>
        </xdr:sp>
        <xdr:sp macro="" textlink="">
          <xdr:nvSpPr>
            <xdr:cNvPr id="11407" name="Freeform 153"/>
            <xdr:cNvSpPr>
              <a:spLocks/>
            </xdr:cNvSpPr>
          </xdr:nvSpPr>
          <xdr:spPr bwMode="auto">
            <a:xfrm>
              <a:off x="910" y="707"/>
              <a:ext cx="2" cy="15"/>
            </a:xfrm>
            <a:custGeom>
              <a:avLst/>
              <a:gdLst>
                <a:gd name="T0" fmla="*/ 2 w 2"/>
                <a:gd name="T1" fmla="*/ 15 h 15"/>
                <a:gd name="T2" fmla="*/ 0 w 2"/>
                <a:gd name="T3" fmla="*/ 11 h 15"/>
                <a:gd name="T4" fmla="*/ 0 w 2"/>
                <a:gd name="T5" fmla="*/ 0 h 15"/>
                <a:gd name="T6" fmla="*/ 0 60000 65536"/>
                <a:gd name="T7" fmla="*/ 0 60000 65536"/>
                <a:gd name="T8" fmla="*/ 0 60000 65536"/>
                <a:gd name="T9" fmla="*/ 0 w 2"/>
                <a:gd name="T10" fmla="*/ 0 h 15"/>
                <a:gd name="T11" fmla="*/ 2 w 2"/>
                <a:gd name="T12" fmla="*/ 15 h 15"/>
              </a:gdLst>
              <a:ahLst/>
              <a:cxnLst>
                <a:cxn ang="T6">
                  <a:pos x="T0" y="T1"/>
                </a:cxn>
                <a:cxn ang="T7">
                  <a:pos x="T2" y="T3"/>
                </a:cxn>
                <a:cxn ang="T8">
                  <a:pos x="T4" y="T5"/>
                </a:cxn>
              </a:cxnLst>
              <a:rect l="T9" t="T10" r="T11" b="T12"/>
              <a:pathLst>
                <a:path w="2" h="15">
                  <a:moveTo>
                    <a:pt x="2" y="15"/>
                  </a:moveTo>
                  <a:lnTo>
                    <a:pt x="0" y="11"/>
                  </a:lnTo>
                  <a:lnTo>
                    <a:pt x="0" y="0"/>
                  </a:lnTo>
                </a:path>
              </a:pathLst>
            </a:custGeom>
            <a:noFill/>
            <a:ln w="19050" cmpd="sng">
              <a:solidFill>
                <a:srgbClr val="00CCFF"/>
              </a:solidFill>
              <a:round/>
              <a:headEnd/>
              <a:tailEnd/>
            </a:ln>
          </xdr:spPr>
        </xdr:sp>
        <xdr:sp macro="" textlink="">
          <xdr:nvSpPr>
            <xdr:cNvPr id="11408" name="Line 154"/>
            <xdr:cNvSpPr>
              <a:spLocks noChangeShapeType="1"/>
            </xdr:cNvSpPr>
          </xdr:nvSpPr>
          <xdr:spPr bwMode="auto">
            <a:xfrm>
              <a:off x="908" y="706"/>
              <a:ext cx="0" cy="0"/>
            </a:xfrm>
            <a:prstGeom prst="line">
              <a:avLst/>
            </a:prstGeom>
            <a:noFill/>
            <a:ln w="9525">
              <a:solidFill>
                <a:srgbClr val="000000"/>
              </a:solidFill>
              <a:round/>
              <a:headEnd/>
              <a:tailEnd/>
            </a:ln>
          </xdr:spPr>
        </xdr:sp>
        <xdr:sp macro="" textlink="">
          <xdr:nvSpPr>
            <xdr:cNvPr id="11409" name="Freeform 155"/>
            <xdr:cNvSpPr>
              <a:spLocks/>
            </xdr:cNvSpPr>
          </xdr:nvSpPr>
          <xdr:spPr bwMode="auto">
            <a:xfrm>
              <a:off x="903" y="656"/>
              <a:ext cx="73" cy="67"/>
            </a:xfrm>
            <a:custGeom>
              <a:avLst/>
              <a:gdLst>
                <a:gd name="T0" fmla="*/ 0 w 73"/>
                <a:gd name="T1" fmla="*/ 67 h 67"/>
                <a:gd name="T2" fmla="*/ 0 w 73"/>
                <a:gd name="T3" fmla="*/ 65 h 67"/>
                <a:gd name="T4" fmla="*/ 2 w 73"/>
                <a:gd name="T5" fmla="*/ 63 h 67"/>
                <a:gd name="T6" fmla="*/ 4 w 73"/>
                <a:gd name="T7" fmla="*/ 61 h 67"/>
                <a:gd name="T8" fmla="*/ 4 w 73"/>
                <a:gd name="T9" fmla="*/ 48 h 67"/>
                <a:gd name="T10" fmla="*/ 25 w 73"/>
                <a:gd name="T11" fmla="*/ 48 h 67"/>
                <a:gd name="T12" fmla="*/ 73 w 73"/>
                <a:gd name="T13" fmla="*/ 0 h 67"/>
                <a:gd name="T14" fmla="*/ 73 w 73"/>
                <a:gd name="T15" fmla="*/ 2 h 67"/>
                <a:gd name="T16" fmla="*/ 25 w 73"/>
                <a:gd name="T17" fmla="*/ 50 h 67"/>
                <a:gd name="T18" fmla="*/ 6 w 73"/>
                <a:gd name="T19" fmla="*/ 50 h 67"/>
                <a:gd name="T20" fmla="*/ 6 w 73"/>
                <a:gd name="T21" fmla="*/ 63 h 67"/>
                <a:gd name="T22" fmla="*/ 4 w 73"/>
                <a:gd name="T23" fmla="*/ 64 h 67"/>
                <a:gd name="T24" fmla="*/ 0 w 73"/>
                <a:gd name="T25" fmla="*/ 67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3"/>
                <a:gd name="T40" fmla="*/ 0 h 67"/>
                <a:gd name="T41" fmla="*/ 73 w 73"/>
                <a:gd name="T42" fmla="*/ 67 h 6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3" h="67">
                  <a:moveTo>
                    <a:pt x="0" y="67"/>
                  </a:moveTo>
                  <a:lnTo>
                    <a:pt x="0" y="65"/>
                  </a:lnTo>
                  <a:lnTo>
                    <a:pt x="2" y="63"/>
                  </a:lnTo>
                  <a:lnTo>
                    <a:pt x="4" y="61"/>
                  </a:lnTo>
                  <a:lnTo>
                    <a:pt x="4" y="48"/>
                  </a:lnTo>
                  <a:lnTo>
                    <a:pt x="25" y="48"/>
                  </a:lnTo>
                  <a:lnTo>
                    <a:pt x="73" y="0"/>
                  </a:lnTo>
                  <a:lnTo>
                    <a:pt x="73" y="2"/>
                  </a:lnTo>
                  <a:lnTo>
                    <a:pt x="25" y="50"/>
                  </a:lnTo>
                  <a:lnTo>
                    <a:pt x="6" y="50"/>
                  </a:lnTo>
                  <a:lnTo>
                    <a:pt x="6" y="63"/>
                  </a:lnTo>
                  <a:lnTo>
                    <a:pt x="4" y="64"/>
                  </a:lnTo>
                  <a:lnTo>
                    <a:pt x="0" y="67"/>
                  </a:lnTo>
                  <a:close/>
                </a:path>
              </a:pathLst>
            </a:custGeom>
            <a:solidFill>
              <a:srgbClr val="00CCFF"/>
            </a:solidFill>
            <a:ln w="6350" cmpd="sng">
              <a:solidFill>
                <a:srgbClr val="000000"/>
              </a:solidFill>
              <a:round/>
              <a:headEnd/>
              <a:tailEnd/>
            </a:ln>
          </xdr:spPr>
        </xdr:sp>
        <xdr:grpSp>
          <xdr:nvGrpSpPr>
            <xdr:cNvPr id="11410" name="Group 156"/>
            <xdr:cNvGrpSpPr>
              <a:grpSpLocks/>
            </xdr:cNvGrpSpPr>
          </xdr:nvGrpSpPr>
          <xdr:grpSpPr bwMode="auto">
            <a:xfrm>
              <a:off x="912" y="652"/>
              <a:ext cx="65" cy="47"/>
              <a:chOff x="112" y="627"/>
              <a:chExt cx="65" cy="47"/>
            </a:xfrm>
          </xdr:grpSpPr>
          <xdr:sp macro="" textlink="">
            <xdr:nvSpPr>
              <xdr:cNvPr id="11417" name="Freeform 157"/>
              <xdr:cNvSpPr>
                <a:spLocks/>
              </xdr:cNvSpPr>
            </xdr:nvSpPr>
            <xdr:spPr bwMode="auto">
              <a:xfrm>
                <a:off x="112" y="627"/>
                <a:ext cx="65" cy="41"/>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Lst>
                <a:ahLst/>
                <a:cxnLst>
                  <a:cxn ang="T10">
                    <a:pos x="T0" y="T1"/>
                  </a:cxn>
                  <a:cxn ang="T11">
                    <a:pos x="T2" y="T3"/>
                  </a:cxn>
                  <a:cxn ang="T12">
                    <a:pos x="T4" y="T5"/>
                  </a:cxn>
                  <a:cxn ang="T13">
                    <a:pos x="T6" y="T7"/>
                  </a:cxn>
                  <a:cxn ang="T14">
                    <a:pos x="T8" y="T9"/>
                  </a:cxn>
                </a:cxnLst>
                <a:rect l="T15" t="T16" r="T17" b="T18"/>
                <a:pathLst>
                  <a:path w="65" h="41">
                    <a:moveTo>
                      <a:pt x="24" y="41"/>
                    </a:moveTo>
                    <a:lnTo>
                      <a:pt x="0" y="41"/>
                    </a:lnTo>
                    <a:lnTo>
                      <a:pt x="41" y="0"/>
                    </a:lnTo>
                    <a:lnTo>
                      <a:pt x="65" y="0"/>
                    </a:lnTo>
                    <a:lnTo>
                      <a:pt x="24" y="41"/>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11418" name="Freeform 158"/>
              <xdr:cNvSpPr>
                <a:spLocks/>
              </xdr:cNvSpPr>
            </xdr:nvSpPr>
            <xdr:spPr bwMode="auto">
              <a:xfrm>
                <a:off x="112" y="627"/>
                <a:ext cx="65" cy="47"/>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5" h="47">
                    <a:moveTo>
                      <a:pt x="0" y="41"/>
                    </a:moveTo>
                    <a:lnTo>
                      <a:pt x="0" y="47"/>
                    </a:lnTo>
                    <a:lnTo>
                      <a:pt x="3" y="44"/>
                    </a:lnTo>
                    <a:lnTo>
                      <a:pt x="24" y="44"/>
                    </a:lnTo>
                    <a:lnTo>
                      <a:pt x="65" y="3"/>
                    </a:lnTo>
                    <a:lnTo>
                      <a:pt x="65" y="0"/>
                    </a:lnTo>
                    <a:lnTo>
                      <a:pt x="24" y="41"/>
                    </a:lnTo>
                    <a:lnTo>
                      <a:pt x="0" y="41"/>
                    </a:lnTo>
                    <a:close/>
                  </a:path>
                </a:pathLst>
              </a:custGeom>
              <a:solidFill>
                <a:srgbClr val="808080"/>
              </a:solidFill>
              <a:ln w="6350" cmpd="sng">
                <a:solidFill>
                  <a:srgbClr val="000000"/>
                </a:solidFill>
                <a:round/>
                <a:headEnd/>
                <a:tailEnd/>
              </a:ln>
            </xdr:spPr>
          </xdr:sp>
        </xdr:grpSp>
        <xdr:sp macro="" textlink="">
          <xdr:nvSpPr>
            <xdr:cNvPr id="11411" name="Line 159"/>
            <xdr:cNvSpPr>
              <a:spLocks noChangeShapeType="1"/>
            </xdr:cNvSpPr>
          </xdr:nvSpPr>
          <xdr:spPr bwMode="auto">
            <a:xfrm>
              <a:off x="936" y="693"/>
              <a:ext cx="0" cy="3"/>
            </a:xfrm>
            <a:prstGeom prst="line">
              <a:avLst/>
            </a:prstGeom>
            <a:noFill/>
            <a:ln w="9525">
              <a:solidFill>
                <a:srgbClr val="000000"/>
              </a:solidFill>
              <a:round/>
              <a:headEnd/>
              <a:tailEnd/>
            </a:ln>
          </xdr:spPr>
        </xdr:sp>
        <xdr:sp macro="" textlink="">
          <xdr:nvSpPr>
            <xdr:cNvPr id="11412" name="Line 160"/>
            <xdr:cNvSpPr>
              <a:spLocks noChangeShapeType="1"/>
            </xdr:cNvSpPr>
          </xdr:nvSpPr>
          <xdr:spPr bwMode="auto">
            <a:xfrm flipV="1">
              <a:off x="913" y="711"/>
              <a:ext cx="11" cy="11"/>
            </a:xfrm>
            <a:prstGeom prst="line">
              <a:avLst/>
            </a:prstGeom>
            <a:noFill/>
            <a:ln w="19050">
              <a:solidFill>
                <a:srgbClr val="A6CAF0"/>
              </a:solidFill>
              <a:round/>
              <a:headEnd/>
              <a:tailEnd/>
            </a:ln>
          </xdr:spPr>
        </xdr:sp>
        <xdr:sp macro="" textlink="">
          <xdr:nvSpPr>
            <xdr:cNvPr id="11413" name="Line 161"/>
            <xdr:cNvSpPr>
              <a:spLocks noChangeShapeType="1"/>
            </xdr:cNvSpPr>
          </xdr:nvSpPr>
          <xdr:spPr bwMode="auto">
            <a:xfrm flipV="1">
              <a:off x="909" y="707"/>
              <a:ext cx="12" cy="13"/>
            </a:xfrm>
            <a:prstGeom prst="line">
              <a:avLst/>
            </a:prstGeom>
            <a:noFill/>
            <a:ln w="19050">
              <a:solidFill>
                <a:srgbClr val="A6CAF0"/>
              </a:solidFill>
              <a:round/>
              <a:headEnd/>
              <a:tailEnd/>
            </a:ln>
          </xdr:spPr>
        </xdr:sp>
        <xdr:sp macro="" textlink="">
          <xdr:nvSpPr>
            <xdr:cNvPr id="11414" name="Freeform 162"/>
            <xdr:cNvSpPr>
              <a:spLocks/>
            </xdr:cNvSpPr>
          </xdr:nvSpPr>
          <xdr:spPr bwMode="auto">
            <a:xfrm>
              <a:off x="909" y="658"/>
              <a:ext cx="67" cy="177"/>
            </a:xfrm>
            <a:custGeom>
              <a:avLst/>
              <a:gdLst>
                <a:gd name="T0" fmla="*/ 67 w 67"/>
                <a:gd name="T1" fmla="*/ 0 h 177"/>
                <a:gd name="T2" fmla="*/ 67 w 67"/>
                <a:gd name="T3" fmla="*/ 2 h 177"/>
                <a:gd name="T4" fmla="*/ 19 w 67"/>
                <a:gd name="T5" fmla="*/ 50 h 177"/>
                <a:gd name="T6" fmla="*/ 2 w 67"/>
                <a:gd name="T7" fmla="*/ 50 h 177"/>
                <a:gd name="T8" fmla="*/ 2 w 67"/>
                <a:gd name="T9" fmla="*/ 60 h 177"/>
                <a:gd name="T10" fmla="*/ 3 w 67"/>
                <a:gd name="T11" fmla="*/ 62 h 177"/>
                <a:gd name="T12" fmla="*/ 4 w 67"/>
                <a:gd name="T13" fmla="*/ 64 h 177"/>
                <a:gd name="T14" fmla="*/ 5 w 67"/>
                <a:gd name="T15" fmla="*/ 177 h 177"/>
                <a:gd name="T16" fmla="*/ 3 w 67"/>
                <a:gd name="T17" fmla="*/ 175 h 177"/>
                <a:gd name="T18" fmla="*/ 2 w 67"/>
                <a:gd name="T19" fmla="*/ 66 h 177"/>
                <a:gd name="T20" fmla="*/ 1 w 67"/>
                <a:gd name="T21" fmla="*/ 63 h 177"/>
                <a:gd name="T22" fmla="*/ 0 w 67"/>
                <a:gd name="T23" fmla="*/ 61 h 177"/>
                <a:gd name="T24" fmla="*/ 0 w 67"/>
                <a:gd name="T25" fmla="*/ 48 h 177"/>
                <a:gd name="T26" fmla="*/ 19 w 67"/>
                <a:gd name="T27" fmla="*/ 48 h 177"/>
                <a:gd name="T28" fmla="*/ 67 w 67"/>
                <a:gd name="T29" fmla="*/ 0 h 17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7"/>
                <a:gd name="T46" fmla="*/ 0 h 177"/>
                <a:gd name="T47" fmla="*/ 67 w 67"/>
                <a:gd name="T48" fmla="*/ 177 h 17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7" h="177">
                  <a:moveTo>
                    <a:pt x="67" y="0"/>
                  </a:moveTo>
                  <a:lnTo>
                    <a:pt x="67" y="2"/>
                  </a:lnTo>
                  <a:lnTo>
                    <a:pt x="19" y="50"/>
                  </a:lnTo>
                  <a:lnTo>
                    <a:pt x="2" y="50"/>
                  </a:lnTo>
                  <a:lnTo>
                    <a:pt x="2" y="60"/>
                  </a:lnTo>
                  <a:lnTo>
                    <a:pt x="3" y="62"/>
                  </a:lnTo>
                  <a:lnTo>
                    <a:pt x="4" y="64"/>
                  </a:lnTo>
                  <a:lnTo>
                    <a:pt x="5" y="177"/>
                  </a:lnTo>
                  <a:lnTo>
                    <a:pt x="3" y="175"/>
                  </a:lnTo>
                  <a:lnTo>
                    <a:pt x="2" y="66"/>
                  </a:lnTo>
                  <a:lnTo>
                    <a:pt x="1" y="63"/>
                  </a:lnTo>
                  <a:lnTo>
                    <a:pt x="0" y="61"/>
                  </a:lnTo>
                  <a:lnTo>
                    <a:pt x="0" y="48"/>
                  </a:lnTo>
                  <a:lnTo>
                    <a:pt x="19" y="48"/>
                  </a:lnTo>
                  <a:lnTo>
                    <a:pt x="67" y="0"/>
                  </a:lnTo>
                  <a:close/>
                </a:path>
              </a:pathLst>
            </a:custGeom>
            <a:solidFill>
              <a:srgbClr val="00CCFF"/>
            </a:solidFill>
            <a:ln w="6350" cmpd="sng">
              <a:solidFill>
                <a:srgbClr val="000000"/>
              </a:solidFill>
              <a:round/>
              <a:headEnd/>
              <a:tailEnd/>
            </a:ln>
          </xdr:spPr>
        </xdr:sp>
        <xdr:sp macro="" textlink="">
          <xdr:nvSpPr>
            <xdr:cNvPr id="11415" name="Line 163"/>
            <xdr:cNvSpPr>
              <a:spLocks noChangeShapeType="1"/>
            </xdr:cNvSpPr>
          </xdr:nvSpPr>
          <xdr:spPr bwMode="auto">
            <a:xfrm>
              <a:off x="960" y="706"/>
              <a:ext cx="0" cy="0"/>
            </a:xfrm>
            <a:prstGeom prst="line">
              <a:avLst/>
            </a:prstGeom>
            <a:noFill/>
            <a:ln w="9525">
              <a:solidFill>
                <a:srgbClr val="000000"/>
              </a:solidFill>
              <a:round/>
              <a:headEnd/>
              <a:tailEnd/>
            </a:ln>
          </xdr:spPr>
        </xdr:sp>
        <xdr:sp macro="" textlink="">
          <xdr:nvSpPr>
            <xdr:cNvPr id="11416" name="Freeform 164"/>
            <xdr:cNvSpPr>
              <a:spLocks/>
            </xdr:cNvSpPr>
          </xdr:nvSpPr>
          <xdr:spPr bwMode="auto">
            <a:xfrm>
              <a:off x="889" y="719"/>
              <a:ext cx="29" cy="19"/>
            </a:xfrm>
            <a:custGeom>
              <a:avLst/>
              <a:gdLst>
                <a:gd name="T0" fmla="*/ 29 w 29"/>
                <a:gd name="T1" fmla="*/ 16 h 19"/>
                <a:gd name="T2" fmla="*/ 25 w 29"/>
                <a:gd name="T3" fmla="*/ 19 h 19"/>
                <a:gd name="T4" fmla="*/ 0 w 29"/>
                <a:gd name="T5" fmla="*/ 19 h 19"/>
                <a:gd name="T6" fmla="*/ 19 w 29"/>
                <a:gd name="T7" fmla="*/ 0 h 19"/>
                <a:gd name="T8" fmla="*/ 21 w 29"/>
                <a:gd name="T9" fmla="*/ 2 h 19"/>
                <a:gd name="T10" fmla="*/ 21 w 29"/>
                <a:gd name="T11" fmla="*/ 4 h 19"/>
                <a:gd name="T12" fmla="*/ 8 w 29"/>
                <a:gd name="T13" fmla="*/ 16 h 19"/>
                <a:gd name="T14" fmla="*/ 29 w 29"/>
                <a:gd name="T15" fmla="*/ 16 h 19"/>
                <a:gd name="T16" fmla="*/ 0 60000 65536"/>
                <a:gd name="T17" fmla="*/ 0 60000 65536"/>
                <a:gd name="T18" fmla="*/ 0 60000 65536"/>
                <a:gd name="T19" fmla="*/ 0 60000 65536"/>
                <a:gd name="T20" fmla="*/ 0 60000 65536"/>
                <a:gd name="T21" fmla="*/ 0 60000 65536"/>
                <a:gd name="T22" fmla="*/ 0 60000 65536"/>
                <a:gd name="T23" fmla="*/ 0 60000 65536"/>
                <a:gd name="T24" fmla="*/ 0 w 29"/>
                <a:gd name="T25" fmla="*/ 0 h 19"/>
                <a:gd name="T26" fmla="*/ 29 w 29"/>
                <a:gd name="T27" fmla="*/ 19 h 1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9" h="19">
                  <a:moveTo>
                    <a:pt x="29" y="16"/>
                  </a:moveTo>
                  <a:lnTo>
                    <a:pt x="25" y="19"/>
                  </a:lnTo>
                  <a:lnTo>
                    <a:pt x="0" y="19"/>
                  </a:lnTo>
                  <a:lnTo>
                    <a:pt x="19" y="0"/>
                  </a:lnTo>
                  <a:lnTo>
                    <a:pt x="21" y="2"/>
                  </a:lnTo>
                  <a:lnTo>
                    <a:pt x="21" y="4"/>
                  </a:lnTo>
                  <a:lnTo>
                    <a:pt x="8" y="16"/>
                  </a:lnTo>
                  <a:lnTo>
                    <a:pt x="29" y="16"/>
                  </a:lnTo>
                  <a:close/>
                </a:path>
              </a:pathLst>
            </a:custGeom>
            <a:solidFill>
              <a:srgbClr val="C0C0C0"/>
            </a:solidFill>
            <a:ln w="9525">
              <a:solidFill>
                <a:srgbClr val="000000"/>
              </a:solidFill>
              <a:round/>
              <a:headEnd/>
              <a:tailEnd/>
            </a:ln>
          </xdr:spPr>
        </xdr:sp>
      </xdr:grpSp>
      <xdr:grpSp>
        <xdr:nvGrpSpPr>
          <xdr:cNvPr id="11338" name="Group 165"/>
          <xdr:cNvGrpSpPr>
            <a:grpSpLocks/>
          </xdr:cNvGrpSpPr>
        </xdr:nvGrpSpPr>
        <xdr:grpSpPr bwMode="auto">
          <a:xfrm>
            <a:off x="4591050" y="1609725"/>
            <a:ext cx="1333500" cy="2352675"/>
            <a:chOff x="837" y="652"/>
            <a:chExt cx="140" cy="247"/>
          </a:xfrm>
        </xdr:grpSpPr>
        <xdr:sp macro="" textlink="">
          <xdr:nvSpPr>
            <xdr:cNvPr id="11339" name="Freeform 166"/>
            <xdr:cNvSpPr>
              <a:spLocks/>
            </xdr:cNvSpPr>
          </xdr:nvSpPr>
          <xdr:spPr bwMode="auto">
            <a:xfrm>
              <a:off x="880" y="662"/>
              <a:ext cx="62" cy="42"/>
            </a:xfrm>
            <a:custGeom>
              <a:avLst/>
              <a:gdLst>
                <a:gd name="T0" fmla="*/ 0 w 62"/>
                <a:gd name="T1" fmla="*/ 42 h 42"/>
                <a:gd name="T2" fmla="*/ 42 w 62"/>
                <a:gd name="T3" fmla="*/ 0 h 42"/>
                <a:gd name="T4" fmla="*/ 62 w 62"/>
                <a:gd name="T5" fmla="*/ 0 h 42"/>
                <a:gd name="T6" fmla="*/ 23 w 62"/>
                <a:gd name="T7" fmla="*/ 42 h 42"/>
                <a:gd name="T8" fmla="*/ 0 w 62"/>
                <a:gd name="T9" fmla="*/ 42 h 42"/>
                <a:gd name="T10" fmla="*/ 0 60000 65536"/>
                <a:gd name="T11" fmla="*/ 0 60000 65536"/>
                <a:gd name="T12" fmla="*/ 0 60000 65536"/>
                <a:gd name="T13" fmla="*/ 0 60000 65536"/>
                <a:gd name="T14" fmla="*/ 0 60000 65536"/>
                <a:gd name="T15" fmla="*/ 0 w 62"/>
                <a:gd name="T16" fmla="*/ 0 h 42"/>
                <a:gd name="T17" fmla="*/ 62 w 62"/>
                <a:gd name="T18" fmla="*/ 42 h 42"/>
              </a:gdLst>
              <a:ahLst/>
              <a:cxnLst>
                <a:cxn ang="T10">
                  <a:pos x="T0" y="T1"/>
                </a:cxn>
                <a:cxn ang="T11">
                  <a:pos x="T2" y="T3"/>
                </a:cxn>
                <a:cxn ang="T12">
                  <a:pos x="T4" y="T5"/>
                </a:cxn>
                <a:cxn ang="T13">
                  <a:pos x="T6" y="T7"/>
                </a:cxn>
                <a:cxn ang="T14">
                  <a:pos x="T8" y="T9"/>
                </a:cxn>
              </a:cxnLst>
              <a:rect l="T15" t="T16" r="T17" b="T18"/>
              <a:pathLst>
                <a:path w="62" h="42">
                  <a:moveTo>
                    <a:pt x="0" y="42"/>
                  </a:moveTo>
                  <a:lnTo>
                    <a:pt x="42" y="0"/>
                  </a:lnTo>
                  <a:lnTo>
                    <a:pt x="62" y="0"/>
                  </a:lnTo>
                  <a:lnTo>
                    <a:pt x="23" y="42"/>
                  </a:lnTo>
                  <a:lnTo>
                    <a:pt x="0" y="42"/>
                  </a:lnTo>
                  <a:close/>
                </a:path>
              </a:pathLst>
            </a:custGeom>
            <a:gradFill rotWithShape="1">
              <a:gsLst>
                <a:gs pos="0">
                  <a:srgbClr val="69FFFF"/>
                </a:gs>
                <a:gs pos="100000">
                  <a:srgbClr val="CCFFCC"/>
                </a:gs>
              </a:gsLst>
              <a:lin ang="0" scaled="1"/>
            </a:gradFill>
            <a:ln w="9525">
              <a:solidFill>
                <a:srgbClr val="000000"/>
              </a:solidFill>
              <a:round/>
              <a:headEnd/>
              <a:tailEnd/>
            </a:ln>
          </xdr:spPr>
        </xdr:sp>
        <xdr:sp macro="" textlink="">
          <xdr:nvSpPr>
            <xdr:cNvPr id="11340" name="Rectangle 167"/>
            <xdr:cNvSpPr>
              <a:spLocks noChangeArrowheads="1"/>
            </xdr:cNvSpPr>
          </xdr:nvSpPr>
          <xdr:spPr bwMode="auto">
            <a:xfrm>
              <a:off x="837" y="741"/>
              <a:ext cx="27" cy="151"/>
            </a:xfrm>
            <a:prstGeom prst="rect">
              <a:avLst/>
            </a:prstGeom>
            <a:gradFill rotWithShape="1">
              <a:gsLst>
                <a:gs pos="0">
                  <a:srgbClr val="FFFFFF"/>
                </a:gs>
                <a:gs pos="100000">
                  <a:srgbClr val="767676"/>
                </a:gs>
              </a:gsLst>
              <a:lin ang="2700000" scaled="1"/>
            </a:gradFill>
            <a:ln w="9525">
              <a:solidFill>
                <a:srgbClr val="000000"/>
              </a:solidFill>
              <a:miter lim="800000"/>
              <a:headEnd/>
              <a:tailEnd/>
            </a:ln>
          </xdr:spPr>
        </xdr:sp>
        <xdr:sp macro="" textlink="">
          <xdr:nvSpPr>
            <xdr:cNvPr id="11341" name="Freeform 168"/>
            <xdr:cNvSpPr>
              <a:spLocks/>
            </xdr:cNvSpPr>
          </xdr:nvSpPr>
          <xdr:spPr bwMode="auto">
            <a:xfrm>
              <a:off x="864" y="720"/>
              <a:ext cx="21" cy="177"/>
            </a:xfrm>
            <a:custGeom>
              <a:avLst/>
              <a:gdLst>
                <a:gd name="T0" fmla="*/ 0 w 21"/>
                <a:gd name="T1" fmla="*/ 20 h 177"/>
                <a:gd name="T2" fmla="*/ 21 w 21"/>
                <a:gd name="T3" fmla="*/ 0 h 177"/>
                <a:gd name="T4" fmla="*/ 21 w 21"/>
                <a:gd name="T5" fmla="*/ 176 h 177"/>
                <a:gd name="T6" fmla="*/ 0 w 21"/>
                <a:gd name="T7" fmla="*/ 177 h 177"/>
                <a:gd name="T8" fmla="*/ 0 w 21"/>
                <a:gd name="T9" fmla="*/ 20 h 177"/>
                <a:gd name="T10" fmla="*/ 0 60000 65536"/>
                <a:gd name="T11" fmla="*/ 0 60000 65536"/>
                <a:gd name="T12" fmla="*/ 0 60000 65536"/>
                <a:gd name="T13" fmla="*/ 0 60000 65536"/>
                <a:gd name="T14" fmla="*/ 0 60000 65536"/>
                <a:gd name="T15" fmla="*/ 0 w 21"/>
                <a:gd name="T16" fmla="*/ 0 h 177"/>
                <a:gd name="T17" fmla="*/ 21 w 21"/>
                <a:gd name="T18" fmla="*/ 177 h 177"/>
              </a:gdLst>
              <a:ahLst/>
              <a:cxnLst>
                <a:cxn ang="T10">
                  <a:pos x="T0" y="T1"/>
                </a:cxn>
                <a:cxn ang="T11">
                  <a:pos x="T2" y="T3"/>
                </a:cxn>
                <a:cxn ang="T12">
                  <a:pos x="T4" y="T5"/>
                </a:cxn>
                <a:cxn ang="T13">
                  <a:pos x="T6" y="T7"/>
                </a:cxn>
                <a:cxn ang="T14">
                  <a:pos x="T8" y="T9"/>
                </a:cxn>
              </a:cxnLst>
              <a:rect l="T15" t="T16" r="T17" b="T18"/>
              <a:pathLst>
                <a:path w="21" h="177">
                  <a:moveTo>
                    <a:pt x="0" y="20"/>
                  </a:moveTo>
                  <a:lnTo>
                    <a:pt x="21" y="0"/>
                  </a:lnTo>
                  <a:lnTo>
                    <a:pt x="21" y="176"/>
                  </a:lnTo>
                  <a:lnTo>
                    <a:pt x="0" y="177"/>
                  </a:lnTo>
                  <a:lnTo>
                    <a:pt x="0" y="20"/>
                  </a:lnTo>
                  <a:close/>
                </a:path>
              </a:pathLst>
            </a:custGeom>
            <a:gradFill rotWithShape="1">
              <a:gsLst>
                <a:gs pos="0">
                  <a:srgbClr val="767676"/>
                </a:gs>
                <a:gs pos="50000">
                  <a:srgbClr val="FFFFFF"/>
                </a:gs>
                <a:gs pos="100000">
                  <a:srgbClr val="767676"/>
                </a:gs>
              </a:gsLst>
              <a:lin ang="0" scaled="1"/>
            </a:gradFill>
            <a:ln w="9525">
              <a:solidFill>
                <a:srgbClr val="000000"/>
              </a:solidFill>
              <a:round/>
              <a:headEnd/>
              <a:tailEnd/>
            </a:ln>
          </xdr:spPr>
        </xdr:sp>
        <xdr:sp macro="" textlink="">
          <xdr:nvSpPr>
            <xdr:cNvPr id="11342" name="Line 169"/>
            <xdr:cNvSpPr>
              <a:spLocks noChangeShapeType="1"/>
            </xdr:cNvSpPr>
          </xdr:nvSpPr>
          <xdr:spPr bwMode="auto">
            <a:xfrm flipV="1">
              <a:off x="885" y="707"/>
              <a:ext cx="13" cy="13"/>
            </a:xfrm>
            <a:prstGeom prst="line">
              <a:avLst/>
            </a:prstGeom>
            <a:noFill/>
            <a:ln w="28575">
              <a:solidFill>
                <a:srgbClr val="A6CAF0"/>
              </a:solidFill>
              <a:round/>
              <a:headEnd/>
              <a:tailEnd/>
            </a:ln>
          </xdr:spPr>
        </xdr:sp>
        <xdr:sp macro="" textlink="">
          <xdr:nvSpPr>
            <xdr:cNvPr id="11343" name="Freeform 170"/>
            <xdr:cNvSpPr>
              <a:spLocks/>
            </xdr:cNvSpPr>
          </xdr:nvSpPr>
          <xdr:spPr bwMode="auto">
            <a:xfrm>
              <a:off x="896" y="697"/>
              <a:ext cx="27" cy="202"/>
            </a:xfrm>
            <a:custGeom>
              <a:avLst/>
              <a:gdLst>
                <a:gd name="T0" fmla="*/ 0 w 27"/>
                <a:gd name="T1" fmla="*/ 9 h 202"/>
                <a:gd name="T2" fmla="*/ 0 w 27"/>
                <a:gd name="T3" fmla="*/ 201 h 202"/>
                <a:gd name="T4" fmla="*/ 0 w 27"/>
                <a:gd name="T5" fmla="*/ 202 h 202"/>
                <a:gd name="T6" fmla="*/ 22 w 27"/>
                <a:gd name="T7" fmla="*/ 202 h 202"/>
                <a:gd name="T8" fmla="*/ 27 w 27"/>
                <a:gd name="T9" fmla="*/ 0 h 202"/>
                <a:gd name="T10" fmla="*/ 14 w 27"/>
                <a:gd name="T11" fmla="*/ 1 h 202"/>
                <a:gd name="T12" fmla="*/ 0 60000 65536"/>
                <a:gd name="T13" fmla="*/ 0 60000 65536"/>
                <a:gd name="T14" fmla="*/ 0 60000 65536"/>
                <a:gd name="T15" fmla="*/ 0 60000 65536"/>
                <a:gd name="T16" fmla="*/ 0 60000 65536"/>
                <a:gd name="T17" fmla="*/ 0 60000 65536"/>
                <a:gd name="T18" fmla="*/ 0 w 27"/>
                <a:gd name="T19" fmla="*/ 0 h 202"/>
                <a:gd name="T20" fmla="*/ 27 w 27"/>
                <a:gd name="T21" fmla="*/ 202 h 202"/>
              </a:gdLst>
              <a:ahLst/>
              <a:cxnLst>
                <a:cxn ang="T12">
                  <a:pos x="T0" y="T1"/>
                </a:cxn>
                <a:cxn ang="T13">
                  <a:pos x="T2" y="T3"/>
                </a:cxn>
                <a:cxn ang="T14">
                  <a:pos x="T4" y="T5"/>
                </a:cxn>
                <a:cxn ang="T15">
                  <a:pos x="T6" y="T7"/>
                </a:cxn>
                <a:cxn ang="T16">
                  <a:pos x="T8" y="T9"/>
                </a:cxn>
                <a:cxn ang="T17">
                  <a:pos x="T10" y="T11"/>
                </a:cxn>
              </a:cxnLst>
              <a:rect l="T18" t="T19" r="T20" b="T21"/>
              <a:pathLst>
                <a:path w="27" h="202">
                  <a:moveTo>
                    <a:pt x="0" y="9"/>
                  </a:moveTo>
                  <a:lnTo>
                    <a:pt x="0" y="201"/>
                  </a:lnTo>
                  <a:lnTo>
                    <a:pt x="0" y="202"/>
                  </a:lnTo>
                  <a:lnTo>
                    <a:pt x="22" y="202"/>
                  </a:lnTo>
                  <a:lnTo>
                    <a:pt x="27" y="0"/>
                  </a:lnTo>
                  <a:lnTo>
                    <a:pt x="14" y="1"/>
                  </a:lnTo>
                </a:path>
              </a:pathLst>
            </a:custGeom>
            <a:solidFill>
              <a:srgbClr val="336666"/>
            </a:solidFill>
            <a:ln w="9525">
              <a:noFill/>
              <a:round/>
              <a:headEnd/>
              <a:tailEnd/>
            </a:ln>
          </xdr:spPr>
        </xdr:sp>
        <xdr:sp macro="" textlink="">
          <xdr:nvSpPr>
            <xdr:cNvPr id="11344" name="Freeform 171"/>
            <xdr:cNvSpPr>
              <a:spLocks/>
            </xdr:cNvSpPr>
          </xdr:nvSpPr>
          <xdr:spPr bwMode="auto">
            <a:xfrm>
              <a:off x="884" y="707"/>
              <a:ext cx="13" cy="156"/>
            </a:xfrm>
            <a:custGeom>
              <a:avLst/>
              <a:gdLst>
                <a:gd name="T0" fmla="*/ 0 w 13"/>
                <a:gd name="T1" fmla="*/ 0 h 155"/>
                <a:gd name="T2" fmla="*/ 13 w 13"/>
                <a:gd name="T3" fmla="*/ 0 h 155"/>
                <a:gd name="T4" fmla="*/ 13 w 13"/>
                <a:gd name="T5" fmla="*/ 172 h 155"/>
                <a:gd name="T6" fmla="*/ 1 w 13"/>
                <a:gd name="T7" fmla="*/ 178 h 155"/>
                <a:gd name="T8" fmla="*/ 0 w 13"/>
                <a:gd name="T9" fmla="*/ 0 h 155"/>
                <a:gd name="T10" fmla="*/ 0 60000 65536"/>
                <a:gd name="T11" fmla="*/ 0 60000 65536"/>
                <a:gd name="T12" fmla="*/ 0 60000 65536"/>
                <a:gd name="T13" fmla="*/ 0 60000 65536"/>
                <a:gd name="T14" fmla="*/ 0 60000 65536"/>
                <a:gd name="T15" fmla="*/ 0 w 13"/>
                <a:gd name="T16" fmla="*/ 0 h 155"/>
                <a:gd name="T17" fmla="*/ 13 w 13"/>
                <a:gd name="T18" fmla="*/ 155 h 155"/>
              </a:gdLst>
              <a:ahLst/>
              <a:cxnLst>
                <a:cxn ang="T10">
                  <a:pos x="T0" y="T1"/>
                </a:cxn>
                <a:cxn ang="T11">
                  <a:pos x="T2" y="T3"/>
                </a:cxn>
                <a:cxn ang="T12">
                  <a:pos x="T4" y="T5"/>
                </a:cxn>
                <a:cxn ang="T13">
                  <a:pos x="T6" y="T7"/>
                </a:cxn>
                <a:cxn ang="T14">
                  <a:pos x="T8" y="T9"/>
                </a:cxn>
              </a:cxnLst>
              <a:rect l="T15" t="T16" r="T17" b="T18"/>
              <a:pathLst>
                <a:path w="13" h="155">
                  <a:moveTo>
                    <a:pt x="0" y="0"/>
                  </a:moveTo>
                  <a:lnTo>
                    <a:pt x="13" y="0"/>
                  </a:lnTo>
                  <a:lnTo>
                    <a:pt x="13" y="149"/>
                  </a:lnTo>
                  <a:lnTo>
                    <a:pt x="1" y="155"/>
                  </a:lnTo>
                  <a:lnTo>
                    <a:pt x="0" y="0"/>
                  </a:lnTo>
                  <a:close/>
                </a:path>
              </a:pathLst>
            </a:custGeom>
            <a:solidFill>
              <a:srgbClr val="99FF99"/>
            </a:solidFill>
            <a:ln w="9525">
              <a:noFill/>
              <a:round/>
              <a:headEnd/>
              <a:tailEnd/>
            </a:ln>
          </xdr:spPr>
        </xdr:sp>
        <xdr:sp macro="" textlink="">
          <xdr:nvSpPr>
            <xdr:cNvPr id="11345" name="Line 172"/>
            <xdr:cNvSpPr>
              <a:spLocks noChangeShapeType="1"/>
            </xdr:cNvSpPr>
          </xdr:nvSpPr>
          <xdr:spPr bwMode="auto">
            <a:xfrm>
              <a:off x="910" y="705"/>
              <a:ext cx="0" cy="187"/>
            </a:xfrm>
            <a:prstGeom prst="line">
              <a:avLst/>
            </a:prstGeom>
            <a:noFill/>
            <a:ln w="28575">
              <a:solidFill>
                <a:srgbClr val="A6CAF0"/>
              </a:solidFill>
              <a:round/>
              <a:headEnd/>
              <a:tailEnd/>
            </a:ln>
          </xdr:spPr>
        </xdr:sp>
        <xdr:sp macro="" textlink="">
          <xdr:nvSpPr>
            <xdr:cNvPr id="11346" name="Line 173"/>
            <xdr:cNvSpPr>
              <a:spLocks noChangeShapeType="1"/>
            </xdr:cNvSpPr>
          </xdr:nvSpPr>
          <xdr:spPr bwMode="auto">
            <a:xfrm>
              <a:off x="897" y="707"/>
              <a:ext cx="1" cy="152"/>
            </a:xfrm>
            <a:prstGeom prst="line">
              <a:avLst/>
            </a:prstGeom>
            <a:noFill/>
            <a:ln w="19050">
              <a:solidFill>
                <a:srgbClr val="A6CAF0"/>
              </a:solidFill>
              <a:round/>
              <a:headEnd/>
              <a:tailEnd/>
            </a:ln>
          </xdr:spPr>
        </xdr:sp>
        <xdr:sp macro="" textlink="">
          <xdr:nvSpPr>
            <xdr:cNvPr id="11347" name="Line 174"/>
            <xdr:cNvSpPr>
              <a:spLocks noChangeShapeType="1"/>
            </xdr:cNvSpPr>
          </xdr:nvSpPr>
          <xdr:spPr bwMode="auto">
            <a:xfrm>
              <a:off x="885" y="721"/>
              <a:ext cx="1" cy="152"/>
            </a:xfrm>
            <a:prstGeom prst="line">
              <a:avLst/>
            </a:prstGeom>
            <a:noFill/>
            <a:ln w="19050">
              <a:solidFill>
                <a:srgbClr val="00CCFF"/>
              </a:solidFill>
              <a:round/>
              <a:headEnd/>
              <a:tailEnd/>
            </a:ln>
          </xdr:spPr>
        </xdr:sp>
        <xdr:sp macro="" textlink="">
          <xdr:nvSpPr>
            <xdr:cNvPr id="11348" name="Freeform 175"/>
            <xdr:cNvSpPr>
              <a:spLocks/>
            </xdr:cNvSpPr>
          </xdr:nvSpPr>
          <xdr:spPr bwMode="auto">
            <a:xfrm>
              <a:off x="883" y="707"/>
              <a:ext cx="2" cy="15"/>
            </a:xfrm>
            <a:custGeom>
              <a:avLst/>
              <a:gdLst>
                <a:gd name="T0" fmla="*/ 2 w 2"/>
                <a:gd name="T1" fmla="*/ 15 h 15"/>
                <a:gd name="T2" fmla="*/ 0 w 2"/>
                <a:gd name="T3" fmla="*/ 11 h 15"/>
                <a:gd name="T4" fmla="*/ 0 w 2"/>
                <a:gd name="T5" fmla="*/ 0 h 15"/>
                <a:gd name="T6" fmla="*/ 0 60000 65536"/>
                <a:gd name="T7" fmla="*/ 0 60000 65536"/>
                <a:gd name="T8" fmla="*/ 0 60000 65536"/>
                <a:gd name="T9" fmla="*/ 0 w 2"/>
                <a:gd name="T10" fmla="*/ 0 h 15"/>
                <a:gd name="T11" fmla="*/ 2 w 2"/>
                <a:gd name="T12" fmla="*/ 15 h 15"/>
              </a:gdLst>
              <a:ahLst/>
              <a:cxnLst>
                <a:cxn ang="T6">
                  <a:pos x="T0" y="T1"/>
                </a:cxn>
                <a:cxn ang="T7">
                  <a:pos x="T2" y="T3"/>
                </a:cxn>
                <a:cxn ang="T8">
                  <a:pos x="T4" y="T5"/>
                </a:cxn>
              </a:cxnLst>
              <a:rect l="T9" t="T10" r="T11" b="T12"/>
              <a:pathLst>
                <a:path w="2" h="15">
                  <a:moveTo>
                    <a:pt x="2" y="15"/>
                  </a:moveTo>
                  <a:lnTo>
                    <a:pt x="0" y="11"/>
                  </a:lnTo>
                  <a:lnTo>
                    <a:pt x="0" y="0"/>
                  </a:lnTo>
                </a:path>
              </a:pathLst>
            </a:custGeom>
            <a:noFill/>
            <a:ln w="19050" cmpd="sng">
              <a:solidFill>
                <a:srgbClr val="00CCFF"/>
              </a:solidFill>
              <a:round/>
              <a:headEnd/>
              <a:tailEnd/>
            </a:ln>
          </xdr:spPr>
        </xdr:sp>
        <xdr:sp macro="" textlink="">
          <xdr:nvSpPr>
            <xdr:cNvPr id="11349" name="Line 176"/>
            <xdr:cNvSpPr>
              <a:spLocks noChangeShapeType="1"/>
            </xdr:cNvSpPr>
          </xdr:nvSpPr>
          <xdr:spPr bwMode="auto">
            <a:xfrm>
              <a:off x="881" y="706"/>
              <a:ext cx="0" cy="0"/>
            </a:xfrm>
            <a:prstGeom prst="line">
              <a:avLst/>
            </a:prstGeom>
            <a:noFill/>
            <a:ln w="9525">
              <a:solidFill>
                <a:srgbClr val="000000"/>
              </a:solidFill>
              <a:round/>
              <a:headEnd/>
              <a:tailEnd/>
            </a:ln>
          </xdr:spPr>
        </xdr:sp>
        <xdr:sp macro="" textlink="">
          <xdr:nvSpPr>
            <xdr:cNvPr id="11350" name="Freeform 177"/>
            <xdr:cNvSpPr>
              <a:spLocks/>
            </xdr:cNvSpPr>
          </xdr:nvSpPr>
          <xdr:spPr bwMode="auto">
            <a:xfrm>
              <a:off x="876" y="656"/>
              <a:ext cx="73" cy="67"/>
            </a:xfrm>
            <a:custGeom>
              <a:avLst/>
              <a:gdLst>
                <a:gd name="T0" fmla="*/ 0 w 73"/>
                <a:gd name="T1" fmla="*/ 67 h 67"/>
                <a:gd name="T2" fmla="*/ 0 w 73"/>
                <a:gd name="T3" fmla="*/ 65 h 67"/>
                <a:gd name="T4" fmla="*/ 2 w 73"/>
                <a:gd name="T5" fmla="*/ 63 h 67"/>
                <a:gd name="T6" fmla="*/ 4 w 73"/>
                <a:gd name="T7" fmla="*/ 61 h 67"/>
                <a:gd name="T8" fmla="*/ 4 w 73"/>
                <a:gd name="T9" fmla="*/ 48 h 67"/>
                <a:gd name="T10" fmla="*/ 25 w 73"/>
                <a:gd name="T11" fmla="*/ 48 h 67"/>
                <a:gd name="T12" fmla="*/ 73 w 73"/>
                <a:gd name="T13" fmla="*/ 0 h 67"/>
                <a:gd name="T14" fmla="*/ 73 w 73"/>
                <a:gd name="T15" fmla="*/ 2 h 67"/>
                <a:gd name="T16" fmla="*/ 25 w 73"/>
                <a:gd name="T17" fmla="*/ 50 h 67"/>
                <a:gd name="T18" fmla="*/ 6 w 73"/>
                <a:gd name="T19" fmla="*/ 50 h 67"/>
                <a:gd name="T20" fmla="*/ 6 w 73"/>
                <a:gd name="T21" fmla="*/ 63 h 67"/>
                <a:gd name="T22" fmla="*/ 4 w 73"/>
                <a:gd name="T23" fmla="*/ 64 h 67"/>
                <a:gd name="T24" fmla="*/ 0 w 73"/>
                <a:gd name="T25" fmla="*/ 67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3"/>
                <a:gd name="T40" fmla="*/ 0 h 67"/>
                <a:gd name="T41" fmla="*/ 73 w 73"/>
                <a:gd name="T42" fmla="*/ 67 h 6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3" h="67">
                  <a:moveTo>
                    <a:pt x="0" y="67"/>
                  </a:moveTo>
                  <a:lnTo>
                    <a:pt x="0" y="65"/>
                  </a:lnTo>
                  <a:lnTo>
                    <a:pt x="2" y="63"/>
                  </a:lnTo>
                  <a:lnTo>
                    <a:pt x="4" y="61"/>
                  </a:lnTo>
                  <a:lnTo>
                    <a:pt x="4" y="48"/>
                  </a:lnTo>
                  <a:lnTo>
                    <a:pt x="25" y="48"/>
                  </a:lnTo>
                  <a:lnTo>
                    <a:pt x="73" y="0"/>
                  </a:lnTo>
                  <a:lnTo>
                    <a:pt x="73" y="2"/>
                  </a:lnTo>
                  <a:lnTo>
                    <a:pt x="25" y="50"/>
                  </a:lnTo>
                  <a:lnTo>
                    <a:pt x="6" y="50"/>
                  </a:lnTo>
                  <a:lnTo>
                    <a:pt x="6" y="63"/>
                  </a:lnTo>
                  <a:lnTo>
                    <a:pt x="4" y="64"/>
                  </a:lnTo>
                  <a:lnTo>
                    <a:pt x="0" y="67"/>
                  </a:lnTo>
                  <a:close/>
                </a:path>
              </a:pathLst>
            </a:custGeom>
            <a:solidFill>
              <a:srgbClr val="00CCFF"/>
            </a:solidFill>
            <a:ln w="6350" cmpd="sng">
              <a:solidFill>
                <a:srgbClr val="000000"/>
              </a:solidFill>
              <a:round/>
              <a:headEnd/>
              <a:tailEnd/>
            </a:ln>
          </xdr:spPr>
        </xdr:sp>
        <xdr:grpSp>
          <xdr:nvGrpSpPr>
            <xdr:cNvPr id="11351" name="Group 178"/>
            <xdr:cNvGrpSpPr>
              <a:grpSpLocks/>
            </xdr:cNvGrpSpPr>
          </xdr:nvGrpSpPr>
          <xdr:grpSpPr bwMode="auto">
            <a:xfrm>
              <a:off x="885" y="652"/>
              <a:ext cx="65" cy="47"/>
              <a:chOff x="112" y="627"/>
              <a:chExt cx="65" cy="47"/>
            </a:xfrm>
          </xdr:grpSpPr>
          <xdr:sp macro="" textlink="">
            <xdr:nvSpPr>
              <xdr:cNvPr id="11378" name="Freeform 179"/>
              <xdr:cNvSpPr>
                <a:spLocks/>
              </xdr:cNvSpPr>
            </xdr:nvSpPr>
            <xdr:spPr bwMode="auto">
              <a:xfrm>
                <a:off x="112" y="627"/>
                <a:ext cx="65" cy="41"/>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Lst>
                <a:ahLst/>
                <a:cxnLst>
                  <a:cxn ang="T10">
                    <a:pos x="T0" y="T1"/>
                  </a:cxn>
                  <a:cxn ang="T11">
                    <a:pos x="T2" y="T3"/>
                  </a:cxn>
                  <a:cxn ang="T12">
                    <a:pos x="T4" y="T5"/>
                  </a:cxn>
                  <a:cxn ang="T13">
                    <a:pos x="T6" y="T7"/>
                  </a:cxn>
                  <a:cxn ang="T14">
                    <a:pos x="T8" y="T9"/>
                  </a:cxn>
                </a:cxnLst>
                <a:rect l="T15" t="T16" r="T17" b="T18"/>
                <a:pathLst>
                  <a:path w="65" h="41">
                    <a:moveTo>
                      <a:pt x="24" y="41"/>
                    </a:moveTo>
                    <a:lnTo>
                      <a:pt x="0" y="41"/>
                    </a:lnTo>
                    <a:lnTo>
                      <a:pt x="41" y="0"/>
                    </a:lnTo>
                    <a:lnTo>
                      <a:pt x="65" y="0"/>
                    </a:lnTo>
                    <a:lnTo>
                      <a:pt x="24" y="41"/>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11379" name="Freeform 180"/>
              <xdr:cNvSpPr>
                <a:spLocks/>
              </xdr:cNvSpPr>
            </xdr:nvSpPr>
            <xdr:spPr bwMode="auto">
              <a:xfrm>
                <a:off x="112" y="627"/>
                <a:ext cx="65" cy="47"/>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5" h="47">
                    <a:moveTo>
                      <a:pt x="0" y="41"/>
                    </a:moveTo>
                    <a:lnTo>
                      <a:pt x="0" y="47"/>
                    </a:lnTo>
                    <a:lnTo>
                      <a:pt x="3" y="44"/>
                    </a:lnTo>
                    <a:lnTo>
                      <a:pt x="24" y="44"/>
                    </a:lnTo>
                    <a:lnTo>
                      <a:pt x="65" y="3"/>
                    </a:lnTo>
                    <a:lnTo>
                      <a:pt x="65" y="0"/>
                    </a:lnTo>
                    <a:lnTo>
                      <a:pt x="24" y="41"/>
                    </a:lnTo>
                    <a:lnTo>
                      <a:pt x="0" y="41"/>
                    </a:lnTo>
                    <a:close/>
                  </a:path>
                </a:pathLst>
              </a:custGeom>
              <a:solidFill>
                <a:srgbClr val="808080"/>
              </a:solidFill>
              <a:ln w="6350" cmpd="sng">
                <a:solidFill>
                  <a:srgbClr val="000000"/>
                </a:solidFill>
                <a:round/>
                <a:headEnd/>
                <a:tailEnd/>
              </a:ln>
            </xdr:spPr>
          </xdr:sp>
        </xdr:grpSp>
        <xdr:sp macro="" textlink="">
          <xdr:nvSpPr>
            <xdr:cNvPr id="11352" name="Line 181"/>
            <xdr:cNvSpPr>
              <a:spLocks noChangeShapeType="1"/>
            </xdr:cNvSpPr>
          </xdr:nvSpPr>
          <xdr:spPr bwMode="auto">
            <a:xfrm>
              <a:off x="909" y="693"/>
              <a:ext cx="0" cy="3"/>
            </a:xfrm>
            <a:prstGeom prst="line">
              <a:avLst/>
            </a:prstGeom>
            <a:noFill/>
            <a:ln w="9525">
              <a:solidFill>
                <a:srgbClr val="000000"/>
              </a:solidFill>
              <a:round/>
              <a:headEnd/>
              <a:tailEnd/>
            </a:ln>
          </xdr:spPr>
        </xdr:sp>
        <xdr:sp macro="" textlink="">
          <xdr:nvSpPr>
            <xdr:cNvPr id="11353" name="Line 182"/>
            <xdr:cNvSpPr>
              <a:spLocks noChangeShapeType="1"/>
            </xdr:cNvSpPr>
          </xdr:nvSpPr>
          <xdr:spPr bwMode="auto">
            <a:xfrm flipV="1">
              <a:off x="886" y="711"/>
              <a:ext cx="11" cy="11"/>
            </a:xfrm>
            <a:prstGeom prst="line">
              <a:avLst/>
            </a:prstGeom>
            <a:noFill/>
            <a:ln w="19050">
              <a:solidFill>
                <a:srgbClr val="A6CAF0"/>
              </a:solidFill>
              <a:round/>
              <a:headEnd/>
              <a:tailEnd/>
            </a:ln>
          </xdr:spPr>
        </xdr:sp>
        <xdr:sp macro="" textlink="">
          <xdr:nvSpPr>
            <xdr:cNvPr id="11354" name="Line 183"/>
            <xdr:cNvSpPr>
              <a:spLocks noChangeShapeType="1"/>
            </xdr:cNvSpPr>
          </xdr:nvSpPr>
          <xdr:spPr bwMode="auto">
            <a:xfrm flipV="1">
              <a:off x="882" y="707"/>
              <a:ext cx="12" cy="13"/>
            </a:xfrm>
            <a:prstGeom prst="line">
              <a:avLst/>
            </a:prstGeom>
            <a:noFill/>
            <a:ln w="19050">
              <a:solidFill>
                <a:srgbClr val="A6CAF0"/>
              </a:solidFill>
              <a:round/>
              <a:headEnd/>
              <a:tailEnd/>
            </a:ln>
          </xdr:spPr>
        </xdr:sp>
        <xdr:sp macro="" textlink="">
          <xdr:nvSpPr>
            <xdr:cNvPr id="11355" name="Freeform 184"/>
            <xdr:cNvSpPr>
              <a:spLocks/>
            </xdr:cNvSpPr>
          </xdr:nvSpPr>
          <xdr:spPr bwMode="auto">
            <a:xfrm>
              <a:off x="837" y="719"/>
              <a:ext cx="48" cy="22"/>
            </a:xfrm>
            <a:custGeom>
              <a:avLst/>
              <a:gdLst>
                <a:gd name="T0" fmla="*/ 0 w 48"/>
                <a:gd name="T1" fmla="*/ 22 h 22"/>
                <a:gd name="T2" fmla="*/ 3 w 48"/>
                <a:gd name="T3" fmla="*/ 19 h 22"/>
                <a:gd name="T4" fmla="*/ 25 w 48"/>
                <a:gd name="T5" fmla="*/ 19 h 22"/>
                <a:gd name="T6" fmla="*/ 44 w 48"/>
                <a:gd name="T7" fmla="*/ 0 h 22"/>
                <a:gd name="T8" fmla="*/ 48 w 48"/>
                <a:gd name="T9" fmla="*/ 1 h 22"/>
                <a:gd name="T10" fmla="*/ 27 w 48"/>
                <a:gd name="T11" fmla="*/ 22 h 22"/>
                <a:gd name="T12" fmla="*/ 0 w 48"/>
                <a:gd name="T13" fmla="*/ 22 h 22"/>
                <a:gd name="T14" fmla="*/ 0 60000 65536"/>
                <a:gd name="T15" fmla="*/ 0 60000 65536"/>
                <a:gd name="T16" fmla="*/ 0 60000 65536"/>
                <a:gd name="T17" fmla="*/ 0 60000 65536"/>
                <a:gd name="T18" fmla="*/ 0 60000 65536"/>
                <a:gd name="T19" fmla="*/ 0 60000 65536"/>
                <a:gd name="T20" fmla="*/ 0 60000 65536"/>
                <a:gd name="T21" fmla="*/ 0 w 48"/>
                <a:gd name="T22" fmla="*/ 0 h 22"/>
                <a:gd name="T23" fmla="*/ 48 w 48"/>
                <a:gd name="T24" fmla="*/ 22 h 2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8" h="22">
                  <a:moveTo>
                    <a:pt x="0" y="22"/>
                  </a:moveTo>
                  <a:lnTo>
                    <a:pt x="3" y="19"/>
                  </a:lnTo>
                  <a:lnTo>
                    <a:pt x="25" y="19"/>
                  </a:lnTo>
                  <a:lnTo>
                    <a:pt x="44" y="0"/>
                  </a:lnTo>
                  <a:lnTo>
                    <a:pt x="48" y="1"/>
                  </a:lnTo>
                  <a:lnTo>
                    <a:pt x="27" y="22"/>
                  </a:lnTo>
                  <a:lnTo>
                    <a:pt x="0" y="22"/>
                  </a:lnTo>
                  <a:close/>
                </a:path>
              </a:pathLst>
            </a:custGeom>
            <a:solidFill>
              <a:srgbClr val="C0C0C0"/>
            </a:solidFill>
            <a:ln w="9525">
              <a:solidFill>
                <a:srgbClr val="000000"/>
              </a:solidFill>
              <a:round/>
              <a:headEnd/>
              <a:tailEnd/>
            </a:ln>
          </xdr:spPr>
        </xdr:sp>
        <xdr:sp macro="" textlink="">
          <xdr:nvSpPr>
            <xdr:cNvPr id="11356" name="Freeform 185"/>
            <xdr:cNvSpPr>
              <a:spLocks/>
            </xdr:cNvSpPr>
          </xdr:nvSpPr>
          <xdr:spPr bwMode="auto">
            <a:xfrm>
              <a:off x="882" y="658"/>
              <a:ext cx="67" cy="177"/>
            </a:xfrm>
            <a:custGeom>
              <a:avLst/>
              <a:gdLst>
                <a:gd name="T0" fmla="*/ 67 w 67"/>
                <a:gd name="T1" fmla="*/ 0 h 177"/>
                <a:gd name="T2" fmla="*/ 67 w 67"/>
                <a:gd name="T3" fmla="*/ 2 h 177"/>
                <a:gd name="T4" fmla="*/ 19 w 67"/>
                <a:gd name="T5" fmla="*/ 50 h 177"/>
                <a:gd name="T6" fmla="*/ 2 w 67"/>
                <a:gd name="T7" fmla="*/ 50 h 177"/>
                <a:gd name="T8" fmla="*/ 2 w 67"/>
                <a:gd name="T9" fmla="*/ 60 h 177"/>
                <a:gd name="T10" fmla="*/ 3 w 67"/>
                <a:gd name="T11" fmla="*/ 62 h 177"/>
                <a:gd name="T12" fmla="*/ 4 w 67"/>
                <a:gd name="T13" fmla="*/ 64 h 177"/>
                <a:gd name="T14" fmla="*/ 5 w 67"/>
                <a:gd name="T15" fmla="*/ 177 h 177"/>
                <a:gd name="T16" fmla="*/ 3 w 67"/>
                <a:gd name="T17" fmla="*/ 175 h 177"/>
                <a:gd name="T18" fmla="*/ 2 w 67"/>
                <a:gd name="T19" fmla="*/ 66 h 177"/>
                <a:gd name="T20" fmla="*/ 1 w 67"/>
                <a:gd name="T21" fmla="*/ 63 h 177"/>
                <a:gd name="T22" fmla="*/ 0 w 67"/>
                <a:gd name="T23" fmla="*/ 61 h 177"/>
                <a:gd name="T24" fmla="*/ 0 w 67"/>
                <a:gd name="T25" fmla="*/ 48 h 177"/>
                <a:gd name="T26" fmla="*/ 19 w 67"/>
                <a:gd name="T27" fmla="*/ 48 h 177"/>
                <a:gd name="T28" fmla="*/ 67 w 67"/>
                <a:gd name="T29" fmla="*/ 0 h 17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7"/>
                <a:gd name="T46" fmla="*/ 0 h 177"/>
                <a:gd name="T47" fmla="*/ 67 w 67"/>
                <a:gd name="T48" fmla="*/ 177 h 17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7" h="177">
                  <a:moveTo>
                    <a:pt x="67" y="0"/>
                  </a:moveTo>
                  <a:lnTo>
                    <a:pt x="67" y="2"/>
                  </a:lnTo>
                  <a:lnTo>
                    <a:pt x="19" y="50"/>
                  </a:lnTo>
                  <a:lnTo>
                    <a:pt x="2" y="50"/>
                  </a:lnTo>
                  <a:lnTo>
                    <a:pt x="2" y="60"/>
                  </a:lnTo>
                  <a:lnTo>
                    <a:pt x="3" y="62"/>
                  </a:lnTo>
                  <a:lnTo>
                    <a:pt x="4" y="64"/>
                  </a:lnTo>
                  <a:lnTo>
                    <a:pt x="5" y="177"/>
                  </a:lnTo>
                  <a:lnTo>
                    <a:pt x="3" y="175"/>
                  </a:lnTo>
                  <a:lnTo>
                    <a:pt x="2" y="66"/>
                  </a:lnTo>
                  <a:lnTo>
                    <a:pt x="1" y="63"/>
                  </a:lnTo>
                  <a:lnTo>
                    <a:pt x="0" y="61"/>
                  </a:lnTo>
                  <a:lnTo>
                    <a:pt x="0" y="48"/>
                  </a:lnTo>
                  <a:lnTo>
                    <a:pt x="19" y="48"/>
                  </a:lnTo>
                  <a:lnTo>
                    <a:pt x="67" y="0"/>
                  </a:lnTo>
                  <a:close/>
                </a:path>
              </a:pathLst>
            </a:custGeom>
            <a:solidFill>
              <a:srgbClr val="00CCFF"/>
            </a:solidFill>
            <a:ln w="6350" cmpd="sng">
              <a:solidFill>
                <a:srgbClr val="000000"/>
              </a:solidFill>
              <a:round/>
              <a:headEnd/>
              <a:tailEnd/>
            </a:ln>
          </xdr:spPr>
        </xdr:sp>
        <xdr:sp macro="" textlink="">
          <xdr:nvSpPr>
            <xdr:cNvPr id="11357" name="Line 186"/>
            <xdr:cNvSpPr>
              <a:spLocks noChangeShapeType="1"/>
            </xdr:cNvSpPr>
          </xdr:nvSpPr>
          <xdr:spPr bwMode="auto">
            <a:xfrm>
              <a:off x="933" y="706"/>
              <a:ext cx="0" cy="0"/>
            </a:xfrm>
            <a:prstGeom prst="line">
              <a:avLst/>
            </a:prstGeom>
            <a:noFill/>
            <a:ln w="9525">
              <a:solidFill>
                <a:srgbClr val="000000"/>
              </a:solidFill>
              <a:round/>
              <a:headEnd/>
              <a:tailEnd/>
            </a:ln>
          </xdr:spPr>
        </xdr:sp>
        <xdr:sp macro="" textlink="">
          <xdr:nvSpPr>
            <xdr:cNvPr id="11358" name="Freeform 187"/>
            <xdr:cNvSpPr>
              <a:spLocks/>
            </xdr:cNvSpPr>
          </xdr:nvSpPr>
          <xdr:spPr bwMode="auto">
            <a:xfrm>
              <a:off x="907" y="662"/>
              <a:ext cx="62" cy="42"/>
            </a:xfrm>
            <a:custGeom>
              <a:avLst/>
              <a:gdLst>
                <a:gd name="T0" fmla="*/ 0 w 62"/>
                <a:gd name="T1" fmla="*/ 42 h 42"/>
                <a:gd name="T2" fmla="*/ 42 w 62"/>
                <a:gd name="T3" fmla="*/ 0 h 42"/>
                <a:gd name="T4" fmla="*/ 62 w 62"/>
                <a:gd name="T5" fmla="*/ 0 h 42"/>
                <a:gd name="T6" fmla="*/ 23 w 62"/>
                <a:gd name="T7" fmla="*/ 42 h 42"/>
                <a:gd name="T8" fmla="*/ 0 w 62"/>
                <a:gd name="T9" fmla="*/ 42 h 42"/>
                <a:gd name="T10" fmla="*/ 0 60000 65536"/>
                <a:gd name="T11" fmla="*/ 0 60000 65536"/>
                <a:gd name="T12" fmla="*/ 0 60000 65536"/>
                <a:gd name="T13" fmla="*/ 0 60000 65536"/>
                <a:gd name="T14" fmla="*/ 0 60000 65536"/>
                <a:gd name="T15" fmla="*/ 0 w 62"/>
                <a:gd name="T16" fmla="*/ 0 h 42"/>
                <a:gd name="T17" fmla="*/ 62 w 62"/>
                <a:gd name="T18" fmla="*/ 42 h 42"/>
              </a:gdLst>
              <a:ahLst/>
              <a:cxnLst>
                <a:cxn ang="T10">
                  <a:pos x="T0" y="T1"/>
                </a:cxn>
                <a:cxn ang="T11">
                  <a:pos x="T2" y="T3"/>
                </a:cxn>
                <a:cxn ang="T12">
                  <a:pos x="T4" y="T5"/>
                </a:cxn>
                <a:cxn ang="T13">
                  <a:pos x="T6" y="T7"/>
                </a:cxn>
                <a:cxn ang="T14">
                  <a:pos x="T8" y="T9"/>
                </a:cxn>
              </a:cxnLst>
              <a:rect l="T15" t="T16" r="T17" b="T18"/>
              <a:pathLst>
                <a:path w="62" h="42">
                  <a:moveTo>
                    <a:pt x="0" y="42"/>
                  </a:moveTo>
                  <a:lnTo>
                    <a:pt x="42" y="0"/>
                  </a:lnTo>
                  <a:lnTo>
                    <a:pt x="62" y="0"/>
                  </a:lnTo>
                  <a:lnTo>
                    <a:pt x="23" y="42"/>
                  </a:lnTo>
                  <a:lnTo>
                    <a:pt x="0" y="42"/>
                  </a:lnTo>
                  <a:close/>
                </a:path>
              </a:pathLst>
            </a:custGeom>
            <a:gradFill rotWithShape="1">
              <a:gsLst>
                <a:gs pos="0">
                  <a:srgbClr val="69FFFF"/>
                </a:gs>
                <a:gs pos="100000">
                  <a:srgbClr val="CCFFCC"/>
                </a:gs>
              </a:gsLst>
              <a:lin ang="0" scaled="1"/>
            </a:gradFill>
            <a:ln w="9525">
              <a:solidFill>
                <a:srgbClr val="000000"/>
              </a:solidFill>
              <a:round/>
              <a:headEnd/>
              <a:tailEnd/>
            </a:ln>
          </xdr:spPr>
        </xdr:sp>
        <xdr:sp macro="" textlink="">
          <xdr:nvSpPr>
            <xdr:cNvPr id="11359" name="Freeform 188"/>
            <xdr:cNvSpPr>
              <a:spLocks/>
            </xdr:cNvSpPr>
          </xdr:nvSpPr>
          <xdr:spPr bwMode="auto">
            <a:xfrm>
              <a:off x="889" y="720"/>
              <a:ext cx="23" cy="176"/>
            </a:xfrm>
            <a:custGeom>
              <a:avLst/>
              <a:gdLst>
                <a:gd name="T0" fmla="*/ 0 w 23"/>
                <a:gd name="T1" fmla="*/ 18 h 176"/>
                <a:gd name="T2" fmla="*/ 23 w 23"/>
                <a:gd name="T3" fmla="*/ 0 h 176"/>
                <a:gd name="T4" fmla="*/ 23 w 23"/>
                <a:gd name="T5" fmla="*/ 176 h 176"/>
                <a:gd name="T6" fmla="*/ 0 w 23"/>
                <a:gd name="T7" fmla="*/ 176 h 176"/>
                <a:gd name="T8" fmla="*/ 0 w 23"/>
                <a:gd name="T9" fmla="*/ 18 h 176"/>
                <a:gd name="T10" fmla="*/ 0 60000 65536"/>
                <a:gd name="T11" fmla="*/ 0 60000 65536"/>
                <a:gd name="T12" fmla="*/ 0 60000 65536"/>
                <a:gd name="T13" fmla="*/ 0 60000 65536"/>
                <a:gd name="T14" fmla="*/ 0 60000 65536"/>
                <a:gd name="T15" fmla="*/ 0 w 23"/>
                <a:gd name="T16" fmla="*/ 0 h 176"/>
                <a:gd name="T17" fmla="*/ 23 w 23"/>
                <a:gd name="T18" fmla="*/ 176 h 176"/>
              </a:gdLst>
              <a:ahLst/>
              <a:cxnLst>
                <a:cxn ang="T10">
                  <a:pos x="T0" y="T1"/>
                </a:cxn>
                <a:cxn ang="T11">
                  <a:pos x="T2" y="T3"/>
                </a:cxn>
                <a:cxn ang="T12">
                  <a:pos x="T4" y="T5"/>
                </a:cxn>
                <a:cxn ang="T13">
                  <a:pos x="T6" y="T7"/>
                </a:cxn>
                <a:cxn ang="T14">
                  <a:pos x="T8" y="T9"/>
                </a:cxn>
              </a:cxnLst>
              <a:rect l="T15" t="T16" r="T17" b="T18"/>
              <a:pathLst>
                <a:path w="23" h="176">
                  <a:moveTo>
                    <a:pt x="0" y="18"/>
                  </a:moveTo>
                  <a:lnTo>
                    <a:pt x="23" y="0"/>
                  </a:lnTo>
                  <a:lnTo>
                    <a:pt x="23" y="176"/>
                  </a:lnTo>
                  <a:lnTo>
                    <a:pt x="0" y="176"/>
                  </a:lnTo>
                  <a:lnTo>
                    <a:pt x="0" y="18"/>
                  </a:lnTo>
                  <a:close/>
                </a:path>
              </a:pathLst>
            </a:custGeom>
            <a:gradFill rotWithShape="1">
              <a:gsLst>
                <a:gs pos="0">
                  <a:srgbClr val="DDDDDD"/>
                </a:gs>
                <a:gs pos="100000">
                  <a:srgbClr val="666666"/>
                </a:gs>
              </a:gsLst>
              <a:lin ang="0" scaled="1"/>
            </a:gradFill>
            <a:ln w="9525">
              <a:solidFill>
                <a:srgbClr val="000000"/>
              </a:solidFill>
              <a:round/>
              <a:headEnd/>
              <a:tailEnd/>
            </a:ln>
          </xdr:spPr>
        </xdr:sp>
        <xdr:sp macro="" textlink="">
          <xdr:nvSpPr>
            <xdr:cNvPr id="11360" name="Line 189"/>
            <xdr:cNvSpPr>
              <a:spLocks noChangeShapeType="1"/>
            </xdr:cNvSpPr>
          </xdr:nvSpPr>
          <xdr:spPr bwMode="auto">
            <a:xfrm flipV="1">
              <a:off x="912" y="707"/>
              <a:ext cx="13" cy="13"/>
            </a:xfrm>
            <a:prstGeom prst="line">
              <a:avLst/>
            </a:prstGeom>
            <a:noFill/>
            <a:ln w="28575">
              <a:solidFill>
                <a:srgbClr val="A6CAF0"/>
              </a:solidFill>
              <a:round/>
              <a:headEnd/>
              <a:tailEnd/>
            </a:ln>
          </xdr:spPr>
        </xdr:sp>
        <xdr:sp macro="" textlink="">
          <xdr:nvSpPr>
            <xdr:cNvPr id="11361" name="Freeform 190"/>
            <xdr:cNvSpPr>
              <a:spLocks/>
            </xdr:cNvSpPr>
          </xdr:nvSpPr>
          <xdr:spPr bwMode="auto">
            <a:xfrm>
              <a:off x="923" y="697"/>
              <a:ext cx="27" cy="202"/>
            </a:xfrm>
            <a:custGeom>
              <a:avLst/>
              <a:gdLst>
                <a:gd name="T0" fmla="*/ 0 w 27"/>
                <a:gd name="T1" fmla="*/ 9 h 202"/>
                <a:gd name="T2" fmla="*/ 0 w 27"/>
                <a:gd name="T3" fmla="*/ 201 h 202"/>
                <a:gd name="T4" fmla="*/ 0 w 27"/>
                <a:gd name="T5" fmla="*/ 202 h 202"/>
                <a:gd name="T6" fmla="*/ 22 w 27"/>
                <a:gd name="T7" fmla="*/ 202 h 202"/>
                <a:gd name="T8" fmla="*/ 27 w 27"/>
                <a:gd name="T9" fmla="*/ 0 h 202"/>
                <a:gd name="T10" fmla="*/ 15 w 27"/>
                <a:gd name="T11" fmla="*/ 0 h 202"/>
                <a:gd name="T12" fmla="*/ 0 60000 65536"/>
                <a:gd name="T13" fmla="*/ 0 60000 65536"/>
                <a:gd name="T14" fmla="*/ 0 60000 65536"/>
                <a:gd name="T15" fmla="*/ 0 60000 65536"/>
                <a:gd name="T16" fmla="*/ 0 60000 65536"/>
                <a:gd name="T17" fmla="*/ 0 60000 65536"/>
                <a:gd name="T18" fmla="*/ 0 w 27"/>
                <a:gd name="T19" fmla="*/ 0 h 202"/>
                <a:gd name="T20" fmla="*/ 27 w 27"/>
                <a:gd name="T21" fmla="*/ 202 h 202"/>
              </a:gdLst>
              <a:ahLst/>
              <a:cxnLst>
                <a:cxn ang="T12">
                  <a:pos x="T0" y="T1"/>
                </a:cxn>
                <a:cxn ang="T13">
                  <a:pos x="T2" y="T3"/>
                </a:cxn>
                <a:cxn ang="T14">
                  <a:pos x="T4" y="T5"/>
                </a:cxn>
                <a:cxn ang="T15">
                  <a:pos x="T6" y="T7"/>
                </a:cxn>
                <a:cxn ang="T16">
                  <a:pos x="T8" y="T9"/>
                </a:cxn>
                <a:cxn ang="T17">
                  <a:pos x="T10" y="T11"/>
                </a:cxn>
              </a:cxnLst>
              <a:rect l="T18" t="T19" r="T20" b="T21"/>
              <a:pathLst>
                <a:path w="27" h="202">
                  <a:moveTo>
                    <a:pt x="0" y="9"/>
                  </a:moveTo>
                  <a:lnTo>
                    <a:pt x="0" y="201"/>
                  </a:lnTo>
                  <a:lnTo>
                    <a:pt x="0" y="202"/>
                  </a:lnTo>
                  <a:lnTo>
                    <a:pt x="22" y="202"/>
                  </a:lnTo>
                  <a:lnTo>
                    <a:pt x="27" y="0"/>
                  </a:lnTo>
                  <a:lnTo>
                    <a:pt x="15" y="0"/>
                  </a:lnTo>
                </a:path>
              </a:pathLst>
            </a:custGeom>
            <a:solidFill>
              <a:srgbClr val="336666"/>
            </a:solidFill>
            <a:ln w="9525">
              <a:noFill/>
              <a:round/>
              <a:headEnd/>
              <a:tailEnd/>
            </a:ln>
          </xdr:spPr>
        </xdr:sp>
        <xdr:sp macro="" textlink="">
          <xdr:nvSpPr>
            <xdr:cNvPr id="11362" name="Freeform 191"/>
            <xdr:cNvSpPr>
              <a:spLocks/>
            </xdr:cNvSpPr>
          </xdr:nvSpPr>
          <xdr:spPr bwMode="auto">
            <a:xfrm>
              <a:off x="911" y="707"/>
              <a:ext cx="13" cy="156"/>
            </a:xfrm>
            <a:custGeom>
              <a:avLst/>
              <a:gdLst>
                <a:gd name="T0" fmla="*/ 0 w 13"/>
                <a:gd name="T1" fmla="*/ 0 h 155"/>
                <a:gd name="T2" fmla="*/ 13 w 13"/>
                <a:gd name="T3" fmla="*/ 0 h 155"/>
                <a:gd name="T4" fmla="*/ 13 w 13"/>
                <a:gd name="T5" fmla="*/ 172 h 155"/>
                <a:gd name="T6" fmla="*/ 1 w 13"/>
                <a:gd name="T7" fmla="*/ 178 h 155"/>
                <a:gd name="T8" fmla="*/ 0 w 13"/>
                <a:gd name="T9" fmla="*/ 0 h 155"/>
                <a:gd name="T10" fmla="*/ 0 60000 65536"/>
                <a:gd name="T11" fmla="*/ 0 60000 65536"/>
                <a:gd name="T12" fmla="*/ 0 60000 65536"/>
                <a:gd name="T13" fmla="*/ 0 60000 65536"/>
                <a:gd name="T14" fmla="*/ 0 60000 65536"/>
                <a:gd name="T15" fmla="*/ 0 w 13"/>
                <a:gd name="T16" fmla="*/ 0 h 155"/>
                <a:gd name="T17" fmla="*/ 13 w 13"/>
                <a:gd name="T18" fmla="*/ 155 h 155"/>
              </a:gdLst>
              <a:ahLst/>
              <a:cxnLst>
                <a:cxn ang="T10">
                  <a:pos x="T0" y="T1"/>
                </a:cxn>
                <a:cxn ang="T11">
                  <a:pos x="T2" y="T3"/>
                </a:cxn>
                <a:cxn ang="T12">
                  <a:pos x="T4" y="T5"/>
                </a:cxn>
                <a:cxn ang="T13">
                  <a:pos x="T6" y="T7"/>
                </a:cxn>
                <a:cxn ang="T14">
                  <a:pos x="T8" y="T9"/>
                </a:cxn>
              </a:cxnLst>
              <a:rect l="T15" t="T16" r="T17" b="T18"/>
              <a:pathLst>
                <a:path w="13" h="155">
                  <a:moveTo>
                    <a:pt x="0" y="0"/>
                  </a:moveTo>
                  <a:lnTo>
                    <a:pt x="13" y="0"/>
                  </a:lnTo>
                  <a:lnTo>
                    <a:pt x="13" y="149"/>
                  </a:lnTo>
                  <a:lnTo>
                    <a:pt x="1" y="155"/>
                  </a:lnTo>
                  <a:lnTo>
                    <a:pt x="0" y="0"/>
                  </a:lnTo>
                  <a:close/>
                </a:path>
              </a:pathLst>
            </a:custGeom>
            <a:solidFill>
              <a:srgbClr val="99FF99"/>
            </a:solidFill>
            <a:ln w="9525">
              <a:noFill/>
              <a:round/>
              <a:headEnd/>
              <a:tailEnd/>
            </a:ln>
          </xdr:spPr>
        </xdr:sp>
        <xdr:sp macro="" textlink="">
          <xdr:nvSpPr>
            <xdr:cNvPr id="11363" name="Line 192"/>
            <xdr:cNvSpPr>
              <a:spLocks noChangeShapeType="1"/>
            </xdr:cNvSpPr>
          </xdr:nvSpPr>
          <xdr:spPr bwMode="auto">
            <a:xfrm>
              <a:off x="937" y="705"/>
              <a:ext cx="0" cy="187"/>
            </a:xfrm>
            <a:prstGeom prst="line">
              <a:avLst/>
            </a:prstGeom>
            <a:noFill/>
            <a:ln w="28575">
              <a:solidFill>
                <a:srgbClr val="A6CAF0"/>
              </a:solidFill>
              <a:round/>
              <a:headEnd/>
              <a:tailEnd/>
            </a:ln>
          </xdr:spPr>
        </xdr:sp>
        <xdr:sp macro="" textlink="">
          <xdr:nvSpPr>
            <xdr:cNvPr id="11364" name="Line 193"/>
            <xdr:cNvSpPr>
              <a:spLocks noChangeShapeType="1"/>
            </xdr:cNvSpPr>
          </xdr:nvSpPr>
          <xdr:spPr bwMode="auto">
            <a:xfrm>
              <a:off x="924" y="707"/>
              <a:ext cx="1" cy="152"/>
            </a:xfrm>
            <a:prstGeom prst="line">
              <a:avLst/>
            </a:prstGeom>
            <a:noFill/>
            <a:ln w="19050">
              <a:solidFill>
                <a:srgbClr val="A6CAF0"/>
              </a:solidFill>
              <a:round/>
              <a:headEnd/>
              <a:tailEnd/>
            </a:ln>
          </xdr:spPr>
        </xdr:sp>
        <xdr:sp macro="" textlink="">
          <xdr:nvSpPr>
            <xdr:cNvPr id="11365" name="Line 194"/>
            <xdr:cNvSpPr>
              <a:spLocks noChangeShapeType="1"/>
            </xdr:cNvSpPr>
          </xdr:nvSpPr>
          <xdr:spPr bwMode="auto">
            <a:xfrm>
              <a:off x="912" y="721"/>
              <a:ext cx="1" cy="152"/>
            </a:xfrm>
            <a:prstGeom prst="line">
              <a:avLst/>
            </a:prstGeom>
            <a:noFill/>
            <a:ln w="19050">
              <a:solidFill>
                <a:srgbClr val="00CCFF"/>
              </a:solidFill>
              <a:round/>
              <a:headEnd/>
              <a:tailEnd/>
            </a:ln>
          </xdr:spPr>
        </xdr:sp>
        <xdr:sp macro="" textlink="">
          <xdr:nvSpPr>
            <xdr:cNvPr id="11366" name="Freeform 195"/>
            <xdr:cNvSpPr>
              <a:spLocks/>
            </xdr:cNvSpPr>
          </xdr:nvSpPr>
          <xdr:spPr bwMode="auto">
            <a:xfrm>
              <a:off x="910" y="707"/>
              <a:ext cx="2" cy="15"/>
            </a:xfrm>
            <a:custGeom>
              <a:avLst/>
              <a:gdLst>
                <a:gd name="T0" fmla="*/ 2 w 2"/>
                <a:gd name="T1" fmla="*/ 15 h 15"/>
                <a:gd name="T2" fmla="*/ 0 w 2"/>
                <a:gd name="T3" fmla="*/ 11 h 15"/>
                <a:gd name="T4" fmla="*/ 0 w 2"/>
                <a:gd name="T5" fmla="*/ 0 h 15"/>
                <a:gd name="T6" fmla="*/ 0 60000 65536"/>
                <a:gd name="T7" fmla="*/ 0 60000 65536"/>
                <a:gd name="T8" fmla="*/ 0 60000 65536"/>
                <a:gd name="T9" fmla="*/ 0 w 2"/>
                <a:gd name="T10" fmla="*/ 0 h 15"/>
                <a:gd name="T11" fmla="*/ 2 w 2"/>
                <a:gd name="T12" fmla="*/ 15 h 15"/>
              </a:gdLst>
              <a:ahLst/>
              <a:cxnLst>
                <a:cxn ang="T6">
                  <a:pos x="T0" y="T1"/>
                </a:cxn>
                <a:cxn ang="T7">
                  <a:pos x="T2" y="T3"/>
                </a:cxn>
                <a:cxn ang="T8">
                  <a:pos x="T4" y="T5"/>
                </a:cxn>
              </a:cxnLst>
              <a:rect l="T9" t="T10" r="T11" b="T12"/>
              <a:pathLst>
                <a:path w="2" h="15">
                  <a:moveTo>
                    <a:pt x="2" y="15"/>
                  </a:moveTo>
                  <a:lnTo>
                    <a:pt x="0" y="11"/>
                  </a:lnTo>
                  <a:lnTo>
                    <a:pt x="0" y="0"/>
                  </a:lnTo>
                </a:path>
              </a:pathLst>
            </a:custGeom>
            <a:noFill/>
            <a:ln w="19050" cmpd="sng">
              <a:solidFill>
                <a:srgbClr val="00CCFF"/>
              </a:solidFill>
              <a:round/>
              <a:headEnd/>
              <a:tailEnd/>
            </a:ln>
          </xdr:spPr>
        </xdr:sp>
        <xdr:sp macro="" textlink="">
          <xdr:nvSpPr>
            <xdr:cNvPr id="11367" name="Line 196"/>
            <xdr:cNvSpPr>
              <a:spLocks noChangeShapeType="1"/>
            </xdr:cNvSpPr>
          </xdr:nvSpPr>
          <xdr:spPr bwMode="auto">
            <a:xfrm>
              <a:off x="908" y="706"/>
              <a:ext cx="0" cy="0"/>
            </a:xfrm>
            <a:prstGeom prst="line">
              <a:avLst/>
            </a:prstGeom>
            <a:noFill/>
            <a:ln w="9525">
              <a:solidFill>
                <a:srgbClr val="000000"/>
              </a:solidFill>
              <a:round/>
              <a:headEnd/>
              <a:tailEnd/>
            </a:ln>
          </xdr:spPr>
        </xdr:sp>
        <xdr:sp macro="" textlink="">
          <xdr:nvSpPr>
            <xdr:cNvPr id="11368" name="Freeform 197"/>
            <xdr:cNvSpPr>
              <a:spLocks/>
            </xdr:cNvSpPr>
          </xdr:nvSpPr>
          <xdr:spPr bwMode="auto">
            <a:xfrm>
              <a:off x="903" y="656"/>
              <a:ext cx="73" cy="67"/>
            </a:xfrm>
            <a:custGeom>
              <a:avLst/>
              <a:gdLst>
                <a:gd name="T0" fmla="*/ 0 w 73"/>
                <a:gd name="T1" fmla="*/ 67 h 67"/>
                <a:gd name="T2" fmla="*/ 0 w 73"/>
                <a:gd name="T3" fmla="*/ 65 h 67"/>
                <a:gd name="T4" fmla="*/ 2 w 73"/>
                <a:gd name="T5" fmla="*/ 63 h 67"/>
                <a:gd name="T6" fmla="*/ 4 w 73"/>
                <a:gd name="T7" fmla="*/ 61 h 67"/>
                <a:gd name="T8" fmla="*/ 4 w 73"/>
                <a:gd name="T9" fmla="*/ 48 h 67"/>
                <a:gd name="T10" fmla="*/ 25 w 73"/>
                <a:gd name="T11" fmla="*/ 48 h 67"/>
                <a:gd name="T12" fmla="*/ 73 w 73"/>
                <a:gd name="T13" fmla="*/ 0 h 67"/>
                <a:gd name="T14" fmla="*/ 73 w 73"/>
                <a:gd name="T15" fmla="*/ 2 h 67"/>
                <a:gd name="T16" fmla="*/ 25 w 73"/>
                <a:gd name="T17" fmla="*/ 50 h 67"/>
                <a:gd name="T18" fmla="*/ 6 w 73"/>
                <a:gd name="T19" fmla="*/ 50 h 67"/>
                <a:gd name="T20" fmla="*/ 6 w 73"/>
                <a:gd name="T21" fmla="*/ 63 h 67"/>
                <a:gd name="T22" fmla="*/ 4 w 73"/>
                <a:gd name="T23" fmla="*/ 64 h 67"/>
                <a:gd name="T24" fmla="*/ 0 w 73"/>
                <a:gd name="T25" fmla="*/ 67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3"/>
                <a:gd name="T40" fmla="*/ 0 h 67"/>
                <a:gd name="T41" fmla="*/ 73 w 73"/>
                <a:gd name="T42" fmla="*/ 67 h 6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3" h="67">
                  <a:moveTo>
                    <a:pt x="0" y="67"/>
                  </a:moveTo>
                  <a:lnTo>
                    <a:pt x="0" y="65"/>
                  </a:lnTo>
                  <a:lnTo>
                    <a:pt x="2" y="63"/>
                  </a:lnTo>
                  <a:lnTo>
                    <a:pt x="4" y="61"/>
                  </a:lnTo>
                  <a:lnTo>
                    <a:pt x="4" y="48"/>
                  </a:lnTo>
                  <a:lnTo>
                    <a:pt x="25" y="48"/>
                  </a:lnTo>
                  <a:lnTo>
                    <a:pt x="73" y="0"/>
                  </a:lnTo>
                  <a:lnTo>
                    <a:pt x="73" y="2"/>
                  </a:lnTo>
                  <a:lnTo>
                    <a:pt x="25" y="50"/>
                  </a:lnTo>
                  <a:lnTo>
                    <a:pt x="6" y="50"/>
                  </a:lnTo>
                  <a:lnTo>
                    <a:pt x="6" y="63"/>
                  </a:lnTo>
                  <a:lnTo>
                    <a:pt x="4" y="64"/>
                  </a:lnTo>
                  <a:lnTo>
                    <a:pt x="0" y="67"/>
                  </a:lnTo>
                  <a:close/>
                </a:path>
              </a:pathLst>
            </a:custGeom>
            <a:solidFill>
              <a:srgbClr val="00CCFF"/>
            </a:solidFill>
            <a:ln w="6350" cmpd="sng">
              <a:solidFill>
                <a:srgbClr val="000000"/>
              </a:solidFill>
              <a:round/>
              <a:headEnd/>
              <a:tailEnd/>
            </a:ln>
          </xdr:spPr>
        </xdr:sp>
        <xdr:grpSp>
          <xdr:nvGrpSpPr>
            <xdr:cNvPr id="11369" name="Group 198"/>
            <xdr:cNvGrpSpPr>
              <a:grpSpLocks/>
            </xdr:cNvGrpSpPr>
          </xdr:nvGrpSpPr>
          <xdr:grpSpPr bwMode="auto">
            <a:xfrm>
              <a:off x="912" y="652"/>
              <a:ext cx="65" cy="47"/>
              <a:chOff x="112" y="627"/>
              <a:chExt cx="65" cy="47"/>
            </a:xfrm>
          </xdr:grpSpPr>
          <xdr:sp macro="" textlink="">
            <xdr:nvSpPr>
              <xdr:cNvPr id="11376" name="Freeform 199"/>
              <xdr:cNvSpPr>
                <a:spLocks/>
              </xdr:cNvSpPr>
            </xdr:nvSpPr>
            <xdr:spPr bwMode="auto">
              <a:xfrm>
                <a:off x="112" y="627"/>
                <a:ext cx="65" cy="41"/>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Lst>
                <a:ahLst/>
                <a:cxnLst>
                  <a:cxn ang="T10">
                    <a:pos x="T0" y="T1"/>
                  </a:cxn>
                  <a:cxn ang="T11">
                    <a:pos x="T2" y="T3"/>
                  </a:cxn>
                  <a:cxn ang="T12">
                    <a:pos x="T4" y="T5"/>
                  </a:cxn>
                  <a:cxn ang="T13">
                    <a:pos x="T6" y="T7"/>
                  </a:cxn>
                  <a:cxn ang="T14">
                    <a:pos x="T8" y="T9"/>
                  </a:cxn>
                </a:cxnLst>
                <a:rect l="T15" t="T16" r="T17" b="T18"/>
                <a:pathLst>
                  <a:path w="65" h="41">
                    <a:moveTo>
                      <a:pt x="24" y="41"/>
                    </a:moveTo>
                    <a:lnTo>
                      <a:pt x="0" y="41"/>
                    </a:lnTo>
                    <a:lnTo>
                      <a:pt x="41" y="0"/>
                    </a:lnTo>
                    <a:lnTo>
                      <a:pt x="65" y="0"/>
                    </a:lnTo>
                    <a:lnTo>
                      <a:pt x="24" y="41"/>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11377" name="Freeform 200"/>
              <xdr:cNvSpPr>
                <a:spLocks/>
              </xdr:cNvSpPr>
            </xdr:nvSpPr>
            <xdr:spPr bwMode="auto">
              <a:xfrm>
                <a:off x="112" y="627"/>
                <a:ext cx="65" cy="47"/>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5" h="47">
                    <a:moveTo>
                      <a:pt x="0" y="41"/>
                    </a:moveTo>
                    <a:lnTo>
                      <a:pt x="0" y="47"/>
                    </a:lnTo>
                    <a:lnTo>
                      <a:pt x="3" y="44"/>
                    </a:lnTo>
                    <a:lnTo>
                      <a:pt x="24" y="44"/>
                    </a:lnTo>
                    <a:lnTo>
                      <a:pt x="65" y="3"/>
                    </a:lnTo>
                    <a:lnTo>
                      <a:pt x="65" y="0"/>
                    </a:lnTo>
                    <a:lnTo>
                      <a:pt x="24" y="41"/>
                    </a:lnTo>
                    <a:lnTo>
                      <a:pt x="0" y="41"/>
                    </a:lnTo>
                    <a:close/>
                  </a:path>
                </a:pathLst>
              </a:custGeom>
              <a:solidFill>
                <a:srgbClr val="808080"/>
              </a:solidFill>
              <a:ln w="6350" cmpd="sng">
                <a:solidFill>
                  <a:srgbClr val="000000"/>
                </a:solidFill>
                <a:round/>
                <a:headEnd/>
                <a:tailEnd/>
              </a:ln>
            </xdr:spPr>
          </xdr:sp>
        </xdr:grpSp>
        <xdr:sp macro="" textlink="">
          <xdr:nvSpPr>
            <xdr:cNvPr id="11370" name="Line 201"/>
            <xdr:cNvSpPr>
              <a:spLocks noChangeShapeType="1"/>
            </xdr:cNvSpPr>
          </xdr:nvSpPr>
          <xdr:spPr bwMode="auto">
            <a:xfrm>
              <a:off x="936" y="693"/>
              <a:ext cx="0" cy="3"/>
            </a:xfrm>
            <a:prstGeom prst="line">
              <a:avLst/>
            </a:prstGeom>
            <a:noFill/>
            <a:ln w="9525">
              <a:solidFill>
                <a:srgbClr val="000000"/>
              </a:solidFill>
              <a:round/>
              <a:headEnd/>
              <a:tailEnd/>
            </a:ln>
          </xdr:spPr>
        </xdr:sp>
        <xdr:sp macro="" textlink="">
          <xdr:nvSpPr>
            <xdr:cNvPr id="11371" name="Line 202"/>
            <xdr:cNvSpPr>
              <a:spLocks noChangeShapeType="1"/>
            </xdr:cNvSpPr>
          </xdr:nvSpPr>
          <xdr:spPr bwMode="auto">
            <a:xfrm flipV="1">
              <a:off x="913" y="711"/>
              <a:ext cx="11" cy="11"/>
            </a:xfrm>
            <a:prstGeom prst="line">
              <a:avLst/>
            </a:prstGeom>
            <a:noFill/>
            <a:ln w="19050">
              <a:solidFill>
                <a:srgbClr val="A6CAF0"/>
              </a:solidFill>
              <a:round/>
              <a:headEnd/>
              <a:tailEnd/>
            </a:ln>
          </xdr:spPr>
        </xdr:sp>
        <xdr:sp macro="" textlink="">
          <xdr:nvSpPr>
            <xdr:cNvPr id="11372" name="Line 203"/>
            <xdr:cNvSpPr>
              <a:spLocks noChangeShapeType="1"/>
            </xdr:cNvSpPr>
          </xdr:nvSpPr>
          <xdr:spPr bwMode="auto">
            <a:xfrm flipV="1">
              <a:off x="909" y="707"/>
              <a:ext cx="12" cy="13"/>
            </a:xfrm>
            <a:prstGeom prst="line">
              <a:avLst/>
            </a:prstGeom>
            <a:noFill/>
            <a:ln w="19050">
              <a:solidFill>
                <a:srgbClr val="A6CAF0"/>
              </a:solidFill>
              <a:round/>
              <a:headEnd/>
              <a:tailEnd/>
            </a:ln>
          </xdr:spPr>
        </xdr:sp>
        <xdr:sp macro="" textlink="">
          <xdr:nvSpPr>
            <xdr:cNvPr id="11373" name="Freeform 204"/>
            <xdr:cNvSpPr>
              <a:spLocks/>
            </xdr:cNvSpPr>
          </xdr:nvSpPr>
          <xdr:spPr bwMode="auto">
            <a:xfrm>
              <a:off x="909" y="658"/>
              <a:ext cx="67" cy="177"/>
            </a:xfrm>
            <a:custGeom>
              <a:avLst/>
              <a:gdLst>
                <a:gd name="T0" fmla="*/ 67 w 67"/>
                <a:gd name="T1" fmla="*/ 0 h 177"/>
                <a:gd name="T2" fmla="*/ 67 w 67"/>
                <a:gd name="T3" fmla="*/ 2 h 177"/>
                <a:gd name="T4" fmla="*/ 19 w 67"/>
                <a:gd name="T5" fmla="*/ 50 h 177"/>
                <a:gd name="T6" fmla="*/ 2 w 67"/>
                <a:gd name="T7" fmla="*/ 50 h 177"/>
                <a:gd name="T8" fmla="*/ 2 w 67"/>
                <a:gd name="T9" fmla="*/ 60 h 177"/>
                <a:gd name="T10" fmla="*/ 3 w 67"/>
                <a:gd name="T11" fmla="*/ 62 h 177"/>
                <a:gd name="T12" fmla="*/ 4 w 67"/>
                <a:gd name="T13" fmla="*/ 64 h 177"/>
                <a:gd name="T14" fmla="*/ 5 w 67"/>
                <a:gd name="T15" fmla="*/ 177 h 177"/>
                <a:gd name="T16" fmla="*/ 3 w 67"/>
                <a:gd name="T17" fmla="*/ 175 h 177"/>
                <a:gd name="T18" fmla="*/ 2 w 67"/>
                <a:gd name="T19" fmla="*/ 66 h 177"/>
                <a:gd name="T20" fmla="*/ 1 w 67"/>
                <a:gd name="T21" fmla="*/ 63 h 177"/>
                <a:gd name="T22" fmla="*/ 0 w 67"/>
                <a:gd name="T23" fmla="*/ 61 h 177"/>
                <a:gd name="T24" fmla="*/ 0 w 67"/>
                <a:gd name="T25" fmla="*/ 48 h 177"/>
                <a:gd name="T26" fmla="*/ 19 w 67"/>
                <a:gd name="T27" fmla="*/ 48 h 177"/>
                <a:gd name="T28" fmla="*/ 67 w 67"/>
                <a:gd name="T29" fmla="*/ 0 h 17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7"/>
                <a:gd name="T46" fmla="*/ 0 h 177"/>
                <a:gd name="T47" fmla="*/ 67 w 67"/>
                <a:gd name="T48" fmla="*/ 177 h 17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7" h="177">
                  <a:moveTo>
                    <a:pt x="67" y="0"/>
                  </a:moveTo>
                  <a:lnTo>
                    <a:pt x="67" y="2"/>
                  </a:lnTo>
                  <a:lnTo>
                    <a:pt x="19" y="50"/>
                  </a:lnTo>
                  <a:lnTo>
                    <a:pt x="2" y="50"/>
                  </a:lnTo>
                  <a:lnTo>
                    <a:pt x="2" y="60"/>
                  </a:lnTo>
                  <a:lnTo>
                    <a:pt x="3" y="62"/>
                  </a:lnTo>
                  <a:lnTo>
                    <a:pt x="4" y="64"/>
                  </a:lnTo>
                  <a:lnTo>
                    <a:pt x="5" y="177"/>
                  </a:lnTo>
                  <a:lnTo>
                    <a:pt x="3" y="175"/>
                  </a:lnTo>
                  <a:lnTo>
                    <a:pt x="2" y="66"/>
                  </a:lnTo>
                  <a:lnTo>
                    <a:pt x="1" y="63"/>
                  </a:lnTo>
                  <a:lnTo>
                    <a:pt x="0" y="61"/>
                  </a:lnTo>
                  <a:lnTo>
                    <a:pt x="0" y="48"/>
                  </a:lnTo>
                  <a:lnTo>
                    <a:pt x="19" y="48"/>
                  </a:lnTo>
                  <a:lnTo>
                    <a:pt x="67" y="0"/>
                  </a:lnTo>
                  <a:close/>
                </a:path>
              </a:pathLst>
            </a:custGeom>
            <a:solidFill>
              <a:srgbClr val="00CCFF"/>
            </a:solidFill>
            <a:ln w="6350" cmpd="sng">
              <a:solidFill>
                <a:srgbClr val="000000"/>
              </a:solidFill>
              <a:round/>
              <a:headEnd/>
              <a:tailEnd/>
            </a:ln>
          </xdr:spPr>
        </xdr:sp>
        <xdr:sp macro="" textlink="">
          <xdr:nvSpPr>
            <xdr:cNvPr id="11374" name="Line 205"/>
            <xdr:cNvSpPr>
              <a:spLocks noChangeShapeType="1"/>
            </xdr:cNvSpPr>
          </xdr:nvSpPr>
          <xdr:spPr bwMode="auto">
            <a:xfrm>
              <a:off x="960" y="706"/>
              <a:ext cx="0" cy="0"/>
            </a:xfrm>
            <a:prstGeom prst="line">
              <a:avLst/>
            </a:prstGeom>
            <a:noFill/>
            <a:ln w="9525">
              <a:solidFill>
                <a:srgbClr val="000000"/>
              </a:solidFill>
              <a:round/>
              <a:headEnd/>
              <a:tailEnd/>
            </a:ln>
          </xdr:spPr>
        </xdr:sp>
        <xdr:sp macro="" textlink="">
          <xdr:nvSpPr>
            <xdr:cNvPr id="11375" name="Freeform 206"/>
            <xdr:cNvSpPr>
              <a:spLocks/>
            </xdr:cNvSpPr>
          </xdr:nvSpPr>
          <xdr:spPr bwMode="auto">
            <a:xfrm>
              <a:off x="889" y="719"/>
              <a:ext cx="29" cy="19"/>
            </a:xfrm>
            <a:custGeom>
              <a:avLst/>
              <a:gdLst>
                <a:gd name="T0" fmla="*/ 29 w 29"/>
                <a:gd name="T1" fmla="*/ 16 h 19"/>
                <a:gd name="T2" fmla="*/ 25 w 29"/>
                <a:gd name="T3" fmla="*/ 19 h 19"/>
                <a:gd name="T4" fmla="*/ 0 w 29"/>
                <a:gd name="T5" fmla="*/ 19 h 19"/>
                <a:gd name="T6" fmla="*/ 19 w 29"/>
                <a:gd name="T7" fmla="*/ 0 h 19"/>
                <a:gd name="T8" fmla="*/ 21 w 29"/>
                <a:gd name="T9" fmla="*/ 2 h 19"/>
                <a:gd name="T10" fmla="*/ 21 w 29"/>
                <a:gd name="T11" fmla="*/ 4 h 19"/>
                <a:gd name="T12" fmla="*/ 8 w 29"/>
                <a:gd name="T13" fmla="*/ 16 h 19"/>
                <a:gd name="T14" fmla="*/ 29 w 29"/>
                <a:gd name="T15" fmla="*/ 16 h 19"/>
                <a:gd name="T16" fmla="*/ 0 60000 65536"/>
                <a:gd name="T17" fmla="*/ 0 60000 65536"/>
                <a:gd name="T18" fmla="*/ 0 60000 65536"/>
                <a:gd name="T19" fmla="*/ 0 60000 65536"/>
                <a:gd name="T20" fmla="*/ 0 60000 65536"/>
                <a:gd name="T21" fmla="*/ 0 60000 65536"/>
                <a:gd name="T22" fmla="*/ 0 60000 65536"/>
                <a:gd name="T23" fmla="*/ 0 60000 65536"/>
                <a:gd name="T24" fmla="*/ 0 w 29"/>
                <a:gd name="T25" fmla="*/ 0 h 19"/>
                <a:gd name="T26" fmla="*/ 29 w 29"/>
                <a:gd name="T27" fmla="*/ 19 h 1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9" h="19">
                  <a:moveTo>
                    <a:pt x="29" y="16"/>
                  </a:moveTo>
                  <a:lnTo>
                    <a:pt x="25" y="19"/>
                  </a:lnTo>
                  <a:lnTo>
                    <a:pt x="0" y="19"/>
                  </a:lnTo>
                  <a:lnTo>
                    <a:pt x="19" y="0"/>
                  </a:lnTo>
                  <a:lnTo>
                    <a:pt x="21" y="2"/>
                  </a:lnTo>
                  <a:lnTo>
                    <a:pt x="21" y="4"/>
                  </a:lnTo>
                  <a:lnTo>
                    <a:pt x="8" y="16"/>
                  </a:lnTo>
                  <a:lnTo>
                    <a:pt x="29" y="16"/>
                  </a:lnTo>
                  <a:close/>
                </a:path>
              </a:pathLst>
            </a:custGeom>
            <a:solidFill>
              <a:srgbClr val="C0C0C0"/>
            </a:solidFill>
            <a:ln w="9525">
              <a:solidFill>
                <a:srgbClr val="000000"/>
              </a:solidFill>
              <a:round/>
              <a:headEnd/>
              <a:tailEnd/>
            </a:ln>
          </xdr:spPr>
        </xdr:sp>
      </xdr:grpSp>
      <xdr:sp macro="" textlink="">
        <xdr:nvSpPr>
          <xdr:cNvPr id="11292" name="AutoShape 207"/>
          <xdr:cNvSpPr>
            <a:spLocks noChangeArrowheads="1"/>
          </xdr:cNvSpPr>
        </xdr:nvSpPr>
        <xdr:spPr bwMode="auto">
          <a:xfrm>
            <a:off x="4991100" y="2314575"/>
            <a:ext cx="809625" cy="1876425"/>
          </a:xfrm>
          <a:prstGeom prst="roundRect">
            <a:avLst>
              <a:gd name="adj" fmla="val 31394"/>
            </a:avLst>
          </a:prstGeom>
          <a:solidFill>
            <a:srgbClr val="BDFFFF"/>
          </a:solidFill>
          <a:ln w="9525">
            <a:noFill/>
            <a:round/>
            <a:headEnd/>
            <a:tailEnd/>
          </a:ln>
        </xdr:spPr>
      </xdr:sp>
      <xdr:sp macro="" textlink="">
        <xdr:nvSpPr>
          <xdr:cNvPr id="11293" name="Freeform 208"/>
          <xdr:cNvSpPr>
            <a:spLocks/>
          </xdr:cNvSpPr>
        </xdr:nvSpPr>
        <xdr:spPr bwMode="auto">
          <a:xfrm>
            <a:off x="2628900" y="2314575"/>
            <a:ext cx="809625" cy="1790700"/>
          </a:xfrm>
          <a:custGeom>
            <a:avLst/>
            <a:gdLst>
              <a:gd name="T0" fmla="*/ 2147483647 w 85"/>
              <a:gd name="T1" fmla="*/ 0 h 188"/>
              <a:gd name="T2" fmla="*/ 2147483647 w 85"/>
              <a:gd name="T3" fmla="*/ 2147483647 h 188"/>
              <a:gd name="T4" fmla="*/ 2147483647 w 85"/>
              <a:gd name="T5" fmla="*/ 2147483647 h 188"/>
              <a:gd name="T6" fmla="*/ 0 w 85"/>
              <a:gd name="T7" fmla="*/ 2147483647 h 188"/>
              <a:gd name="T8" fmla="*/ 0 w 85"/>
              <a:gd name="T9" fmla="*/ 2147483647 h 188"/>
              <a:gd name="T10" fmla="*/ 0 w 85"/>
              <a:gd name="T11" fmla="*/ 2147483647 h 188"/>
              <a:gd name="T12" fmla="*/ 0 w 85"/>
              <a:gd name="T13" fmla="*/ 2147483647 h 188"/>
              <a:gd name="T14" fmla="*/ 2147483647 w 85"/>
              <a:gd name="T15" fmla="*/ 2147483647 h 188"/>
              <a:gd name="T16" fmla="*/ 2147483647 w 85"/>
              <a:gd name="T17" fmla="*/ 2147483647 h 188"/>
              <a:gd name="T18" fmla="*/ 2147483647 w 85"/>
              <a:gd name="T19" fmla="*/ 2147483647 h 188"/>
              <a:gd name="T20" fmla="*/ 2147483647 w 85"/>
              <a:gd name="T21" fmla="*/ 2147483647 h 188"/>
              <a:gd name="T22" fmla="*/ 2147483647 w 85"/>
              <a:gd name="T23" fmla="*/ 0 h 18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85"/>
              <a:gd name="T37" fmla="*/ 0 h 188"/>
              <a:gd name="T38" fmla="*/ 85 w 85"/>
              <a:gd name="T39" fmla="*/ 188 h 18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85" h="188">
                <a:moveTo>
                  <a:pt x="84" y="0"/>
                </a:moveTo>
                <a:lnTo>
                  <a:pt x="85" y="168"/>
                </a:lnTo>
                <a:lnTo>
                  <a:pt x="1" y="188"/>
                </a:lnTo>
                <a:lnTo>
                  <a:pt x="0" y="96"/>
                </a:lnTo>
                <a:lnTo>
                  <a:pt x="0" y="49"/>
                </a:lnTo>
                <a:lnTo>
                  <a:pt x="0" y="34"/>
                </a:lnTo>
                <a:lnTo>
                  <a:pt x="0" y="18"/>
                </a:lnTo>
                <a:lnTo>
                  <a:pt x="2" y="9"/>
                </a:lnTo>
                <a:lnTo>
                  <a:pt x="12" y="3"/>
                </a:lnTo>
                <a:lnTo>
                  <a:pt x="20" y="1"/>
                </a:lnTo>
                <a:lnTo>
                  <a:pt x="32" y="1"/>
                </a:lnTo>
                <a:lnTo>
                  <a:pt x="84" y="0"/>
                </a:lnTo>
                <a:close/>
              </a:path>
            </a:pathLst>
          </a:custGeom>
          <a:solidFill>
            <a:srgbClr val="BDFFFF"/>
          </a:solidFill>
          <a:ln w="9525">
            <a:noFill/>
            <a:round/>
            <a:headEnd/>
            <a:tailEnd/>
          </a:ln>
        </xdr:spPr>
      </xdr:sp>
      <xdr:sp macro="" textlink="">
        <xdr:nvSpPr>
          <xdr:cNvPr id="11294" name="AutoShape 209"/>
          <xdr:cNvSpPr>
            <a:spLocks noChangeArrowheads="1"/>
          </xdr:cNvSpPr>
        </xdr:nvSpPr>
        <xdr:spPr bwMode="auto">
          <a:xfrm>
            <a:off x="2628900" y="3609975"/>
            <a:ext cx="3171825" cy="1952625"/>
          </a:xfrm>
          <a:prstGeom prst="roundRect">
            <a:avLst>
              <a:gd name="adj" fmla="val 11218"/>
            </a:avLst>
          </a:prstGeom>
          <a:gradFill rotWithShape="1">
            <a:gsLst>
              <a:gs pos="0">
                <a:srgbClr val="B3FFFF"/>
              </a:gs>
              <a:gs pos="100000">
                <a:srgbClr val="A6CAF0"/>
              </a:gs>
            </a:gsLst>
            <a:lin ang="5400000" scaled="1"/>
          </a:gradFill>
          <a:ln w="9525">
            <a:noFill/>
            <a:round/>
            <a:headEnd/>
            <a:tailEnd/>
          </a:ln>
        </xdr:spPr>
      </xdr:sp>
      <xdr:sp macro="" textlink="">
        <xdr:nvSpPr>
          <xdr:cNvPr id="11295" name="Freeform 210"/>
          <xdr:cNvSpPr>
            <a:spLocks/>
          </xdr:cNvSpPr>
        </xdr:nvSpPr>
        <xdr:spPr bwMode="auto">
          <a:xfrm>
            <a:off x="3295650" y="1476375"/>
            <a:ext cx="2724150" cy="1038225"/>
          </a:xfrm>
          <a:custGeom>
            <a:avLst/>
            <a:gdLst>
              <a:gd name="T0" fmla="*/ 2147483647 w 286"/>
              <a:gd name="T1" fmla="*/ 2147483647 h 109"/>
              <a:gd name="T2" fmla="*/ 2147483647 w 286"/>
              <a:gd name="T3" fmla="*/ 2147483647 h 109"/>
              <a:gd name="T4" fmla="*/ 2147483647 w 286"/>
              <a:gd name="T5" fmla="*/ 2147483647 h 109"/>
              <a:gd name="T6" fmla="*/ 2147483647 w 286"/>
              <a:gd name="T7" fmla="*/ 2147483647 h 109"/>
              <a:gd name="T8" fmla="*/ 2147483647 w 286"/>
              <a:gd name="T9" fmla="*/ 2147483647 h 109"/>
              <a:gd name="T10" fmla="*/ 2147483647 w 286"/>
              <a:gd name="T11" fmla="*/ 2147483647 h 109"/>
              <a:gd name="T12" fmla="*/ 2147483647 w 286"/>
              <a:gd name="T13" fmla="*/ 2147483647 h 109"/>
              <a:gd name="T14" fmla="*/ 2147483647 w 286"/>
              <a:gd name="T15" fmla="*/ 2147483647 h 109"/>
              <a:gd name="T16" fmla="*/ 2147483647 w 286"/>
              <a:gd name="T17" fmla="*/ 2147483647 h 109"/>
              <a:gd name="T18" fmla="*/ 2147483647 w 286"/>
              <a:gd name="T19" fmla="*/ 2147483647 h 109"/>
              <a:gd name="T20" fmla="*/ 2147483647 w 286"/>
              <a:gd name="T21" fmla="*/ 2147483647 h 109"/>
              <a:gd name="T22" fmla="*/ 2147483647 w 286"/>
              <a:gd name="T23" fmla="*/ 2147483647 h 109"/>
              <a:gd name="T24" fmla="*/ 2147483647 w 286"/>
              <a:gd name="T25" fmla="*/ 0 h 109"/>
              <a:gd name="T26" fmla="*/ 2147483647 w 286"/>
              <a:gd name="T27" fmla="*/ 2147483647 h 109"/>
              <a:gd name="T28" fmla="*/ 0 w 286"/>
              <a:gd name="T29" fmla="*/ 2147483647 h 10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86"/>
              <a:gd name="T46" fmla="*/ 0 h 109"/>
              <a:gd name="T47" fmla="*/ 286 w 286"/>
              <a:gd name="T48" fmla="*/ 109 h 109"/>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86" h="109">
                <a:moveTo>
                  <a:pt x="9" y="82"/>
                </a:moveTo>
                <a:lnTo>
                  <a:pt x="12" y="92"/>
                </a:lnTo>
                <a:lnTo>
                  <a:pt x="23" y="83"/>
                </a:lnTo>
                <a:lnTo>
                  <a:pt x="38" y="69"/>
                </a:lnTo>
                <a:lnTo>
                  <a:pt x="91" y="17"/>
                </a:lnTo>
                <a:lnTo>
                  <a:pt x="226" y="22"/>
                </a:lnTo>
                <a:lnTo>
                  <a:pt x="174" y="88"/>
                </a:lnTo>
                <a:lnTo>
                  <a:pt x="180" y="90"/>
                </a:lnTo>
                <a:lnTo>
                  <a:pt x="178" y="109"/>
                </a:lnTo>
                <a:lnTo>
                  <a:pt x="242" y="101"/>
                </a:lnTo>
                <a:lnTo>
                  <a:pt x="286" y="23"/>
                </a:lnTo>
                <a:lnTo>
                  <a:pt x="279" y="6"/>
                </a:lnTo>
                <a:lnTo>
                  <a:pt x="105" y="0"/>
                </a:lnTo>
                <a:lnTo>
                  <a:pt x="40" y="7"/>
                </a:lnTo>
                <a:lnTo>
                  <a:pt x="0" y="82"/>
                </a:lnTo>
              </a:path>
            </a:pathLst>
          </a:custGeom>
          <a:solidFill>
            <a:srgbClr val="BDFFFF"/>
          </a:solidFill>
          <a:ln w="9525">
            <a:noFill/>
            <a:round/>
            <a:headEnd/>
            <a:tailEnd/>
          </a:ln>
        </xdr:spPr>
      </xdr:sp>
      <xdr:sp macro="" textlink="">
        <xdr:nvSpPr>
          <xdr:cNvPr id="11296" name="Line 211"/>
          <xdr:cNvSpPr>
            <a:spLocks noChangeShapeType="1"/>
          </xdr:cNvSpPr>
        </xdr:nvSpPr>
        <xdr:spPr bwMode="auto">
          <a:xfrm flipV="1">
            <a:off x="5657850" y="495300"/>
            <a:ext cx="1743075" cy="1771650"/>
          </a:xfrm>
          <a:prstGeom prst="line">
            <a:avLst/>
          </a:prstGeom>
          <a:noFill/>
          <a:ln w="28575">
            <a:solidFill>
              <a:srgbClr val="66FFFF"/>
            </a:solidFill>
            <a:round/>
            <a:headEnd/>
            <a:tailEnd/>
          </a:ln>
        </xdr:spPr>
      </xdr:sp>
      <xdr:sp macro="" textlink="">
        <xdr:nvSpPr>
          <xdr:cNvPr id="11297" name="Freeform 212"/>
          <xdr:cNvSpPr>
            <a:spLocks/>
          </xdr:cNvSpPr>
        </xdr:nvSpPr>
        <xdr:spPr bwMode="auto">
          <a:xfrm>
            <a:off x="3429000" y="1638300"/>
            <a:ext cx="2009775" cy="1971675"/>
          </a:xfrm>
          <a:custGeom>
            <a:avLst/>
            <a:gdLst>
              <a:gd name="T0" fmla="*/ 2147483647 w 211"/>
              <a:gd name="T1" fmla="*/ 2147483647 h 207"/>
              <a:gd name="T2" fmla="*/ 2147483647 w 211"/>
              <a:gd name="T3" fmla="*/ 2147483647 h 207"/>
              <a:gd name="T4" fmla="*/ 2147483647 w 211"/>
              <a:gd name="T5" fmla="*/ 2147483647 h 207"/>
              <a:gd name="T6" fmla="*/ 2147483647 w 211"/>
              <a:gd name="T7" fmla="*/ 2147483647 h 207"/>
              <a:gd name="T8" fmla="*/ 2147483647 w 211"/>
              <a:gd name="T9" fmla="*/ 0 h 207"/>
              <a:gd name="T10" fmla="*/ 0 w 211"/>
              <a:gd name="T11" fmla="*/ 2147483647 h 207"/>
              <a:gd name="T12" fmla="*/ 2147483647 w 211"/>
              <a:gd name="T13" fmla="*/ 2147483647 h 207"/>
              <a:gd name="T14" fmla="*/ 0 60000 65536"/>
              <a:gd name="T15" fmla="*/ 0 60000 65536"/>
              <a:gd name="T16" fmla="*/ 0 60000 65536"/>
              <a:gd name="T17" fmla="*/ 0 60000 65536"/>
              <a:gd name="T18" fmla="*/ 0 60000 65536"/>
              <a:gd name="T19" fmla="*/ 0 60000 65536"/>
              <a:gd name="T20" fmla="*/ 0 60000 65536"/>
              <a:gd name="T21" fmla="*/ 0 w 211"/>
              <a:gd name="T22" fmla="*/ 0 h 207"/>
              <a:gd name="T23" fmla="*/ 211 w 211"/>
              <a:gd name="T24" fmla="*/ 207 h 20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1" h="207">
                <a:moveTo>
                  <a:pt x="2" y="207"/>
                </a:moveTo>
                <a:lnTo>
                  <a:pt x="164" y="207"/>
                </a:lnTo>
                <a:lnTo>
                  <a:pt x="162" y="71"/>
                </a:lnTo>
                <a:lnTo>
                  <a:pt x="211" y="5"/>
                </a:lnTo>
                <a:lnTo>
                  <a:pt x="77" y="0"/>
                </a:lnTo>
                <a:lnTo>
                  <a:pt x="0" y="74"/>
                </a:lnTo>
                <a:lnTo>
                  <a:pt x="2" y="207"/>
                </a:lnTo>
                <a:close/>
              </a:path>
            </a:pathLst>
          </a:custGeom>
          <a:noFill/>
          <a:ln w="19050" cmpd="sng">
            <a:solidFill>
              <a:srgbClr val="000000"/>
            </a:solidFill>
            <a:round/>
            <a:headEnd/>
            <a:tailEnd/>
          </a:ln>
        </xdr:spPr>
      </xdr:sp>
      <xdr:sp macro="" textlink="">
        <xdr:nvSpPr>
          <xdr:cNvPr id="11298" name="Freeform 213"/>
          <xdr:cNvSpPr>
            <a:spLocks/>
          </xdr:cNvSpPr>
        </xdr:nvSpPr>
        <xdr:spPr bwMode="auto">
          <a:xfrm>
            <a:off x="3371850" y="2266950"/>
            <a:ext cx="123825" cy="47625"/>
          </a:xfrm>
          <a:custGeom>
            <a:avLst/>
            <a:gdLst>
              <a:gd name="T0" fmla="*/ 2147483647 w 13"/>
              <a:gd name="T1" fmla="*/ 2147483647 h 5"/>
              <a:gd name="T2" fmla="*/ 2147483647 w 13"/>
              <a:gd name="T3" fmla="*/ 2147483647 h 5"/>
              <a:gd name="T4" fmla="*/ 2147483647 w 13"/>
              <a:gd name="T5" fmla="*/ 0 h 5"/>
              <a:gd name="T6" fmla="*/ 0 w 13"/>
              <a:gd name="T7" fmla="*/ 0 h 5"/>
              <a:gd name="T8" fmla="*/ 2147483647 w 13"/>
              <a:gd name="T9" fmla="*/ 2147483647 h 5"/>
              <a:gd name="T10" fmla="*/ 0 60000 65536"/>
              <a:gd name="T11" fmla="*/ 0 60000 65536"/>
              <a:gd name="T12" fmla="*/ 0 60000 65536"/>
              <a:gd name="T13" fmla="*/ 0 60000 65536"/>
              <a:gd name="T14" fmla="*/ 0 60000 65536"/>
              <a:gd name="T15" fmla="*/ 0 w 13"/>
              <a:gd name="T16" fmla="*/ 0 h 5"/>
              <a:gd name="T17" fmla="*/ 13 w 13"/>
              <a:gd name="T18" fmla="*/ 5 h 5"/>
            </a:gdLst>
            <a:ahLst/>
            <a:cxnLst>
              <a:cxn ang="T10">
                <a:pos x="T0" y="T1"/>
              </a:cxn>
              <a:cxn ang="T11">
                <a:pos x="T2" y="T3"/>
              </a:cxn>
              <a:cxn ang="T12">
                <a:pos x="T4" y="T5"/>
              </a:cxn>
              <a:cxn ang="T13">
                <a:pos x="T6" y="T7"/>
              </a:cxn>
              <a:cxn ang="T14">
                <a:pos x="T8" y="T9"/>
              </a:cxn>
            </a:cxnLst>
            <a:rect l="T15" t="T16" r="T17" b="T18"/>
            <a:pathLst>
              <a:path w="13" h="5">
                <a:moveTo>
                  <a:pt x="2" y="5"/>
                </a:moveTo>
                <a:lnTo>
                  <a:pt x="10" y="5"/>
                </a:lnTo>
                <a:lnTo>
                  <a:pt x="13" y="0"/>
                </a:lnTo>
                <a:lnTo>
                  <a:pt x="0" y="0"/>
                </a:lnTo>
                <a:lnTo>
                  <a:pt x="2" y="5"/>
                </a:lnTo>
                <a:close/>
              </a:path>
            </a:pathLst>
          </a:custGeom>
          <a:solidFill>
            <a:srgbClr val="66FFCC"/>
          </a:solidFill>
          <a:ln w="9525">
            <a:noFill/>
            <a:round/>
            <a:headEnd/>
            <a:tailEnd/>
          </a:ln>
        </xdr:spPr>
      </xdr:sp>
      <xdr:sp macro="" textlink="">
        <xdr:nvSpPr>
          <xdr:cNvPr id="11299" name="Freeform 214"/>
          <xdr:cNvSpPr>
            <a:spLocks/>
          </xdr:cNvSpPr>
        </xdr:nvSpPr>
        <xdr:spPr bwMode="auto">
          <a:xfrm>
            <a:off x="3352800" y="2266950"/>
            <a:ext cx="152400" cy="47625"/>
          </a:xfrm>
          <a:custGeom>
            <a:avLst/>
            <a:gdLst>
              <a:gd name="T0" fmla="*/ 2147483647 w 16"/>
              <a:gd name="T1" fmla="*/ 2147483647 h 5"/>
              <a:gd name="T2" fmla="*/ 2147483647 w 16"/>
              <a:gd name="T3" fmla="*/ 2147483647 h 5"/>
              <a:gd name="T4" fmla="*/ 2147483647 w 16"/>
              <a:gd name="T5" fmla="*/ 0 h 5"/>
              <a:gd name="T6" fmla="*/ 0 w 16"/>
              <a:gd name="T7" fmla="*/ 0 h 5"/>
              <a:gd name="T8" fmla="*/ 0 60000 65536"/>
              <a:gd name="T9" fmla="*/ 0 60000 65536"/>
              <a:gd name="T10" fmla="*/ 0 60000 65536"/>
              <a:gd name="T11" fmla="*/ 0 60000 65536"/>
              <a:gd name="T12" fmla="*/ 0 w 16"/>
              <a:gd name="T13" fmla="*/ 0 h 5"/>
              <a:gd name="T14" fmla="*/ 16 w 16"/>
              <a:gd name="T15" fmla="*/ 5 h 5"/>
            </a:gdLst>
            <a:ahLst/>
            <a:cxnLst>
              <a:cxn ang="T8">
                <a:pos x="T0" y="T1"/>
              </a:cxn>
              <a:cxn ang="T9">
                <a:pos x="T2" y="T3"/>
              </a:cxn>
              <a:cxn ang="T10">
                <a:pos x="T4" y="T5"/>
              </a:cxn>
              <a:cxn ang="T11">
                <a:pos x="T6" y="T7"/>
              </a:cxn>
            </a:cxnLst>
            <a:rect l="T12" t="T13" r="T14" b="T15"/>
            <a:pathLst>
              <a:path w="16" h="5">
                <a:moveTo>
                  <a:pt x="3" y="5"/>
                </a:moveTo>
                <a:lnTo>
                  <a:pt x="12" y="5"/>
                </a:lnTo>
                <a:lnTo>
                  <a:pt x="16" y="0"/>
                </a:lnTo>
                <a:lnTo>
                  <a:pt x="0" y="0"/>
                </a:lnTo>
              </a:path>
            </a:pathLst>
          </a:custGeom>
          <a:noFill/>
          <a:ln w="9525">
            <a:solidFill>
              <a:srgbClr val="000000"/>
            </a:solidFill>
            <a:round/>
            <a:headEnd/>
            <a:tailEnd/>
          </a:ln>
        </xdr:spPr>
      </xdr:sp>
      <xdr:sp macro="" textlink="">
        <xdr:nvSpPr>
          <xdr:cNvPr id="11300" name="Line 215"/>
          <xdr:cNvSpPr>
            <a:spLocks noChangeShapeType="1"/>
          </xdr:cNvSpPr>
        </xdr:nvSpPr>
        <xdr:spPr bwMode="auto">
          <a:xfrm flipH="1">
            <a:off x="3438525" y="2219325"/>
            <a:ext cx="123825" cy="114300"/>
          </a:xfrm>
          <a:prstGeom prst="line">
            <a:avLst/>
          </a:prstGeom>
          <a:noFill/>
          <a:ln w="12700">
            <a:solidFill>
              <a:srgbClr val="000000"/>
            </a:solidFill>
            <a:round/>
            <a:headEnd/>
            <a:tailEnd/>
          </a:ln>
        </xdr:spPr>
      </xdr:sp>
      <xdr:sp macro="" textlink="">
        <xdr:nvSpPr>
          <xdr:cNvPr id="11301" name="Freeform 216"/>
          <xdr:cNvSpPr>
            <a:spLocks/>
          </xdr:cNvSpPr>
        </xdr:nvSpPr>
        <xdr:spPr bwMode="auto">
          <a:xfrm>
            <a:off x="4981575" y="2266950"/>
            <a:ext cx="714375" cy="66675"/>
          </a:xfrm>
          <a:custGeom>
            <a:avLst/>
            <a:gdLst>
              <a:gd name="T0" fmla="*/ 0 w 75"/>
              <a:gd name="T1" fmla="*/ 2147483647 h 7"/>
              <a:gd name="T2" fmla="*/ 2147483647 w 75"/>
              <a:gd name="T3" fmla="*/ 2147483647 h 7"/>
              <a:gd name="T4" fmla="*/ 2147483647 w 75"/>
              <a:gd name="T5" fmla="*/ 2147483647 h 7"/>
              <a:gd name="T6" fmla="*/ 2147483647 w 75"/>
              <a:gd name="T7" fmla="*/ 2147483647 h 7"/>
              <a:gd name="T8" fmla="*/ 2147483647 w 75"/>
              <a:gd name="T9" fmla="*/ 2147483647 h 7"/>
              <a:gd name="T10" fmla="*/ 2147483647 w 75"/>
              <a:gd name="T11" fmla="*/ 2147483647 h 7"/>
              <a:gd name="T12" fmla="*/ 2147483647 w 75"/>
              <a:gd name="T13" fmla="*/ 0 h 7"/>
              <a:gd name="T14" fmla="*/ 2147483647 w 75"/>
              <a:gd name="T15" fmla="*/ 0 h 7"/>
              <a:gd name="T16" fmla="*/ 2147483647 w 75"/>
              <a:gd name="T17" fmla="*/ 0 h 7"/>
              <a:gd name="T18" fmla="*/ 0 w 75"/>
              <a:gd name="T19" fmla="*/ 2147483647 h 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75"/>
              <a:gd name="T31" fmla="*/ 0 h 7"/>
              <a:gd name="T32" fmla="*/ 75 w 75"/>
              <a:gd name="T33" fmla="*/ 7 h 7"/>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75" h="7">
                <a:moveTo>
                  <a:pt x="0" y="5"/>
                </a:moveTo>
                <a:lnTo>
                  <a:pt x="62" y="5"/>
                </a:lnTo>
                <a:lnTo>
                  <a:pt x="66" y="6"/>
                </a:lnTo>
                <a:lnTo>
                  <a:pt x="69" y="6"/>
                </a:lnTo>
                <a:lnTo>
                  <a:pt x="72" y="7"/>
                </a:lnTo>
                <a:lnTo>
                  <a:pt x="75" y="1"/>
                </a:lnTo>
                <a:lnTo>
                  <a:pt x="70" y="0"/>
                </a:lnTo>
                <a:lnTo>
                  <a:pt x="62" y="0"/>
                </a:lnTo>
                <a:lnTo>
                  <a:pt x="3" y="0"/>
                </a:lnTo>
                <a:lnTo>
                  <a:pt x="0" y="5"/>
                </a:lnTo>
                <a:close/>
              </a:path>
            </a:pathLst>
          </a:custGeom>
          <a:solidFill>
            <a:srgbClr val="66FFCC"/>
          </a:solidFill>
          <a:ln w="9525">
            <a:noFill/>
            <a:round/>
            <a:headEnd/>
            <a:tailEnd/>
          </a:ln>
        </xdr:spPr>
      </xdr:sp>
      <xdr:sp macro="" textlink="">
        <xdr:nvSpPr>
          <xdr:cNvPr id="11302" name="Freeform 217"/>
          <xdr:cNvSpPr>
            <a:spLocks/>
          </xdr:cNvSpPr>
        </xdr:nvSpPr>
        <xdr:spPr bwMode="auto">
          <a:xfrm>
            <a:off x="4981575" y="2314575"/>
            <a:ext cx="723900" cy="47625"/>
          </a:xfrm>
          <a:custGeom>
            <a:avLst/>
            <a:gdLst>
              <a:gd name="T0" fmla="*/ 0 w 76"/>
              <a:gd name="T1" fmla="*/ 0 h 5"/>
              <a:gd name="T2" fmla="*/ 2147483647 w 76"/>
              <a:gd name="T3" fmla="*/ 0 h 5"/>
              <a:gd name="T4" fmla="*/ 2147483647 w 76"/>
              <a:gd name="T5" fmla="*/ 2147483647 h 5"/>
              <a:gd name="T6" fmla="*/ 2147483647 w 76"/>
              <a:gd name="T7" fmla="*/ 2147483647 h 5"/>
              <a:gd name="T8" fmla="*/ 2147483647 w 76"/>
              <a:gd name="T9" fmla="*/ 2147483647 h 5"/>
              <a:gd name="T10" fmla="*/ 0 60000 65536"/>
              <a:gd name="T11" fmla="*/ 0 60000 65536"/>
              <a:gd name="T12" fmla="*/ 0 60000 65536"/>
              <a:gd name="T13" fmla="*/ 0 60000 65536"/>
              <a:gd name="T14" fmla="*/ 0 60000 65536"/>
              <a:gd name="T15" fmla="*/ 0 w 76"/>
              <a:gd name="T16" fmla="*/ 0 h 5"/>
              <a:gd name="T17" fmla="*/ 76 w 76"/>
              <a:gd name="T18" fmla="*/ 5 h 5"/>
            </a:gdLst>
            <a:ahLst/>
            <a:cxnLst>
              <a:cxn ang="T10">
                <a:pos x="T0" y="T1"/>
              </a:cxn>
              <a:cxn ang="T11">
                <a:pos x="T2" y="T3"/>
              </a:cxn>
              <a:cxn ang="T12">
                <a:pos x="T4" y="T5"/>
              </a:cxn>
              <a:cxn ang="T13">
                <a:pos x="T6" y="T7"/>
              </a:cxn>
              <a:cxn ang="T14">
                <a:pos x="T8" y="T9"/>
              </a:cxn>
            </a:cxnLst>
            <a:rect l="T15" t="T16" r="T17" b="T18"/>
            <a:pathLst>
              <a:path w="76" h="5">
                <a:moveTo>
                  <a:pt x="0" y="0"/>
                </a:moveTo>
                <a:lnTo>
                  <a:pt x="66" y="0"/>
                </a:lnTo>
                <a:lnTo>
                  <a:pt x="70" y="1"/>
                </a:lnTo>
                <a:lnTo>
                  <a:pt x="73" y="3"/>
                </a:lnTo>
                <a:lnTo>
                  <a:pt x="76" y="5"/>
                </a:lnTo>
              </a:path>
            </a:pathLst>
          </a:custGeom>
          <a:noFill/>
          <a:ln w="9525">
            <a:solidFill>
              <a:srgbClr val="000000"/>
            </a:solidFill>
            <a:round/>
            <a:headEnd/>
            <a:tailEnd/>
          </a:ln>
        </xdr:spPr>
      </xdr:sp>
      <xdr:sp macro="" textlink="">
        <xdr:nvSpPr>
          <xdr:cNvPr id="11303" name="Freeform 218"/>
          <xdr:cNvSpPr>
            <a:spLocks/>
          </xdr:cNvSpPr>
        </xdr:nvSpPr>
        <xdr:spPr bwMode="auto">
          <a:xfrm>
            <a:off x="4981575" y="2266950"/>
            <a:ext cx="742950" cy="47625"/>
          </a:xfrm>
          <a:custGeom>
            <a:avLst/>
            <a:gdLst>
              <a:gd name="T0" fmla="*/ 0 w 78"/>
              <a:gd name="T1" fmla="*/ 2147483647 h 5"/>
              <a:gd name="T2" fmla="*/ 2147483647 w 78"/>
              <a:gd name="T3" fmla="*/ 0 h 5"/>
              <a:gd name="T4" fmla="*/ 2147483647 w 78"/>
              <a:gd name="T5" fmla="*/ 0 h 5"/>
              <a:gd name="T6" fmla="*/ 2147483647 w 78"/>
              <a:gd name="T7" fmla="*/ 0 h 5"/>
              <a:gd name="T8" fmla="*/ 2147483647 w 78"/>
              <a:gd name="T9" fmla="*/ 2147483647 h 5"/>
              <a:gd name="T10" fmla="*/ 2147483647 w 78"/>
              <a:gd name="T11" fmla="*/ 2147483647 h 5"/>
              <a:gd name="T12" fmla="*/ 0 60000 65536"/>
              <a:gd name="T13" fmla="*/ 0 60000 65536"/>
              <a:gd name="T14" fmla="*/ 0 60000 65536"/>
              <a:gd name="T15" fmla="*/ 0 60000 65536"/>
              <a:gd name="T16" fmla="*/ 0 60000 65536"/>
              <a:gd name="T17" fmla="*/ 0 60000 65536"/>
              <a:gd name="T18" fmla="*/ 0 w 78"/>
              <a:gd name="T19" fmla="*/ 0 h 5"/>
              <a:gd name="T20" fmla="*/ 78 w 78"/>
              <a:gd name="T21" fmla="*/ 5 h 5"/>
            </a:gdLst>
            <a:ahLst/>
            <a:cxnLst>
              <a:cxn ang="T12">
                <a:pos x="T0" y="T1"/>
              </a:cxn>
              <a:cxn ang="T13">
                <a:pos x="T2" y="T3"/>
              </a:cxn>
              <a:cxn ang="T14">
                <a:pos x="T4" y="T5"/>
              </a:cxn>
              <a:cxn ang="T15">
                <a:pos x="T6" y="T7"/>
              </a:cxn>
              <a:cxn ang="T16">
                <a:pos x="T8" y="T9"/>
              </a:cxn>
              <a:cxn ang="T17">
                <a:pos x="T10" y="T11"/>
              </a:cxn>
            </a:cxnLst>
            <a:rect l="T18" t="T19" r="T20" b="T21"/>
            <a:pathLst>
              <a:path w="78" h="5">
                <a:moveTo>
                  <a:pt x="0" y="5"/>
                </a:moveTo>
                <a:lnTo>
                  <a:pt x="4" y="0"/>
                </a:lnTo>
                <a:lnTo>
                  <a:pt x="66" y="0"/>
                </a:lnTo>
                <a:lnTo>
                  <a:pt x="70" y="0"/>
                </a:lnTo>
                <a:lnTo>
                  <a:pt x="74" y="1"/>
                </a:lnTo>
                <a:lnTo>
                  <a:pt x="78" y="2"/>
                </a:lnTo>
              </a:path>
            </a:pathLst>
          </a:custGeom>
          <a:noFill/>
          <a:ln w="9525">
            <a:solidFill>
              <a:srgbClr val="000000"/>
            </a:solidFill>
            <a:round/>
            <a:headEnd/>
            <a:tailEnd/>
          </a:ln>
        </xdr:spPr>
      </xdr:sp>
      <xdr:sp macro="" textlink="">
        <xdr:nvSpPr>
          <xdr:cNvPr id="11304" name="Line 219"/>
          <xdr:cNvSpPr>
            <a:spLocks noChangeShapeType="1"/>
          </xdr:cNvSpPr>
        </xdr:nvSpPr>
        <xdr:spPr bwMode="auto">
          <a:xfrm>
            <a:off x="5019675" y="2257425"/>
            <a:ext cx="0" cy="0"/>
          </a:xfrm>
          <a:prstGeom prst="line">
            <a:avLst/>
          </a:prstGeom>
          <a:noFill/>
          <a:ln w="9525">
            <a:solidFill>
              <a:srgbClr val="000000"/>
            </a:solidFill>
            <a:round/>
            <a:headEnd/>
            <a:tailEnd/>
          </a:ln>
        </xdr:spPr>
      </xdr:sp>
      <xdr:sp macro="" textlink="">
        <xdr:nvSpPr>
          <xdr:cNvPr id="11305" name="Oval 220"/>
          <xdr:cNvSpPr>
            <a:spLocks noChangeArrowheads="1"/>
          </xdr:cNvSpPr>
        </xdr:nvSpPr>
        <xdr:spPr bwMode="auto">
          <a:xfrm rot="18583939">
            <a:off x="5448300" y="5181600"/>
            <a:ext cx="333375" cy="390525"/>
          </a:xfrm>
          <a:prstGeom prst="ellipse">
            <a:avLst/>
          </a:prstGeom>
          <a:solidFill>
            <a:srgbClr val="99CCFF"/>
          </a:solidFill>
          <a:ln w="9525">
            <a:noFill/>
            <a:round/>
            <a:headEnd/>
            <a:tailEnd/>
          </a:ln>
        </xdr:spPr>
      </xdr:sp>
      <xdr:sp macro="" textlink="">
        <xdr:nvSpPr>
          <xdr:cNvPr id="11306" name="Line 221"/>
          <xdr:cNvSpPr>
            <a:spLocks noChangeShapeType="1"/>
          </xdr:cNvSpPr>
        </xdr:nvSpPr>
        <xdr:spPr bwMode="auto">
          <a:xfrm flipH="1">
            <a:off x="5772150" y="3657600"/>
            <a:ext cx="1857375" cy="1866900"/>
          </a:xfrm>
          <a:prstGeom prst="line">
            <a:avLst/>
          </a:prstGeom>
          <a:noFill/>
          <a:ln w="19050">
            <a:solidFill>
              <a:srgbClr val="000000"/>
            </a:solidFill>
            <a:round/>
            <a:headEnd/>
            <a:tailEnd/>
          </a:ln>
        </xdr:spPr>
      </xdr:sp>
      <xdr:grpSp>
        <xdr:nvGrpSpPr>
          <xdr:cNvPr id="11307" name="Group 222"/>
          <xdr:cNvGrpSpPr>
            <a:grpSpLocks/>
          </xdr:cNvGrpSpPr>
        </xdr:nvGrpSpPr>
        <xdr:grpSpPr bwMode="auto">
          <a:xfrm>
            <a:off x="2686050" y="3190875"/>
            <a:ext cx="666750" cy="552450"/>
            <a:chOff x="875" y="709"/>
            <a:chExt cx="70" cy="58"/>
          </a:xfrm>
        </xdr:grpSpPr>
        <xdr:grpSp>
          <xdr:nvGrpSpPr>
            <xdr:cNvPr id="11323" name="Group 223"/>
            <xdr:cNvGrpSpPr>
              <a:grpSpLocks/>
            </xdr:cNvGrpSpPr>
          </xdr:nvGrpSpPr>
          <xdr:grpSpPr bwMode="auto">
            <a:xfrm>
              <a:off x="875" y="709"/>
              <a:ext cx="70" cy="58"/>
              <a:chOff x="875" y="709"/>
              <a:chExt cx="70" cy="58"/>
            </a:xfrm>
          </xdr:grpSpPr>
          <xdr:sp macro="" textlink="">
            <xdr:nvSpPr>
              <xdr:cNvPr id="11327" name="AutoShape 224"/>
              <xdr:cNvSpPr>
                <a:spLocks noChangeArrowheads="1"/>
              </xdr:cNvSpPr>
            </xdr:nvSpPr>
            <xdr:spPr bwMode="auto">
              <a:xfrm>
                <a:off x="880" y="709"/>
                <a:ext cx="65" cy="56"/>
              </a:xfrm>
              <a:prstGeom prst="hexagon">
                <a:avLst>
                  <a:gd name="adj" fmla="val 29018"/>
                  <a:gd name="vf" fmla="val 115470"/>
                </a:avLst>
              </a:prstGeom>
              <a:solidFill>
                <a:srgbClr val="FFCC00"/>
              </a:solidFill>
              <a:ln w="9525">
                <a:solidFill>
                  <a:srgbClr val="000000"/>
                </a:solidFill>
                <a:miter lim="800000"/>
                <a:headEnd/>
                <a:tailEnd/>
              </a:ln>
            </xdr:spPr>
          </xdr:sp>
          <xdr:sp macro="" textlink="">
            <xdr:nvSpPr>
              <xdr:cNvPr id="11328" name="AutoShape 225"/>
              <xdr:cNvSpPr>
                <a:spLocks noChangeArrowheads="1"/>
              </xdr:cNvSpPr>
            </xdr:nvSpPr>
            <xdr:spPr bwMode="auto">
              <a:xfrm>
                <a:off x="875" y="711"/>
                <a:ext cx="65" cy="56"/>
              </a:xfrm>
              <a:prstGeom prst="hexagon">
                <a:avLst>
                  <a:gd name="adj" fmla="val 29018"/>
                  <a:gd name="vf" fmla="val 115470"/>
                </a:avLst>
              </a:prstGeom>
              <a:solidFill>
                <a:srgbClr val="FFCC00"/>
              </a:solidFill>
              <a:ln w="9525">
                <a:solidFill>
                  <a:srgbClr val="000000"/>
                </a:solidFill>
                <a:miter lim="800000"/>
                <a:headEnd/>
                <a:tailEnd/>
              </a:ln>
            </xdr:spPr>
          </xdr:sp>
          <xdr:sp macro="" textlink="">
            <xdr:nvSpPr>
              <xdr:cNvPr id="11329" name="Oval 226"/>
              <xdr:cNvSpPr>
                <a:spLocks noChangeArrowheads="1"/>
              </xdr:cNvSpPr>
            </xdr:nvSpPr>
            <xdr:spPr bwMode="auto">
              <a:xfrm>
                <a:off x="893" y="724"/>
                <a:ext cx="31" cy="32"/>
              </a:xfrm>
              <a:prstGeom prst="ellipse">
                <a:avLst/>
              </a:prstGeom>
              <a:solidFill>
                <a:srgbClr val="FFCC00"/>
              </a:solidFill>
              <a:ln w="9525">
                <a:solidFill>
                  <a:srgbClr val="000000"/>
                </a:solidFill>
                <a:round/>
                <a:headEnd/>
                <a:tailEnd/>
              </a:ln>
            </xdr:spPr>
          </xdr:sp>
          <xdr:sp macro="" textlink="">
            <xdr:nvSpPr>
              <xdr:cNvPr id="11330" name="Oval 227"/>
              <xdr:cNvSpPr>
                <a:spLocks noChangeArrowheads="1"/>
              </xdr:cNvSpPr>
            </xdr:nvSpPr>
            <xdr:spPr bwMode="auto">
              <a:xfrm>
                <a:off x="890" y="727"/>
                <a:ext cx="32" cy="31"/>
              </a:xfrm>
              <a:prstGeom prst="ellipse">
                <a:avLst/>
              </a:prstGeom>
              <a:solidFill>
                <a:srgbClr val="FFCC00"/>
              </a:solidFill>
              <a:ln w="9525">
                <a:solidFill>
                  <a:srgbClr val="000000"/>
                </a:solidFill>
                <a:round/>
                <a:headEnd/>
                <a:tailEnd/>
              </a:ln>
            </xdr:spPr>
          </xdr:sp>
          <xdr:sp macro="" textlink="">
            <xdr:nvSpPr>
              <xdr:cNvPr id="11331" name="Oval 228"/>
              <xdr:cNvSpPr>
                <a:spLocks noChangeArrowheads="1"/>
              </xdr:cNvSpPr>
            </xdr:nvSpPr>
            <xdr:spPr bwMode="auto">
              <a:xfrm>
                <a:off x="888" y="729"/>
                <a:ext cx="31" cy="31"/>
              </a:xfrm>
              <a:prstGeom prst="ellipse">
                <a:avLst/>
              </a:prstGeom>
              <a:solidFill>
                <a:srgbClr val="FFCC00"/>
              </a:solidFill>
              <a:ln w="9525">
                <a:solidFill>
                  <a:srgbClr val="000000"/>
                </a:solidFill>
                <a:round/>
                <a:headEnd/>
                <a:tailEnd/>
              </a:ln>
            </xdr:spPr>
          </xdr:sp>
          <xdr:sp macro="" textlink="">
            <xdr:nvSpPr>
              <xdr:cNvPr id="11332" name="Oval 229"/>
              <xdr:cNvSpPr>
                <a:spLocks noChangeArrowheads="1"/>
              </xdr:cNvSpPr>
            </xdr:nvSpPr>
            <xdr:spPr bwMode="auto">
              <a:xfrm>
                <a:off x="886" y="731"/>
                <a:ext cx="31" cy="32"/>
              </a:xfrm>
              <a:prstGeom prst="ellipse">
                <a:avLst/>
              </a:prstGeom>
              <a:solidFill>
                <a:srgbClr val="FFCC00"/>
              </a:solidFill>
              <a:ln w="9525">
                <a:solidFill>
                  <a:srgbClr val="000000"/>
                </a:solidFill>
                <a:round/>
                <a:headEnd/>
                <a:tailEnd/>
              </a:ln>
            </xdr:spPr>
          </xdr:sp>
          <xdr:sp macro="" textlink="">
            <xdr:nvSpPr>
              <xdr:cNvPr id="11333" name="Freeform 230"/>
              <xdr:cNvSpPr>
                <a:spLocks/>
              </xdr:cNvSpPr>
            </xdr:nvSpPr>
            <xdr:spPr bwMode="auto">
              <a:xfrm>
                <a:off x="891" y="709"/>
                <a:ext cx="38" cy="2"/>
              </a:xfrm>
              <a:custGeom>
                <a:avLst/>
                <a:gdLst>
                  <a:gd name="T0" fmla="*/ 0 w 32"/>
                  <a:gd name="T1" fmla="*/ 2 h 2"/>
                  <a:gd name="T2" fmla="*/ 268 w 32"/>
                  <a:gd name="T3" fmla="*/ 0 h 2"/>
                  <a:gd name="T4" fmla="*/ 1662 w 32"/>
                  <a:gd name="T5" fmla="*/ 0 h 2"/>
                  <a:gd name="T6" fmla="*/ 1423 w 32"/>
                  <a:gd name="T7" fmla="*/ 2 h 2"/>
                  <a:gd name="T8" fmla="*/ 0 w 32"/>
                  <a:gd name="T9" fmla="*/ 2 h 2"/>
                  <a:gd name="T10" fmla="*/ 0 60000 65536"/>
                  <a:gd name="T11" fmla="*/ 0 60000 65536"/>
                  <a:gd name="T12" fmla="*/ 0 60000 65536"/>
                  <a:gd name="T13" fmla="*/ 0 60000 65536"/>
                  <a:gd name="T14" fmla="*/ 0 60000 65536"/>
                  <a:gd name="T15" fmla="*/ 0 w 32"/>
                  <a:gd name="T16" fmla="*/ 0 h 2"/>
                  <a:gd name="T17" fmla="*/ 32 w 32"/>
                  <a:gd name="T18" fmla="*/ 2 h 2"/>
                </a:gdLst>
                <a:ahLst/>
                <a:cxnLst>
                  <a:cxn ang="T10">
                    <a:pos x="T0" y="T1"/>
                  </a:cxn>
                  <a:cxn ang="T11">
                    <a:pos x="T2" y="T3"/>
                  </a:cxn>
                  <a:cxn ang="T12">
                    <a:pos x="T4" y="T5"/>
                  </a:cxn>
                  <a:cxn ang="T13">
                    <a:pos x="T6" y="T7"/>
                  </a:cxn>
                  <a:cxn ang="T14">
                    <a:pos x="T8" y="T9"/>
                  </a:cxn>
                </a:cxnLst>
                <a:rect l="T15" t="T16" r="T17" b="T18"/>
                <a:pathLst>
                  <a:path w="32" h="2">
                    <a:moveTo>
                      <a:pt x="0" y="2"/>
                    </a:moveTo>
                    <a:lnTo>
                      <a:pt x="5" y="0"/>
                    </a:lnTo>
                    <a:lnTo>
                      <a:pt x="32" y="0"/>
                    </a:lnTo>
                    <a:lnTo>
                      <a:pt x="28" y="2"/>
                    </a:lnTo>
                    <a:lnTo>
                      <a:pt x="0" y="2"/>
                    </a:lnTo>
                    <a:close/>
                  </a:path>
                </a:pathLst>
              </a:custGeom>
              <a:solidFill>
                <a:srgbClr val="FFCC00"/>
              </a:solidFill>
              <a:ln w="9525">
                <a:solidFill>
                  <a:srgbClr val="000000"/>
                </a:solidFill>
                <a:round/>
                <a:headEnd/>
                <a:tailEnd/>
              </a:ln>
            </xdr:spPr>
          </xdr:sp>
          <xdr:sp macro="" textlink="">
            <xdr:nvSpPr>
              <xdr:cNvPr id="11334" name="Freeform 231"/>
              <xdr:cNvSpPr>
                <a:spLocks/>
              </xdr:cNvSpPr>
            </xdr:nvSpPr>
            <xdr:spPr bwMode="auto">
              <a:xfrm>
                <a:off x="924" y="737"/>
                <a:ext cx="21" cy="30"/>
              </a:xfrm>
              <a:custGeom>
                <a:avLst/>
                <a:gdLst>
                  <a:gd name="T0" fmla="*/ 488 w 18"/>
                  <a:gd name="T1" fmla="*/ 2 h 26"/>
                  <a:gd name="T2" fmla="*/ 653 w 18"/>
                  <a:gd name="T3" fmla="*/ 0 h 26"/>
                  <a:gd name="T4" fmla="*/ 163 w 18"/>
                  <a:gd name="T5" fmla="*/ 659 h 26"/>
                  <a:gd name="T6" fmla="*/ 0 w 18"/>
                  <a:gd name="T7" fmla="*/ 689 h 26"/>
                  <a:gd name="T8" fmla="*/ 488 w 18"/>
                  <a:gd name="T9" fmla="*/ 2 h 26"/>
                  <a:gd name="T10" fmla="*/ 0 60000 65536"/>
                  <a:gd name="T11" fmla="*/ 0 60000 65536"/>
                  <a:gd name="T12" fmla="*/ 0 60000 65536"/>
                  <a:gd name="T13" fmla="*/ 0 60000 65536"/>
                  <a:gd name="T14" fmla="*/ 0 60000 65536"/>
                  <a:gd name="T15" fmla="*/ 0 w 18"/>
                  <a:gd name="T16" fmla="*/ 0 h 26"/>
                  <a:gd name="T17" fmla="*/ 18 w 18"/>
                  <a:gd name="T18" fmla="*/ 26 h 26"/>
                </a:gdLst>
                <a:ahLst/>
                <a:cxnLst>
                  <a:cxn ang="T10">
                    <a:pos x="T0" y="T1"/>
                  </a:cxn>
                  <a:cxn ang="T11">
                    <a:pos x="T2" y="T3"/>
                  </a:cxn>
                  <a:cxn ang="T12">
                    <a:pos x="T4" y="T5"/>
                  </a:cxn>
                  <a:cxn ang="T13">
                    <a:pos x="T6" y="T7"/>
                  </a:cxn>
                  <a:cxn ang="T14">
                    <a:pos x="T8" y="T9"/>
                  </a:cxn>
                </a:cxnLst>
                <a:rect l="T15" t="T16" r="T17" b="T18"/>
                <a:pathLst>
                  <a:path w="18" h="26">
                    <a:moveTo>
                      <a:pt x="14" y="2"/>
                    </a:moveTo>
                    <a:lnTo>
                      <a:pt x="18" y="0"/>
                    </a:lnTo>
                    <a:lnTo>
                      <a:pt x="4" y="24"/>
                    </a:lnTo>
                    <a:lnTo>
                      <a:pt x="0" y="26"/>
                    </a:lnTo>
                    <a:lnTo>
                      <a:pt x="14" y="2"/>
                    </a:lnTo>
                    <a:close/>
                  </a:path>
                </a:pathLst>
              </a:custGeom>
              <a:solidFill>
                <a:srgbClr val="FFCC00"/>
              </a:solidFill>
              <a:ln w="9525">
                <a:solidFill>
                  <a:srgbClr val="000000"/>
                </a:solidFill>
                <a:round/>
                <a:headEnd/>
                <a:tailEnd/>
              </a:ln>
            </xdr:spPr>
          </xdr:sp>
        </xdr:grpSp>
        <xdr:grpSp>
          <xdr:nvGrpSpPr>
            <xdr:cNvPr id="11324" name="Group 232"/>
            <xdr:cNvGrpSpPr>
              <a:grpSpLocks/>
            </xdr:cNvGrpSpPr>
          </xdr:nvGrpSpPr>
          <xdr:grpSpPr bwMode="auto">
            <a:xfrm>
              <a:off x="889" y="735"/>
              <a:ext cx="24" cy="24"/>
              <a:chOff x="789" y="844"/>
              <a:chExt cx="24" cy="24"/>
            </a:xfrm>
          </xdr:grpSpPr>
          <xdr:sp macro="" textlink="">
            <xdr:nvSpPr>
              <xdr:cNvPr id="11325" name="Line 233"/>
              <xdr:cNvSpPr>
                <a:spLocks noChangeShapeType="1"/>
              </xdr:cNvSpPr>
            </xdr:nvSpPr>
            <xdr:spPr bwMode="auto">
              <a:xfrm>
                <a:off x="789" y="857"/>
                <a:ext cx="24" cy="0"/>
              </a:xfrm>
              <a:prstGeom prst="line">
                <a:avLst/>
              </a:prstGeom>
              <a:noFill/>
              <a:ln w="28575">
                <a:solidFill>
                  <a:srgbClr val="000000"/>
                </a:solidFill>
                <a:round/>
                <a:headEnd/>
                <a:tailEnd/>
              </a:ln>
            </xdr:spPr>
          </xdr:sp>
          <xdr:sp macro="" textlink="">
            <xdr:nvSpPr>
              <xdr:cNvPr id="11326" name="Line 234"/>
              <xdr:cNvSpPr>
                <a:spLocks noChangeShapeType="1"/>
              </xdr:cNvSpPr>
            </xdr:nvSpPr>
            <xdr:spPr bwMode="auto">
              <a:xfrm rot="-5400000">
                <a:off x="790" y="856"/>
                <a:ext cx="24" cy="0"/>
              </a:xfrm>
              <a:prstGeom prst="line">
                <a:avLst/>
              </a:prstGeom>
              <a:noFill/>
              <a:ln w="28575">
                <a:solidFill>
                  <a:srgbClr val="000000"/>
                </a:solidFill>
                <a:round/>
                <a:headEnd/>
                <a:tailEnd/>
              </a:ln>
            </xdr:spPr>
          </xdr:sp>
        </xdr:grpSp>
      </xdr:grpSp>
      <xdr:grpSp>
        <xdr:nvGrpSpPr>
          <xdr:cNvPr id="11308" name="Group 235"/>
          <xdr:cNvGrpSpPr>
            <a:grpSpLocks/>
          </xdr:cNvGrpSpPr>
        </xdr:nvGrpSpPr>
        <xdr:grpSpPr bwMode="auto">
          <a:xfrm>
            <a:off x="5086350" y="3190875"/>
            <a:ext cx="666750" cy="552450"/>
            <a:chOff x="1016" y="782"/>
            <a:chExt cx="70" cy="58"/>
          </a:xfrm>
        </xdr:grpSpPr>
        <xdr:grpSp>
          <xdr:nvGrpSpPr>
            <xdr:cNvPr id="11313" name="Group 236"/>
            <xdr:cNvGrpSpPr>
              <a:grpSpLocks/>
            </xdr:cNvGrpSpPr>
          </xdr:nvGrpSpPr>
          <xdr:grpSpPr bwMode="auto">
            <a:xfrm>
              <a:off x="1016" y="782"/>
              <a:ext cx="70" cy="58"/>
              <a:chOff x="875" y="709"/>
              <a:chExt cx="70" cy="58"/>
            </a:xfrm>
          </xdr:grpSpPr>
          <xdr:sp macro="" textlink="">
            <xdr:nvSpPr>
              <xdr:cNvPr id="11315" name="AutoShape 237"/>
              <xdr:cNvSpPr>
                <a:spLocks noChangeArrowheads="1"/>
              </xdr:cNvSpPr>
            </xdr:nvSpPr>
            <xdr:spPr bwMode="auto">
              <a:xfrm>
                <a:off x="880" y="709"/>
                <a:ext cx="65" cy="56"/>
              </a:xfrm>
              <a:prstGeom prst="hexagon">
                <a:avLst>
                  <a:gd name="adj" fmla="val 29018"/>
                  <a:gd name="vf" fmla="val 115470"/>
                </a:avLst>
              </a:prstGeom>
              <a:solidFill>
                <a:srgbClr val="FFCC00"/>
              </a:solidFill>
              <a:ln w="9525">
                <a:solidFill>
                  <a:srgbClr val="000000"/>
                </a:solidFill>
                <a:miter lim="800000"/>
                <a:headEnd/>
                <a:tailEnd/>
              </a:ln>
            </xdr:spPr>
          </xdr:sp>
          <xdr:sp macro="" textlink="">
            <xdr:nvSpPr>
              <xdr:cNvPr id="11316" name="AutoShape 238"/>
              <xdr:cNvSpPr>
                <a:spLocks noChangeArrowheads="1"/>
              </xdr:cNvSpPr>
            </xdr:nvSpPr>
            <xdr:spPr bwMode="auto">
              <a:xfrm>
                <a:off x="875" y="711"/>
                <a:ext cx="65" cy="56"/>
              </a:xfrm>
              <a:prstGeom prst="hexagon">
                <a:avLst>
                  <a:gd name="adj" fmla="val 29018"/>
                  <a:gd name="vf" fmla="val 115470"/>
                </a:avLst>
              </a:prstGeom>
              <a:solidFill>
                <a:srgbClr val="FFCC00"/>
              </a:solidFill>
              <a:ln w="9525">
                <a:solidFill>
                  <a:srgbClr val="000000"/>
                </a:solidFill>
                <a:miter lim="800000"/>
                <a:headEnd/>
                <a:tailEnd/>
              </a:ln>
            </xdr:spPr>
          </xdr:sp>
          <xdr:sp macro="" textlink="">
            <xdr:nvSpPr>
              <xdr:cNvPr id="11317" name="Oval 239"/>
              <xdr:cNvSpPr>
                <a:spLocks noChangeArrowheads="1"/>
              </xdr:cNvSpPr>
            </xdr:nvSpPr>
            <xdr:spPr bwMode="auto">
              <a:xfrm>
                <a:off x="893" y="724"/>
                <a:ext cx="31" cy="32"/>
              </a:xfrm>
              <a:prstGeom prst="ellipse">
                <a:avLst/>
              </a:prstGeom>
              <a:solidFill>
                <a:srgbClr val="FFCC00"/>
              </a:solidFill>
              <a:ln w="9525">
                <a:solidFill>
                  <a:srgbClr val="000000"/>
                </a:solidFill>
                <a:round/>
                <a:headEnd/>
                <a:tailEnd/>
              </a:ln>
            </xdr:spPr>
          </xdr:sp>
          <xdr:sp macro="" textlink="">
            <xdr:nvSpPr>
              <xdr:cNvPr id="11318" name="Oval 240"/>
              <xdr:cNvSpPr>
                <a:spLocks noChangeArrowheads="1"/>
              </xdr:cNvSpPr>
            </xdr:nvSpPr>
            <xdr:spPr bwMode="auto">
              <a:xfrm>
                <a:off x="890" y="727"/>
                <a:ext cx="32" cy="31"/>
              </a:xfrm>
              <a:prstGeom prst="ellipse">
                <a:avLst/>
              </a:prstGeom>
              <a:solidFill>
                <a:srgbClr val="FFCC00"/>
              </a:solidFill>
              <a:ln w="9525">
                <a:solidFill>
                  <a:srgbClr val="000000"/>
                </a:solidFill>
                <a:round/>
                <a:headEnd/>
                <a:tailEnd/>
              </a:ln>
            </xdr:spPr>
          </xdr:sp>
          <xdr:sp macro="" textlink="">
            <xdr:nvSpPr>
              <xdr:cNvPr id="11319" name="Oval 241"/>
              <xdr:cNvSpPr>
                <a:spLocks noChangeArrowheads="1"/>
              </xdr:cNvSpPr>
            </xdr:nvSpPr>
            <xdr:spPr bwMode="auto">
              <a:xfrm>
                <a:off x="888" y="729"/>
                <a:ext cx="31" cy="31"/>
              </a:xfrm>
              <a:prstGeom prst="ellipse">
                <a:avLst/>
              </a:prstGeom>
              <a:solidFill>
                <a:srgbClr val="FFCC00"/>
              </a:solidFill>
              <a:ln w="9525">
                <a:solidFill>
                  <a:srgbClr val="000000"/>
                </a:solidFill>
                <a:round/>
                <a:headEnd/>
                <a:tailEnd/>
              </a:ln>
            </xdr:spPr>
          </xdr:sp>
          <xdr:sp macro="" textlink="">
            <xdr:nvSpPr>
              <xdr:cNvPr id="11320" name="Oval 242"/>
              <xdr:cNvSpPr>
                <a:spLocks noChangeArrowheads="1"/>
              </xdr:cNvSpPr>
            </xdr:nvSpPr>
            <xdr:spPr bwMode="auto">
              <a:xfrm>
                <a:off x="886" y="731"/>
                <a:ext cx="31" cy="32"/>
              </a:xfrm>
              <a:prstGeom prst="ellipse">
                <a:avLst/>
              </a:prstGeom>
              <a:solidFill>
                <a:srgbClr val="FFCC00"/>
              </a:solidFill>
              <a:ln w="9525">
                <a:solidFill>
                  <a:srgbClr val="000000"/>
                </a:solidFill>
                <a:round/>
                <a:headEnd/>
                <a:tailEnd/>
              </a:ln>
            </xdr:spPr>
          </xdr:sp>
          <xdr:sp macro="" textlink="">
            <xdr:nvSpPr>
              <xdr:cNvPr id="11321" name="Freeform 243"/>
              <xdr:cNvSpPr>
                <a:spLocks/>
              </xdr:cNvSpPr>
            </xdr:nvSpPr>
            <xdr:spPr bwMode="auto">
              <a:xfrm>
                <a:off x="891" y="709"/>
                <a:ext cx="38" cy="2"/>
              </a:xfrm>
              <a:custGeom>
                <a:avLst/>
                <a:gdLst>
                  <a:gd name="T0" fmla="*/ 0 w 32"/>
                  <a:gd name="T1" fmla="*/ 2 h 2"/>
                  <a:gd name="T2" fmla="*/ 268 w 32"/>
                  <a:gd name="T3" fmla="*/ 0 h 2"/>
                  <a:gd name="T4" fmla="*/ 1662 w 32"/>
                  <a:gd name="T5" fmla="*/ 0 h 2"/>
                  <a:gd name="T6" fmla="*/ 1423 w 32"/>
                  <a:gd name="T7" fmla="*/ 2 h 2"/>
                  <a:gd name="T8" fmla="*/ 0 w 32"/>
                  <a:gd name="T9" fmla="*/ 2 h 2"/>
                  <a:gd name="T10" fmla="*/ 0 60000 65536"/>
                  <a:gd name="T11" fmla="*/ 0 60000 65536"/>
                  <a:gd name="T12" fmla="*/ 0 60000 65536"/>
                  <a:gd name="T13" fmla="*/ 0 60000 65536"/>
                  <a:gd name="T14" fmla="*/ 0 60000 65536"/>
                  <a:gd name="T15" fmla="*/ 0 w 32"/>
                  <a:gd name="T16" fmla="*/ 0 h 2"/>
                  <a:gd name="T17" fmla="*/ 32 w 32"/>
                  <a:gd name="T18" fmla="*/ 2 h 2"/>
                </a:gdLst>
                <a:ahLst/>
                <a:cxnLst>
                  <a:cxn ang="T10">
                    <a:pos x="T0" y="T1"/>
                  </a:cxn>
                  <a:cxn ang="T11">
                    <a:pos x="T2" y="T3"/>
                  </a:cxn>
                  <a:cxn ang="T12">
                    <a:pos x="T4" y="T5"/>
                  </a:cxn>
                  <a:cxn ang="T13">
                    <a:pos x="T6" y="T7"/>
                  </a:cxn>
                  <a:cxn ang="T14">
                    <a:pos x="T8" y="T9"/>
                  </a:cxn>
                </a:cxnLst>
                <a:rect l="T15" t="T16" r="T17" b="T18"/>
                <a:pathLst>
                  <a:path w="32" h="2">
                    <a:moveTo>
                      <a:pt x="0" y="2"/>
                    </a:moveTo>
                    <a:lnTo>
                      <a:pt x="5" y="0"/>
                    </a:lnTo>
                    <a:lnTo>
                      <a:pt x="32" y="0"/>
                    </a:lnTo>
                    <a:lnTo>
                      <a:pt x="28" y="2"/>
                    </a:lnTo>
                    <a:lnTo>
                      <a:pt x="0" y="2"/>
                    </a:lnTo>
                    <a:close/>
                  </a:path>
                </a:pathLst>
              </a:custGeom>
              <a:solidFill>
                <a:srgbClr val="FFCC00"/>
              </a:solidFill>
              <a:ln w="9525">
                <a:solidFill>
                  <a:srgbClr val="000000"/>
                </a:solidFill>
                <a:round/>
                <a:headEnd/>
                <a:tailEnd/>
              </a:ln>
            </xdr:spPr>
          </xdr:sp>
          <xdr:sp macro="" textlink="">
            <xdr:nvSpPr>
              <xdr:cNvPr id="11322" name="Freeform 244"/>
              <xdr:cNvSpPr>
                <a:spLocks/>
              </xdr:cNvSpPr>
            </xdr:nvSpPr>
            <xdr:spPr bwMode="auto">
              <a:xfrm>
                <a:off x="924" y="737"/>
                <a:ext cx="21" cy="30"/>
              </a:xfrm>
              <a:custGeom>
                <a:avLst/>
                <a:gdLst>
                  <a:gd name="T0" fmla="*/ 488 w 18"/>
                  <a:gd name="T1" fmla="*/ 2 h 26"/>
                  <a:gd name="T2" fmla="*/ 653 w 18"/>
                  <a:gd name="T3" fmla="*/ 0 h 26"/>
                  <a:gd name="T4" fmla="*/ 163 w 18"/>
                  <a:gd name="T5" fmla="*/ 659 h 26"/>
                  <a:gd name="T6" fmla="*/ 0 w 18"/>
                  <a:gd name="T7" fmla="*/ 689 h 26"/>
                  <a:gd name="T8" fmla="*/ 488 w 18"/>
                  <a:gd name="T9" fmla="*/ 2 h 26"/>
                  <a:gd name="T10" fmla="*/ 0 60000 65536"/>
                  <a:gd name="T11" fmla="*/ 0 60000 65536"/>
                  <a:gd name="T12" fmla="*/ 0 60000 65536"/>
                  <a:gd name="T13" fmla="*/ 0 60000 65536"/>
                  <a:gd name="T14" fmla="*/ 0 60000 65536"/>
                  <a:gd name="T15" fmla="*/ 0 w 18"/>
                  <a:gd name="T16" fmla="*/ 0 h 26"/>
                  <a:gd name="T17" fmla="*/ 18 w 18"/>
                  <a:gd name="T18" fmla="*/ 26 h 26"/>
                </a:gdLst>
                <a:ahLst/>
                <a:cxnLst>
                  <a:cxn ang="T10">
                    <a:pos x="T0" y="T1"/>
                  </a:cxn>
                  <a:cxn ang="T11">
                    <a:pos x="T2" y="T3"/>
                  </a:cxn>
                  <a:cxn ang="T12">
                    <a:pos x="T4" y="T5"/>
                  </a:cxn>
                  <a:cxn ang="T13">
                    <a:pos x="T6" y="T7"/>
                  </a:cxn>
                  <a:cxn ang="T14">
                    <a:pos x="T8" y="T9"/>
                  </a:cxn>
                </a:cxnLst>
                <a:rect l="T15" t="T16" r="T17" b="T18"/>
                <a:pathLst>
                  <a:path w="18" h="26">
                    <a:moveTo>
                      <a:pt x="14" y="2"/>
                    </a:moveTo>
                    <a:lnTo>
                      <a:pt x="18" y="0"/>
                    </a:lnTo>
                    <a:lnTo>
                      <a:pt x="4" y="24"/>
                    </a:lnTo>
                    <a:lnTo>
                      <a:pt x="0" y="26"/>
                    </a:lnTo>
                    <a:lnTo>
                      <a:pt x="14" y="2"/>
                    </a:lnTo>
                    <a:close/>
                  </a:path>
                </a:pathLst>
              </a:custGeom>
              <a:solidFill>
                <a:srgbClr val="FFCC00"/>
              </a:solidFill>
              <a:ln w="9525">
                <a:solidFill>
                  <a:srgbClr val="000000"/>
                </a:solidFill>
                <a:round/>
                <a:headEnd/>
                <a:tailEnd/>
              </a:ln>
            </xdr:spPr>
          </xdr:sp>
        </xdr:grpSp>
        <xdr:sp macro="" textlink="">
          <xdr:nvSpPr>
            <xdr:cNvPr id="11314" name="Line 245"/>
            <xdr:cNvSpPr>
              <a:spLocks noChangeShapeType="1"/>
            </xdr:cNvSpPr>
          </xdr:nvSpPr>
          <xdr:spPr bwMode="auto">
            <a:xfrm>
              <a:off x="1030" y="819"/>
              <a:ext cx="24" cy="0"/>
            </a:xfrm>
            <a:prstGeom prst="line">
              <a:avLst/>
            </a:prstGeom>
            <a:noFill/>
            <a:ln w="28575">
              <a:solidFill>
                <a:srgbClr val="000000"/>
              </a:solidFill>
              <a:round/>
              <a:headEnd/>
              <a:tailEnd/>
            </a:ln>
          </xdr:spPr>
        </xdr:sp>
      </xdr:grpSp>
      <xdr:sp macro="" textlink="">
        <xdr:nvSpPr>
          <xdr:cNvPr id="138486" name="AutoShape 246"/>
          <xdr:cNvSpPr>
            <a:spLocks/>
          </xdr:cNvSpPr>
        </xdr:nvSpPr>
        <xdr:spPr bwMode="auto">
          <a:xfrm>
            <a:off x="542925" y="95250"/>
            <a:ext cx="3057525" cy="1323975"/>
          </a:xfrm>
          <a:prstGeom prst="callout2">
            <a:avLst>
              <a:gd name="adj1" fmla="val 8634"/>
              <a:gd name="adj2" fmla="val 102491"/>
              <a:gd name="adj3" fmla="val 8634"/>
              <a:gd name="adj4" fmla="val 115264"/>
              <a:gd name="adj5" fmla="val 117264"/>
              <a:gd name="adj6" fmla="val 135204"/>
            </a:avLst>
          </a:prstGeom>
          <a:solidFill>
            <a:srgbClr val="FFFFFF"/>
          </a:solidFill>
          <a:ln w="9525">
            <a:solidFill>
              <a:srgbClr val="000000"/>
            </a:solidFill>
            <a:miter lim="800000"/>
            <a:headEnd/>
            <a:tailEnd type="triangle" w="lg" len="lg"/>
          </a:ln>
        </xdr:spPr>
        <xdr:txBody>
          <a:bodyPr vertOverflow="clip" wrap="square" lIns="0" tIns="41148" rIns="45720" bIns="0" anchor="t" upright="1"/>
          <a:lstStyle/>
          <a:p>
            <a:pPr algn="r" rtl="0">
              <a:defRPr sz="1000"/>
            </a:pPr>
            <a:r>
              <a:rPr lang="en-US" sz="2000" b="1" i="0" u="none" strike="noStrike" baseline="0">
                <a:solidFill>
                  <a:srgbClr val="000000"/>
                </a:solidFill>
                <a:latin typeface="Arial"/>
                <a:cs typeface="Arial"/>
              </a:rPr>
              <a:t>Heat Transfer Surfaces</a:t>
            </a:r>
          </a:p>
          <a:p>
            <a:pPr algn="r" rtl="0">
              <a:defRPr sz="1000"/>
            </a:pPr>
            <a:r>
              <a:rPr lang="en-US" sz="2000" b="1" i="0" u="none" strike="noStrike" baseline="0">
                <a:solidFill>
                  <a:srgbClr val="000000"/>
                </a:solidFill>
                <a:latin typeface="Arial"/>
                <a:cs typeface="Arial"/>
              </a:rPr>
              <a:t> on Top and Bottom of Container in Contact</a:t>
            </a:r>
          </a:p>
          <a:p>
            <a:pPr algn="r" rtl="0">
              <a:defRPr sz="1000"/>
            </a:pPr>
            <a:r>
              <a:rPr lang="en-US" sz="2000" b="1" i="0" u="none" strike="noStrike" baseline="0">
                <a:solidFill>
                  <a:srgbClr val="000000"/>
                </a:solidFill>
                <a:latin typeface="Arial"/>
                <a:cs typeface="Arial"/>
              </a:rPr>
              <a:t> with Cell Conductors</a:t>
            </a:r>
          </a:p>
        </xdr:txBody>
      </xdr:sp>
      <xdr:sp macro="" textlink="">
        <xdr:nvSpPr>
          <xdr:cNvPr id="138487" name="AutoShape 247"/>
          <xdr:cNvSpPr>
            <a:spLocks/>
          </xdr:cNvSpPr>
        </xdr:nvSpPr>
        <xdr:spPr bwMode="auto">
          <a:xfrm>
            <a:off x="619124" y="3019425"/>
            <a:ext cx="1400175" cy="723900"/>
          </a:xfrm>
          <a:prstGeom prst="callout2">
            <a:avLst>
              <a:gd name="adj1" fmla="val 15792"/>
              <a:gd name="adj2" fmla="val 104278"/>
              <a:gd name="adj3" fmla="val 15792"/>
              <a:gd name="adj4" fmla="val 117111"/>
              <a:gd name="adj5" fmla="val 39472"/>
              <a:gd name="adj6" fmla="val 148130"/>
            </a:avLst>
          </a:prstGeom>
          <a:solidFill>
            <a:srgbClr val="FFFFFF"/>
          </a:solidFill>
          <a:ln w="9525">
            <a:solidFill>
              <a:srgbClr val="000000"/>
            </a:solidFill>
            <a:miter lim="800000"/>
            <a:headEnd type="none" w="lg" len="lg"/>
            <a:tailEnd type="triangle" w="lg" len="lg"/>
          </a:ln>
        </xdr:spPr>
        <xdr:txBody>
          <a:bodyPr vertOverflow="clip" wrap="square" lIns="0" tIns="41148" rIns="45720" bIns="0" anchor="t" upright="1"/>
          <a:lstStyle/>
          <a:p>
            <a:pPr algn="r" rtl="0">
              <a:defRPr sz="1000"/>
            </a:pPr>
            <a:r>
              <a:rPr lang="en-US" sz="2000" b="1" i="0" u="none" strike="noStrike" baseline="0">
                <a:solidFill>
                  <a:srgbClr val="000000"/>
                </a:solidFill>
                <a:latin typeface="Arial"/>
                <a:cs typeface="Arial"/>
              </a:rPr>
              <a:t>Module Terminal </a:t>
            </a:r>
          </a:p>
        </xdr:txBody>
      </xdr:sp>
      <xdr:sp macro="" textlink="">
        <xdr:nvSpPr>
          <xdr:cNvPr id="138488" name="AutoShape 248"/>
          <xdr:cNvSpPr>
            <a:spLocks/>
          </xdr:cNvSpPr>
        </xdr:nvSpPr>
        <xdr:spPr bwMode="auto">
          <a:xfrm>
            <a:off x="457200" y="1809750"/>
            <a:ext cx="1781175" cy="857250"/>
          </a:xfrm>
          <a:prstGeom prst="callout2">
            <a:avLst>
              <a:gd name="adj1" fmla="val 13333"/>
              <a:gd name="adj2" fmla="val 104278"/>
              <a:gd name="adj3" fmla="val 13333"/>
              <a:gd name="adj4" fmla="val 126736"/>
              <a:gd name="adj5" fmla="val 71111"/>
              <a:gd name="adj6" fmla="val 181282"/>
            </a:avLst>
          </a:prstGeom>
          <a:solidFill>
            <a:srgbClr val="FFFFFF"/>
          </a:solidFill>
          <a:ln w="9525">
            <a:solidFill>
              <a:srgbClr val="000000"/>
            </a:solidFill>
            <a:miter lim="800000"/>
            <a:headEnd type="none" w="lg" len="lg"/>
            <a:tailEnd type="triangle" w="lg" len="lg"/>
          </a:ln>
        </xdr:spPr>
        <xdr:txBody>
          <a:bodyPr vertOverflow="clip" wrap="square" lIns="0" tIns="41148" rIns="45720" bIns="0" anchor="t" upright="1"/>
          <a:lstStyle/>
          <a:p>
            <a:pPr algn="r" rtl="0">
              <a:defRPr sz="1000"/>
            </a:pPr>
            <a:r>
              <a:rPr lang="en-US" sz="2000" b="1" i="0" u="none" strike="noStrike" baseline="0">
                <a:solidFill>
                  <a:srgbClr val="000000"/>
                </a:solidFill>
                <a:latin typeface="Arial"/>
                <a:cs typeface="Arial"/>
              </a:rPr>
              <a:t>Cell Terminal Connections</a:t>
            </a:r>
          </a:p>
        </xdr:txBody>
      </xdr:sp>
      <xdr:sp macro="" textlink="">
        <xdr:nvSpPr>
          <xdr:cNvPr id="138489" name="AutoShape 249"/>
          <xdr:cNvSpPr>
            <a:spLocks/>
          </xdr:cNvSpPr>
        </xdr:nvSpPr>
        <xdr:spPr bwMode="auto">
          <a:xfrm>
            <a:off x="6991350" y="4791075"/>
            <a:ext cx="2105025" cy="733425"/>
          </a:xfrm>
          <a:prstGeom prst="callout2">
            <a:avLst>
              <a:gd name="adj1" fmla="val 15583"/>
              <a:gd name="adj2" fmla="val -3347"/>
              <a:gd name="adj3" fmla="val 15583"/>
              <a:gd name="adj4" fmla="val -20921"/>
              <a:gd name="adj5" fmla="val -92208"/>
              <a:gd name="adj6" fmla="val -51046"/>
            </a:avLst>
          </a:prstGeom>
          <a:solidFill>
            <a:srgbClr val="FFFFFF"/>
          </a:solidFill>
          <a:ln w="9525">
            <a:solidFill>
              <a:srgbClr val="000000"/>
            </a:solidFill>
            <a:miter lim="800000"/>
            <a:headEnd/>
            <a:tailEnd type="triangle" w="lg" len="lg"/>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Double-Seamed Module Closure</a:t>
            </a:r>
          </a:p>
        </xdr:txBody>
      </xdr:sp>
    </xdr:grpSp>
    <xdr:clientData/>
  </xdr:twoCellAnchor>
  <xdr:twoCellAnchor>
    <xdr:from>
      <xdr:col>3</xdr:col>
      <xdr:colOff>0</xdr:colOff>
      <xdr:row>36</xdr:row>
      <xdr:rowOff>38099</xdr:rowOff>
    </xdr:from>
    <xdr:to>
      <xdr:col>12</xdr:col>
      <xdr:colOff>85725</xdr:colOff>
      <xdr:row>41</xdr:row>
      <xdr:rowOff>95249</xdr:rowOff>
    </xdr:to>
    <xdr:sp macro="" textlink="">
      <xdr:nvSpPr>
        <xdr:cNvPr id="7" name="TextBox 6"/>
        <xdr:cNvSpPr txBox="1"/>
      </xdr:nvSpPr>
      <xdr:spPr>
        <a:xfrm>
          <a:off x="1828800" y="5867399"/>
          <a:ext cx="557212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t>Module</a:t>
          </a:r>
          <a:r>
            <a:rPr lang="en-US" sz="2400" b="1" baseline="0"/>
            <a:t> with Sealed Aluminum Container Designed for Liquid Cooling</a:t>
          </a:r>
        </a:p>
      </xdr:txBody>
    </xdr:sp>
    <xdr:clientData/>
  </xdr:twoCellAnchor>
  <xdr:twoCellAnchor>
    <xdr:from>
      <xdr:col>3</xdr:col>
      <xdr:colOff>28576</xdr:colOff>
      <xdr:row>77</xdr:row>
      <xdr:rowOff>19050</xdr:rowOff>
    </xdr:from>
    <xdr:to>
      <xdr:col>12</xdr:col>
      <xdr:colOff>561976</xdr:colOff>
      <xdr:row>82</xdr:row>
      <xdr:rowOff>76200</xdr:rowOff>
    </xdr:to>
    <xdr:sp macro="" textlink="">
      <xdr:nvSpPr>
        <xdr:cNvPr id="353" name="TextBox 352"/>
        <xdr:cNvSpPr txBox="1"/>
      </xdr:nvSpPr>
      <xdr:spPr>
        <a:xfrm>
          <a:off x="1857376" y="12487275"/>
          <a:ext cx="6019800"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t>Module</a:t>
          </a:r>
          <a:r>
            <a:rPr lang="en-US" sz="2400" b="1" baseline="0"/>
            <a:t> </a:t>
          </a:r>
          <a:r>
            <a:rPr lang="en-US" sz="2400" b="1" baseline="0">
              <a:solidFill>
                <a:schemeClr val="dk1"/>
              </a:solidFill>
              <a:effectLst/>
              <a:latin typeface="+mn-lt"/>
              <a:ea typeface="+mn-ea"/>
              <a:cs typeface="+mn-cs"/>
            </a:rPr>
            <a:t>Designed for Air Cooling </a:t>
          </a:r>
          <a:r>
            <a:rPr lang="en-US" sz="2400" b="1" baseline="0"/>
            <a:t>with Polymer Container Open on Top and Bottom </a:t>
          </a:r>
        </a:p>
      </xdr:txBody>
    </xdr:sp>
    <xdr:clientData/>
  </xdr:twoCellAnchor>
  <xdr:twoCellAnchor>
    <xdr:from>
      <xdr:col>0</xdr:col>
      <xdr:colOff>257175</xdr:colOff>
      <xdr:row>42</xdr:row>
      <xdr:rowOff>66675</xdr:rowOff>
    </xdr:from>
    <xdr:to>
      <xdr:col>16</xdr:col>
      <xdr:colOff>247650</xdr:colOff>
      <xdr:row>78</xdr:row>
      <xdr:rowOff>85726</xdr:rowOff>
    </xdr:to>
    <xdr:grpSp>
      <xdr:nvGrpSpPr>
        <xdr:cNvPr id="289" name="Group 288"/>
        <xdr:cNvGrpSpPr/>
      </xdr:nvGrpSpPr>
      <xdr:grpSpPr>
        <a:xfrm>
          <a:off x="257175" y="6867525"/>
          <a:ext cx="9744075" cy="5848351"/>
          <a:chOff x="257175" y="6867525"/>
          <a:chExt cx="9744075" cy="5848351"/>
        </a:xfrm>
      </xdr:grpSpPr>
      <xdr:sp macro="" textlink="">
        <xdr:nvSpPr>
          <xdr:cNvPr id="11309" name="Rectangle 11308"/>
          <xdr:cNvSpPr/>
        </xdr:nvSpPr>
        <xdr:spPr>
          <a:xfrm>
            <a:off x="8496300" y="7534276"/>
            <a:ext cx="1228725" cy="400050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4" name="Group 3"/>
          <xdr:cNvGrpSpPr/>
        </xdr:nvGrpSpPr>
        <xdr:grpSpPr>
          <a:xfrm>
            <a:off x="257175" y="7162800"/>
            <a:ext cx="7515500" cy="4962525"/>
            <a:chOff x="257175" y="7162800"/>
            <a:chExt cx="7515500" cy="4962525"/>
          </a:xfrm>
        </xdr:grpSpPr>
        <xdr:sp macro="" textlink="">
          <xdr:nvSpPr>
            <xdr:cNvPr id="2" name="Freeform 1"/>
            <xdr:cNvSpPr/>
          </xdr:nvSpPr>
          <xdr:spPr>
            <a:xfrm>
              <a:off x="2771774" y="7162800"/>
              <a:ext cx="4972051" cy="2200275"/>
            </a:xfrm>
            <a:custGeom>
              <a:avLst/>
              <a:gdLst>
                <a:gd name="connsiteX0" fmla="*/ 0 w 4810125"/>
                <a:gd name="connsiteY0" fmla="*/ 1838325 h 1933575"/>
                <a:gd name="connsiteX1" fmla="*/ 1828800 w 4810125"/>
                <a:gd name="connsiteY1" fmla="*/ 0 h 1933575"/>
                <a:gd name="connsiteX2" fmla="*/ 4810125 w 4810125"/>
                <a:gd name="connsiteY2" fmla="*/ 19050 h 1933575"/>
                <a:gd name="connsiteX3" fmla="*/ 1600200 w 4810125"/>
                <a:gd name="connsiteY3" fmla="*/ 1933575 h 1933575"/>
                <a:gd name="connsiteX4" fmla="*/ 0 w 4810125"/>
                <a:gd name="connsiteY4" fmla="*/ 1838325 h 1933575"/>
                <a:gd name="connsiteX0" fmla="*/ 0 w 4810125"/>
                <a:gd name="connsiteY0" fmla="*/ 1847850 h 1943100"/>
                <a:gd name="connsiteX1" fmla="*/ 1828800 w 4810125"/>
                <a:gd name="connsiteY1" fmla="*/ 9525 h 1943100"/>
                <a:gd name="connsiteX2" fmla="*/ 4810125 w 4810125"/>
                <a:gd name="connsiteY2" fmla="*/ 0 h 1943100"/>
                <a:gd name="connsiteX3" fmla="*/ 1600200 w 4810125"/>
                <a:gd name="connsiteY3" fmla="*/ 1943100 h 1943100"/>
                <a:gd name="connsiteX4" fmla="*/ 0 w 4810125"/>
                <a:gd name="connsiteY4" fmla="*/ 1847850 h 1943100"/>
                <a:gd name="connsiteX0" fmla="*/ 0 w 4810125"/>
                <a:gd name="connsiteY0" fmla="*/ 1847850 h 2200275"/>
                <a:gd name="connsiteX1" fmla="*/ 1828800 w 4810125"/>
                <a:gd name="connsiteY1" fmla="*/ 9525 h 2200275"/>
                <a:gd name="connsiteX2" fmla="*/ 4810125 w 4810125"/>
                <a:gd name="connsiteY2" fmla="*/ 0 h 2200275"/>
                <a:gd name="connsiteX3" fmla="*/ 3343275 w 4810125"/>
                <a:gd name="connsiteY3" fmla="*/ 2200275 h 2200275"/>
                <a:gd name="connsiteX4" fmla="*/ 0 w 4810125"/>
                <a:gd name="connsiteY4" fmla="*/ 1847850 h 2200275"/>
                <a:gd name="connsiteX0" fmla="*/ 0 w 4933950"/>
                <a:gd name="connsiteY0" fmla="*/ 1857375 h 2200275"/>
                <a:gd name="connsiteX1" fmla="*/ 1952625 w 4933950"/>
                <a:gd name="connsiteY1" fmla="*/ 9525 h 2200275"/>
                <a:gd name="connsiteX2" fmla="*/ 4933950 w 4933950"/>
                <a:gd name="connsiteY2" fmla="*/ 0 h 2200275"/>
                <a:gd name="connsiteX3" fmla="*/ 3467100 w 4933950"/>
                <a:gd name="connsiteY3" fmla="*/ 2200275 h 2200275"/>
                <a:gd name="connsiteX4" fmla="*/ 0 w 4933950"/>
                <a:gd name="connsiteY4" fmla="*/ 1857375 h 2200275"/>
                <a:gd name="connsiteX0" fmla="*/ 0 w 4933950"/>
                <a:gd name="connsiteY0" fmla="*/ 1857375 h 2200275"/>
                <a:gd name="connsiteX1" fmla="*/ 1771650 w 4933950"/>
                <a:gd name="connsiteY1" fmla="*/ 0 h 2200275"/>
                <a:gd name="connsiteX2" fmla="*/ 4933950 w 4933950"/>
                <a:gd name="connsiteY2" fmla="*/ 0 h 2200275"/>
                <a:gd name="connsiteX3" fmla="*/ 3467100 w 4933950"/>
                <a:gd name="connsiteY3" fmla="*/ 2200275 h 2200275"/>
                <a:gd name="connsiteX4" fmla="*/ 0 w 4933950"/>
                <a:gd name="connsiteY4" fmla="*/ 1857375 h 2200275"/>
                <a:gd name="connsiteX0" fmla="*/ 0 w 5000625"/>
                <a:gd name="connsiteY0" fmla="*/ 1857375 h 2200275"/>
                <a:gd name="connsiteX1" fmla="*/ 1838325 w 5000625"/>
                <a:gd name="connsiteY1" fmla="*/ 0 h 2200275"/>
                <a:gd name="connsiteX2" fmla="*/ 5000625 w 5000625"/>
                <a:gd name="connsiteY2" fmla="*/ 0 h 2200275"/>
                <a:gd name="connsiteX3" fmla="*/ 3533775 w 5000625"/>
                <a:gd name="connsiteY3" fmla="*/ 2200275 h 2200275"/>
                <a:gd name="connsiteX4" fmla="*/ 0 w 5000625"/>
                <a:gd name="connsiteY4" fmla="*/ 1857375 h 22002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00625" h="2200275">
                  <a:moveTo>
                    <a:pt x="0" y="1857375"/>
                  </a:moveTo>
                  <a:lnTo>
                    <a:pt x="1838325" y="0"/>
                  </a:lnTo>
                  <a:lnTo>
                    <a:pt x="5000625" y="0"/>
                  </a:lnTo>
                  <a:lnTo>
                    <a:pt x="3533775" y="2200275"/>
                  </a:lnTo>
                  <a:lnTo>
                    <a:pt x="0" y="1857375"/>
                  </a:lnTo>
                  <a:close/>
                </a:path>
              </a:pathLst>
            </a:custGeom>
            <a:gradFill flip="none" rotWithShape="1">
              <a:gsLst>
                <a:gs pos="0">
                  <a:schemeClr val="tx2">
                    <a:lumMod val="20000"/>
                    <a:lumOff val="80000"/>
                    <a:shade val="30000"/>
                    <a:satMod val="115000"/>
                  </a:schemeClr>
                </a:gs>
                <a:gs pos="50000">
                  <a:schemeClr val="tx2">
                    <a:lumMod val="20000"/>
                    <a:lumOff val="80000"/>
                    <a:shade val="67500"/>
                    <a:satMod val="115000"/>
                  </a:schemeClr>
                </a:gs>
                <a:gs pos="100000">
                  <a:schemeClr val="tx2">
                    <a:lumMod val="20000"/>
                    <a:lumOff val="80000"/>
                    <a:shade val="100000"/>
                    <a:satMod val="115000"/>
                  </a:schemeClr>
                </a:gs>
              </a:gsLst>
              <a:path path="circle">
                <a:fillToRect l="100000" b="100000"/>
              </a:path>
              <a:tileRect t="-100000" r="-100000"/>
            </a:gra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Freeform 16"/>
            <xdr:cNvSpPr/>
          </xdr:nvSpPr>
          <xdr:spPr>
            <a:xfrm>
              <a:off x="3114761" y="7180107"/>
              <a:ext cx="1796421" cy="1829703"/>
            </a:xfrm>
            <a:custGeom>
              <a:avLst/>
              <a:gdLst>
                <a:gd name="connsiteX0" fmla="*/ 1733550 w 1733550"/>
                <a:gd name="connsiteY0" fmla="*/ 0 h 1800225"/>
                <a:gd name="connsiteX1" fmla="*/ 1733550 w 1733550"/>
                <a:gd name="connsiteY1" fmla="*/ 219075 h 1800225"/>
                <a:gd name="connsiteX2" fmla="*/ 200025 w 1733550"/>
                <a:gd name="connsiteY2" fmla="*/ 1800225 h 1800225"/>
                <a:gd name="connsiteX3" fmla="*/ 0 w 1733550"/>
                <a:gd name="connsiteY3" fmla="*/ 1790700 h 1800225"/>
                <a:gd name="connsiteX4" fmla="*/ 1733550 w 1733550"/>
                <a:gd name="connsiteY4" fmla="*/ 0 h 1800225"/>
                <a:gd name="connsiteX0" fmla="*/ 1746250 w 1746250"/>
                <a:gd name="connsiteY0" fmla="*/ 0 h 1800225"/>
                <a:gd name="connsiteX1" fmla="*/ 1746250 w 1746250"/>
                <a:gd name="connsiteY1" fmla="*/ 219075 h 1800225"/>
                <a:gd name="connsiteX2" fmla="*/ 212725 w 1746250"/>
                <a:gd name="connsiteY2" fmla="*/ 1800225 h 1800225"/>
                <a:gd name="connsiteX3" fmla="*/ 0 w 1746250"/>
                <a:gd name="connsiteY3" fmla="*/ 1790700 h 1800225"/>
                <a:gd name="connsiteX4" fmla="*/ 1746250 w 1746250"/>
                <a:gd name="connsiteY4" fmla="*/ 0 h 1800225"/>
                <a:gd name="connsiteX0" fmla="*/ 1746250 w 1746250"/>
                <a:gd name="connsiteY0" fmla="*/ 0 h 1795964"/>
                <a:gd name="connsiteX1" fmla="*/ 1746250 w 1746250"/>
                <a:gd name="connsiteY1" fmla="*/ 219075 h 1795964"/>
                <a:gd name="connsiteX2" fmla="*/ 221192 w 1746250"/>
                <a:gd name="connsiteY2" fmla="*/ 1795964 h 1795964"/>
                <a:gd name="connsiteX3" fmla="*/ 0 w 1746250"/>
                <a:gd name="connsiteY3" fmla="*/ 1790700 h 1795964"/>
                <a:gd name="connsiteX4" fmla="*/ 1746250 w 1746250"/>
                <a:gd name="connsiteY4" fmla="*/ 0 h 1795964"/>
                <a:gd name="connsiteX0" fmla="*/ 1752056 w 1752056"/>
                <a:gd name="connsiteY0" fmla="*/ 0 h 1845121"/>
                <a:gd name="connsiteX1" fmla="*/ 1746250 w 1752056"/>
                <a:gd name="connsiteY1" fmla="*/ 268232 h 1845121"/>
                <a:gd name="connsiteX2" fmla="*/ 221192 w 1752056"/>
                <a:gd name="connsiteY2" fmla="*/ 1845121 h 1845121"/>
                <a:gd name="connsiteX3" fmla="*/ 0 w 1752056"/>
                <a:gd name="connsiteY3" fmla="*/ 1839857 h 1845121"/>
                <a:gd name="connsiteX4" fmla="*/ 1752056 w 1752056"/>
                <a:gd name="connsiteY4" fmla="*/ 0 h 1845121"/>
                <a:gd name="connsiteX0" fmla="*/ 1752056 w 1752056"/>
                <a:gd name="connsiteY0" fmla="*/ 0 h 1839857"/>
                <a:gd name="connsiteX1" fmla="*/ 1746250 w 1752056"/>
                <a:gd name="connsiteY1" fmla="*/ 268232 h 1839857"/>
                <a:gd name="connsiteX2" fmla="*/ 236822 w 1752056"/>
                <a:gd name="connsiteY2" fmla="*/ 1829454 h 1839857"/>
                <a:gd name="connsiteX3" fmla="*/ 0 w 1752056"/>
                <a:gd name="connsiteY3" fmla="*/ 1839857 h 1839857"/>
                <a:gd name="connsiteX4" fmla="*/ 1752056 w 1752056"/>
                <a:gd name="connsiteY4" fmla="*/ 0 h 1839857"/>
                <a:gd name="connsiteX0" fmla="*/ 1796340 w 1796340"/>
                <a:gd name="connsiteY0" fmla="*/ 0 h 1829454"/>
                <a:gd name="connsiteX1" fmla="*/ 1790534 w 1796340"/>
                <a:gd name="connsiteY1" fmla="*/ 268232 h 1829454"/>
                <a:gd name="connsiteX2" fmla="*/ 281106 w 1796340"/>
                <a:gd name="connsiteY2" fmla="*/ 1829454 h 1829454"/>
                <a:gd name="connsiteX3" fmla="*/ 0 w 1796340"/>
                <a:gd name="connsiteY3" fmla="*/ 1782409 h 1829454"/>
                <a:gd name="connsiteX4" fmla="*/ 1796340 w 1796340"/>
                <a:gd name="connsiteY4" fmla="*/ 0 h 182945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6340" h="1829454">
                  <a:moveTo>
                    <a:pt x="1796340" y="0"/>
                  </a:moveTo>
                  <a:lnTo>
                    <a:pt x="1790534" y="268232"/>
                  </a:lnTo>
                  <a:lnTo>
                    <a:pt x="281106" y="1829454"/>
                  </a:lnTo>
                  <a:lnTo>
                    <a:pt x="0" y="1782409"/>
                  </a:lnTo>
                  <a:lnTo>
                    <a:pt x="1796340" y="0"/>
                  </a:lnTo>
                  <a:close/>
                </a:path>
              </a:pathLst>
            </a:custGeom>
            <a:solidFill>
              <a:schemeClr val="accent5">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 name="Straight Connector 7"/>
            <xdr:cNvCxnSpPr>
              <a:stCxn id="2" idx="1"/>
            </xdr:cNvCxnSpPr>
          </xdr:nvCxnSpPr>
          <xdr:spPr>
            <a:xfrm>
              <a:off x="4599595" y="7162800"/>
              <a:ext cx="10505" cy="319617"/>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548" name="Freeform 95"/>
            <xdr:cNvSpPr>
              <a:spLocks/>
            </xdr:cNvSpPr>
          </xdr:nvSpPr>
          <xdr:spPr bwMode="auto">
            <a:xfrm>
              <a:off x="3367106" y="7281859"/>
              <a:ext cx="1814532" cy="1623998"/>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 name="connsiteX0" fmla="*/ 3692 w 25693"/>
                <a:gd name="connsiteY0" fmla="*/ 41585 h 41585"/>
                <a:gd name="connsiteX1" fmla="*/ 0 w 25693"/>
                <a:gd name="connsiteY1" fmla="*/ 41585 h 41585"/>
                <a:gd name="connsiteX2" fmla="*/ 25693 w 25693"/>
                <a:gd name="connsiteY2" fmla="*/ 0 h 41585"/>
                <a:gd name="connsiteX3" fmla="*/ 10000 w 25693"/>
                <a:gd name="connsiteY3" fmla="*/ 31585 h 41585"/>
                <a:gd name="connsiteX4" fmla="*/ 3692 w 25693"/>
                <a:gd name="connsiteY4" fmla="*/ 41585 h 41585"/>
                <a:gd name="connsiteX0" fmla="*/ 3692 w 29000"/>
                <a:gd name="connsiteY0" fmla="*/ 41585 h 41585"/>
                <a:gd name="connsiteX1" fmla="*/ 0 w 29000"/>
                <a:gd name="connsiteY1" fmla="*/ 41585 h 41585"/>
                <a:gd name="connsiteX2" fmla="*/ 25693 w 29000"/>
                <a:gd name="connsiteY2" fmla="*/ 0 h 41585"/>
                <a:gd name="connsiteX3" fmla="*/ 29000 w 29000"/>
                <a:gd name="connsiteY3" fmla="*/ 122 h 41585"/>
                <a:gd name="connsiteX4" fmla="*/ 3692 w 29000"/>
                <a:gd name="connsiteY4" fmla="*/ 41585 h 41585"/>
                <a:gd name="connsiteX0" fmla="*/ 3692 w 29308"/>
                <a:gd name="connsiteY0" fmla="*/ 41585 h 41585"/>
                <a:gd name="connsiteX1" fmla="*/ 0 w 29308"/>
                <a:gd name="connsiteY1" fmla="*/ 41585 h 41585"/>
                <a:gd name="connsiteX2" fmla="*/ 25693 w 29308"/>
                <a:gd name="connsiteY2" fmla="*/ 0 h 41585"/>
                <a:gd name="connsiteX3" fmla="*/ 29308 w 29308"/>
                <a:gd name="connsiteY3" fmla="*/ 244 h 41585"/>
                <a:gd name="connsiteX4" fmla="*/ 3692 w 29308"/>
                <a:gd name="connsiteY4" fmla="*/ 41585 h 415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308" h="41585">
                  <a:moveTo>
                    <a:pt x="3692" y="41585"/>
                  </a:moveTo>
                  <a:lnTo>
                    <a:pt x="0" y="41585"/>
                  </a:lnTo>
                  <a:lnTo>
                    <a:pt x="25693" y="0"/>
                  </a:lnTo>
                  <a:lnTo>
                    <a:pt x="29308" y="244"/>
                  </a:lnTo>
                  <a:lnTo>
                    <a:pt x="3692" y="41585"/>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549" name="Freeform 96"/>
            <xdr:cNvSpPr>
              <a:spLocks/>
            </xdr:cNvSpPr>
          </xdr:nvSpPr>
          <xdr:spPr bwMode="auto">
            <a:xfrm>
              <a:off x="3367104" y="7296135"/>
              <a:ext cx="1804997" cy="1762138"/>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10000 w 29154"/>
                <a:gd name="connsiteY4" fmla="*/ 27872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1063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744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744 h 39362"/>
                <a:gd name="connsiteX5" fmla="*/ 29154 w 29154"/>
                <a:gd name="connsiteY5" fmla="*/ 0 h 39362"/>
                <a:gd name="connsiteX6" fmla="*/ 3692 w 29154"/>
                <a:gd name="connsiteY6" fmla="*/ 35957 h 39362"/>
                <a:gd name="connsiteX7" fmla="*/ 0 w 29154"/>
                <a:gd name="connsiteY7" fmla="*/ 35957 h 39362"/>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3191 h 39362"/>
                <a:gd name="connsiteX5" fmla="*/ 29154 w 29154"/>
                <a:gd name="connsiteY5" fmla="*/ 0 h 39362"/>
                <a:gd name="connsiteX6" fmla="*/ 3692 w 29154"/>
                <a:gd name="connsiteY6" fmla="*/ 35957 h 39362"/>
                <a:gd name="connsiteX7" fmla="*/ 0 w 29154"/>
                <a:gd name="connsiteY7" fmla="*/ 35957 h 3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154" h="39362">
                  <a:moveTo>
                    <a:pt x="0" y="35957"/>
                  </a:moveTo>
                  <a:lnTo>
                    <a:pt x="0" y="37234"/>
                  </a:lnTo>
                  <a:lnTo>
                    <a:pt x="462" y="36596"/>
                  </a:lnTo>
                  <a:lnTo>
                    <a:pt x="3692" y="39362"/>
                  </a:lnTo>
                  <a:lnTo>
                    <a:pt x="29154" y="3191"/>
                  </a:lnTo>
                  <a:lnTo>
                    <a:pt x="29154" y="0"/>
                  </a:lnTo>
                  <a:lnTo>
                    <a:pt x="3692" y="35957"/>
                  </a:lnTo>
                  <a:lnTo>
                    <a:pt x="0" y="35957"/>
                  </a:lnTo>
                  <a:close/>
                </a:path>
              </a:pathLst>
            </a:custGeom>
            <a:gradFill>
              <a:gsLst>
                <a:gs pos="0">
                  <a:schemeClr val="bg1">
                    <a:lumMod val="50000"/>
                  </a:schemeClr>
                </a:gs>
                <a:gs pos="50000">
                  <a:schemeClr val="bg1">
                    <a:lumMod val="60000"/>
                  </a:schemeClr>
                </a:gs>
                <a:gs pos="100000">
                  <a:schemeClr val="accent1">
                    <a:tint val="23500"/>
                    <a:satMod val="160000"/>
                    <a:lumMod val="73000"/>
                  </a:schemeClr>
                </a:gs>
              </a:gsLst>
              <a:lin ang="5400000" scaled="0"/>
            </a:gradFill>
            <a:ln w="6350" cmpd="sng">
              <a:solidFill>
                <a:srgbClr val="000000"/>
              </a:solidFill>
              <a:round/>
              <a:headEnd/>
              <a:tailEnd/>
            </a:ln>
          </xdr:spPr>
        </xdr:sp>
        <xdr:grpSp>
          <xdr:nvGrpSpPr>
            <xdr:cNvPr id="359" name="Group 358"/>
            <xdr:cNvGrpSpPr/>
          </xdr:nvGrpSpPr>
          <xdr:grpSpPr>
            <a:xfrm>
              <a:off x="3695735" y="7296132"/>
              <a:ext cx="1814534" cy="1776414"/>
              <a:chOff x="2309829" y="6062659"/>
              <a:chExt cx="1814534" cy="1776414"/>
            </a:xfrm>
          </xdr:grpSpPr>
          <xdr:sp macro="" textlink="">
            <xdr:nvSpPr>
              <xdr:cNvPr id="360" name="Freeform 95"/>
              <xdr:cNvSpPr>
                <a:spLocks/>
              </xdr:cNvSpPr>
            </xdr:nvSpPr>
            <xdr:spPr bwMode="auto">
              <a:xfrm>
                <a:off x="2309831" y="6062659"/>
                <a:ext cx="1814532" cy="1623998"/>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 name="connsiteX0" fmla="*/ 3692 w 25693"/>
                  <a:gd name="connsiteY0" fmla="*/ 41585 h 41585"/>
                  <a:gd name="connsiteX1" fmla="*/ 0 w 25693"/>
                  <a:gd name="connsiteY1" fmla="*/ 41585 h 41585"/>
                  <a:gd name="connsiteX2" fmla="*/ 25693 w 25693"/>
                  <a:gd name="connsiteY2" fmla="*/ 0 h 41585"/>
                  <a:gd name="connsiteX3" fmla="*/ 10000 w 25693"/>
                  <a:gd name="connsiteY3" fmla="*/ 31585 h 41585"/>
                  <a:gd name="connsiteX4" fmla="*/ 3692 w 25693"/>
                  <a:gd name="connsiteY4" fmla="*/ 41585 h 41585"/>
                  <a:gd name="connsiteX0" fmla="*/ 3692 w 29000"/>
                  <a:gd name="connsiteY0" fmla="*/ 41585 h 41585"/>
                  <a:gd name="connsiteX1" fmla="*/ 0 w 29000"/>
                  <a:gd name="connsiteY1" fmla="*/ 41585 h 41585"/>
                  <a:gd name="connsiteX2" fmla="*/ 25693 w 29000"/>
                  <a:gd name="connsiteY2" fmla="*/ 0 h 41585"/>
                  <a:gd name="connsiteX3" fmla="*/ 29000 w 29000"/>
                  <a:gd name="connsiteY3" fmla="*/ 122 h 41585"/>
                  <a:gd name="connsiteX4" fmla="*/ 3692 w 29000"/>
                  <a:gd name="connsiteY4" fmla="*/ 41585 h 41585"/>
                  <a:gd name="connsiteX0" fmla="*/ 3692 w 29308"/>
                  <a:gd name="connsiteY0" fmla="*/ 41585 h 41585"/>
                  <a:gd name="connsiteX1" fmla="*/ 0 w 29308"/>
                  <a:gd name="connsiteY1" fmla="*/ 41585 h 41585"/>
                  <a:gd name="connsiteX2" fmla="*/ 25693 w 29308"/>
                  <a:gd name="connsiteY2" fmla="*/ 0 h 41585"/>
                  <a:gd name="connsiteX3" fmla="*/ 29308 w 29308"/>
                  <a:gd name="connsiteY3" fmla="*/ 244 h 41585"/>
                  <a:gd name="connsiteX4" fmla="*/ 3692 w 29308"/>
                  <a:gd name="connsiteY4" fmla="*/ 41585 h 415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308" h="41585">
                    <a:moveTo>
                      <a:pt x="3692" y="41585"/>
                    </a:moveTo>
                    <a:lnTo>
                      <a:pt x="0" y="41585"/>
                    </a:lnTo>
                    <a:lnTo>
                      <a:pt x="25693" y="0"/>
                    </a:lnTo>
                    <a:lnTo>
                      <a:pt x="29308" y="244"/>
                    </a:lnTo>
                    <a:lnTo>
                      <a:pt x="3692" y="41585"/>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361" name="Freeform 96"/>
              <xdr:cNvSpPr>
                <a:spLocks/>
              </xdr:cNvSpPr>
            </xdr:nvSpPr>
            <xdr:spPr bwMode="auto">
              <a:xfrm>
                <a:off x="2309829" y="6076935"/>
                <a:ext cx="1804997" cy="1762138"/>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10000 w 29154"/>
                  <a:gd name="connsiteY4" fmla="*/ 27872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1063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744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744 h 39362"/>
                  <a:gd name="connsiteX5" fmla="*/ 29154 w 29154"/>
                  <a:gd name="connsiteY5" fmla="*/ 0 h 39362"/>
                  <a:gd name="connsiteX6" fmla="*/ 3692 w 29154"/>
                  <a:gd name="connsiteY6" fmla="*/ 35957 h 39362"/>
                  <a:gd name="connsiteX7" fmla="*/ 0 w 29154"/>
                  <a:gd name="connsiteY7" fmla="*/ 35957 h 39362"/>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3191 h 39362"/>
                  <a:gd name="connsiteX5" fmla="*/ 29154 w 29154"/>
                  <a:gd name="connsiteY5" fmla="*/ 0 h 39362"/>
                  <a:gd name="connsiteX6" fmla="*/ 3692 w 29154"/>
                  <a:gd name="connsiteY6" fmla="*/ 35957 h 39362"/>
                  <a:gd name="connsiteX7" fmla="*/ 0 w 29154"/>
                  <a:gd name="connsiteY7" fmla="*/ 35957 h 3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154" h="39362">
                    <a:moveTo>
                      <a:pt x="0" y="35957"/>
                    </a:moveTo>
                    <a:lnTo>
                      <a:pt x="0" y="37234"/>
                    </a:lnTo>
                    <a:lnTo>
                      <a:pt x="462" y="36596"/>
                    </a:lnTo>
                    <a:lnTo>
                      <a:pt x="3692" y="39362"/>
                    </a:lnTo>
                    <a:lnTo>
                      <a:pt x="29154" y="3191"/>
                    </a:lnTo>
                    <a:lnTo>
                      <a:pt x="29154" y="0"/>
                    </a:lnTo>
                    <a:lnTo>
                      <a:pt x="3692" y="35957"/>
                    </a:lnTo>
                    <a:lnTo>
                      <a:pt x="0" y="35957"/>
                    </a:lnTo>
                    <a:close/>
                  </a:path>
                </a:pathLst>
              </a:custGeom>
              <a:gradFill>
                <a:gsLst>
                  <a:gs pos="0">
                    <a:schemeClr val="bg1">
                      <a:lumMod val="50000"/>
                    </a:schemeClr>
                  </a:gs>
                  <a:gs pos="50000">
                    <a:schemeClr val="bg1">
                      <a:lumMod val="60000"/>
                    </a:schemeClr>
                  </a:gs>
                  <a:gs pos="100000">
                    <a:schemeClr val="accent1">
                      <a:tint val="23500"/>
                      <a:satMod val="160000"/>
                      <a:lumMod val="73000"/>
                    </a:schemeClr>
                  </a:gs>
                </a:gsLst>
                <a:lin ang="5400000" scaled="0"/>
              </a:gradFill>
              <a:ln w="6350" cmpd="sng">
                <a:solidFill>
                  <a:srgbClr val="000000"/>
                </a:solidFill>
                <a:round/>
                <a:headEnd/>
                <a:tailEnd/>
              </a:ln>
            </xdr:spPr>
          </xdr:sp>
        </xdr:grpSp>
        <xdr:grpSp>
          <xdr:nvGrpSpPr>
            <xdr:cNvPr id="364" name="Group 363"/>
            <xdr:cNvGrpSpPr/>
          </xdr:nvGrpSpPr>
          <xdr:grpSpPr>
            <a:xfrm>
              <a:off x="4048143" y="7281859"/>
              <a:ext cx="1814534" cy="1776414"/>
              <a:chOff x="2309829" y="6062659"/>
              <a:chExt cx="1814534" cy="1776414"/>
            </a:xfrm>
          </xdr:grpSpPr>
          <xdr:sp macro="" textlink="">
            <xdr:nvSpPr>
              <xdr:cNvPr id="380" name="Freeform 95"/>
              <xdr:cNvSpPr>
                <a:spLocks/>
              </xdr:cNvSpPr>
            </xdr:nvSpPr>
            <xdr:spPr bwMode="auto">
              <a:xfrm>
                <a:off x="2309831" y="6062659"/>
                <a:ext cx="1814532" cy="1623998"/>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 name="connsiteX0" fmla="*/ 3692 w 25693"/>
                  <a:gd name="connsiteY0" fmla="*/ 41585 h 41585"/>
                  <a:gd name="connsiteX1" fmla="*/ 0 w 25693"/>
                  <a:gd name="connsiteY1" fmla="*/ 41585 h 41585"/>
                  <a:gd name="connsiteX2" fmla="*/ 25693 w 25693"/>
                  <a:gd name="connsiteY2" fmla="*/ 0 h 41585"/>
                  <a:gd name="connsiteX3" fmla="*/ 10000 w 25693"/>
                  <a:gd name="connsiteY3" fmla="*/ 31585 h 41585"/>
                  <a:gd name="connsiteX4" fmla="*/ 3692 w 25693"/>
                  <a:gd name="connsiteY4" fmla="*/ 41585 h 41585"/>
                  <a:gd name="connsiteX0" fmla="*/ 3692 w 29000"/>
                  <a:gd name="connsiteY0" fmla="*/ 41585 h 41585"/>
                  <a:gd name="connsiteX1" fmla="*/ 0 w 29000"/>
                  <a:gd name="connsiteY1" fmla="*/ 41585 h 41585"/>
                  <a:gd name="connsiteX2" fmla="*/ 25693 w 29000"/>
                  <a:gd name="connsiteY2" fmla="*/ 0 h 41585"/>
                  <a:gd name="connsiteX3" fmla="*/ 29000 w 29000"/>
                  <a:gd name="connsiteY3" fmla="*/ 122 h 41585"/>
                  <a:gd name="connsiteX4" fmla="*/ 3692 w 29000"/>
                  <a:gd name="connsiteY4" fmla="*/ 41585 h 41585"/>
                  <a:gd name="connsiteX0" fmla="*/ 3692 w 29308"/>
                  <a:gd name="connsiteY0" fmla="*/ 41585 h 41585"/>
                  <a:gd name="connsiteX1" fmla="*/ 0 w 29308"/>
                  <a:gd name="connsiteY1" fmla="*/ 41585 h 41585"/>
                  <a:gd name="connsiteX2" fmla="*/ 25693 w 29308"/>
                  <a:gd name="connsiteY2" fmla="*/ 0 h 41585"/>
                  <a:gd name="connsiteX3" fmla="*/ 29308 w 29308"/>
                  <a:gd name="connsiteY3" fmla="*/ 244 h 41585"/>
                  <a:gd name="connsiteX4" fmla="*/ 3692 w 29308"/>
                  <a:gd name="connsiteY4" fmla="*/ 41585 h 415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308" h="41585">
                    <a:moveTo>
                      <a:pt x="3692" y="41585"/>
                    </a:moveTo>
                    <a:lnTo>
                      <a:pt x="0" y="41585"/>
                    </a:lnTo>
                    <a:lnTo>
                      <a:pt x="25693" y="0"/>
                    </a:lnTo>
                    <a:lnTo>
                      <a:pt x="29308" y="244"/>
                    </a:lnTo>
                    <a:lnTo>
                      <a:pt x="3692" y="41585"/>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381" name="Freeform 96"/>
              <xdr:cNvSpPr>
                <a:spLocks/>
              </xdr:cNvSpPr>
            </xdr:nvSpPr>
            <xdr:spPr bwMode="auto">
              <a:xfrm>
                <a:off x="2309829" y="6076935"/>
                <a:ext cx="1804997" cy="1762138"/>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10000 w 29154"/>
                  <a:gd name="connsiteY4" fmla="*/ 27872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1063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744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744 h 39362"/>
                  <a:gd name="connsiteX5" fmla="*/ 29154 w 29154"/>
                  <a:gd name="connsiteY5" fmla="*/ 0 h 39362"/>
                  <a:gd name="connsiteX6" fmla="*/ 3692 w 29154"/>
                  <a:gd name="connsiteY6" fmla="*/ 35957 h 39362"/>
                  <a:gd name="connsiteX7" fmla="*/ 0 w 29154"/>
                  <a:gd name="connsiteY7" fmla="*/ 35957 h 39362"/>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3191 h 39362"/>
                  <a:gd name="connsiteX5" fmla="*/ 29154 w 29154"/>
                  <a:gd name="connsiteY5" fmla="*/ 0 h 39362"/>
                  <a:gd name="connsiteX6" fmla="*/ 3692 w 29154"/>
                  <a:gd name="connsiteY6" fmla="*/ 35957 h 39362"/>
                  <a:gd name="connsiteX7" fmla="*/ 0 w 29154"/>
                  <a:gd name="connsiteY7" fmla="*/ 35957 h 3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154" h="39362">
                    <a:moveTo>
                      <a:pt x="0" y="35957"/>
                    </a:moveTo>
                    <a:lnTo>
                      <a:pt x="0" y="37234"/>
                    </a:lnTo>
                    <a:lnTo>
                      <a:pt x="462" y="36596"/>
                    </a:lnTo>
                    <a:lnTo>
                      <a:pt x="3692" y="39362"/>
                    </a:lnTo>
                    <a:lnTo>
                      <a:pt x="29154" y="3191"/>
                    </a:lnTo>
                    <a:lnTo>
                      <a:pt x="29154" y="0"/>
                    </a:lnTo>
                    <a:lnTo>
                      <a:pt x="3692" y="35957"/>
                    </a:lnTo>
                    <a:lnTo>
                      <a:pt x="0" y="35957"/>
                    </a:lnTo>
                    <a:close/>
                  </a:path>
                </a:pathLst>
              </a:custGeom>
              <a:gradFill>
                <a:gsLst>
                  <a:gs pos="0">
                    <a:schemeClr val="bg1">
                      <a:lumMod val="50000"/>
                    </a:schemeClr>
                  </a:gs>
                  <a:gs pos="50000">
                    <a:schemeClr val="bg1">
                      <a:lumMod val="60000"/>
                    </a:schemeClr>
                  </a:gs>
                  <a:gs pos="100000">
                    <a:schemeClr val="accent1">
                      <a:tint val="23500"/>
                      <a:satMod val="160000"/>
                      <a:lumMod val="73000"/>
                    </a:schemeClr>
                  </a:gs>
                </a:gsLst>
                <a:lin ang="5400000" scaled="0"/>
              </a:gradFill>
              <a:ln w="6350" cmpd="sng">
                <a:solidFill>
                  <a:srgbClr val="000000"/>
                </a:solidFill>
                <a:round/>
                <a:headEnd/>
                <a:tailEnd/>
              </a:ln>
            </xdr:spPr>
          </xdr:sp>
        </xdr:grpSp>
        <xdr:grpSp>
          <xdr:nvGrpSpPr>
            <xdr:cNvPr id="367" name="Group 366"/>
            <xdr:cNvGrpSpPr/>
          </xdr:nvGrpSpPr>
          <xdr:grpSpPr>
            <a:xfrm>
              <a:off x="4376774" y="7296132"/>
              <a:ext cx="1814534" cy="1776414"/>
              <a:chOff x="2309829" y="6062659"/>
              <a:chExt cx="1814534" cy="1776414"/>
            </a:xfrm>
          </xdr:grpSpPr>
          <xdr:sp macro="" textlink="">
            <xdr:nvSpPr>
              <xdr:cNvPr id="374" name="Freeform 95"/>
              <xdr:cNvSpPr>
                <a:spLocks/>
              </xdr:cNvSpPr>
            </xdr:nvSpPr>
            <xdr:spPr bwMode="auto">
              <a:xfrm>
                <a:off x="2309831" y="6062659"/>
                <a:ext cx="1814532" cy="1623998"/>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 name="connsiteX0" fmla="*/ 3692 w 25693"/>
                  <a:gd name="connsiteY0" fmla="*/ 41585 h 41585"/>
                  <a:gd name="connsiteX1" fmla="*/ 0 w 25693"/>
                  <a:gd name="connsiteY1" fmla="*/ 41585 h 41585"/>
                  <a:gd name="connsiteX2" fmla="*/ 25693 w 25693"/>
                  <a:gd name="connsiteY2" fmla="*/ 0 h 41585"/>
                  <a:gd name="connsiteX3" fmla="*/ 10000 w 25693"/>
                  <a:gd name="connsiteY3" fmla="*/ 31585 h 41585"/>
                  <a:gd name="connsiteX4" fmla="*/ 3692 w 25693"/>
                  <a:gd name="connsiteY4" fmla="*/ 41585 h 41585"/>
                  <a:gd name="connsiteX0" fmla="*/ 3692 w 29000"/>
                  <a:gd name="connsiteY0" fmla="*/ 41585 h 41585"/>
                  <a:gd name="connsiteX1" fmla="*/ 0 w 29000"/>
                  <a:gd name="connsiteY1" fmla="*/ 41585 h 41585"/>
                  <a:gd name="connsiteX2" fmla="*/ 25693 w 29000"/>
                  <a:gd name="connsiteY2" fmla="*/ 0 h 41585"/>
                  <a:gd name="connsiteX3" fmla="*/ 29000 w 29000"/>
                  <a:gd name="connsiteY3" fmla="*/ 122 h 41585"/>
                  <a:gd name="connsiteX4" fmla="*/ 3692 w 29000"/>
                  <a:gd name="connsiteY4" fmla="*/ 41585 h 41585"/>
                  <a:gd name="connsiteX0" fmla="*/ 3692 w 29308"/>
                  <a:gd name="connsiteY0" fmla="*/ 41585 h 41585"/>
                  <a:gd name="connsiteX1" fmla="*/ 0 w 29308"/>
                  <a:gd name="connsiteY1" fmla="*/ 41585 h 41585"/>
                  <a:gd name="connsiteX2" fmla="*/ 25693 w 29308"/>
                  <a:gd name="connsiteY2" fmla="*/ 0 h 41585"/>
                  <a:gd name="connsiteX3" fmla="*/ 29308 w 29308"/>
                  <a:gd name="connsiteY3" fmla="*/ 244 h 41585"/>
                  <a:gd name="connsiteX4" fmla="*/ 3692 w 29308"/>
                  <a:gd name="connsiteY4" fmla="*/ 41585 h 415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308" h="41585">
                    <a:moveTo>
                      <a:pt x="3692" y="41585"/>
                    </a:moveTo>
                    <a:lnTo>
                      <a:pt x="0" y="41585"/>
                    </a:lnTo>
                    <a:lnTo>
                      <a:pt x="25693" y="0"/>
                    </a:lnTo>
                    <a:lnTo>
                      <a:pt x="29308" y="244"/>
                    </a:lnTo>
                    <a:lnTo>
                      <a:pt x="3692" y="41585"/>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375" name="Freeform 96"/>
              <xdr:cNvSpPr>
                <a:spLocks/>
              </xdr:cNvSpPr>
            </xdr:nvSpPr>
            <xdr:spPr bwMode="auto">
              <a:xfrm>
                <a:off x="2309829" y="6076935"/>
                <a:ext cx="1804997" cy="1762138"/>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10000 w 29154"/>
                  <a:gd name="connsiteY4" fmla="*/ 27872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1063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744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744 h 39362"/>
                  <a:gd name="connsiteX5" fmla="*/ 29154 w 29154"/>
                  <a:gd name="connsiteY5" fmla="*/ 0 h 39362"/>
                  <a:gd name="connsiteX6" fmla="*/ 3692 w 29154"/>
                  <a:gd name="connsiteY6" fmla="*/ 35957 h 39362"/>
                  <a:gd name="connsiteX7" fmla="*/ 0 w 29154"/>
                  <a:gd name="connsiteY7" fmla="*/ 35957 h 39362"/>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3191 h 39362"/>
                  <a:gd name="connsiteX5" fmla="*/ 29154 w 29154"/>
                  <a:gd name="connsiteY5" fmla="*/ 0 h 39362"/>
                  <a:gd name="connsiteX6" fmla="*/ 3692 w 29154"/>
                  <a:gd name="connsiteY6" fmla="*/ 35957 h 39362"/>
                  <a:gd name="connsiteX7" fmla="*/ 0 w 29154"/>
                  <a:gd name="connsiteY7" fmla="*/ 35957 h 3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154" h="39362">
                    <a:moveTo>
                      <a:pt x="0" y="35957"/>
                    </a:moveTo>
                    <a:lnTo>
                      <a:pt x="0" y="37234"/>
                    </a:lnTo>
                    <a:lnTo>
                      <a:pt x="462" y="36596"/>
                    </a:lnTo>
                    <a:lnTo>
                      <a:pt x="3692" y="39362"/>
                    </a:lnTo>
                    <a:lnTo>
                      <a:pt x="29154" y="3191"/>
                    </a:lnTo>
                    <a:lnTo>
                      <a:pt x="29154" y="0"/>
                    </a:lnTo>
                    <a:lnTo>
                      <a:pt x="3692" y="35957"/>
                    </a:lnTo>
                    <a:lnTo>
                      <a:pt x="0" y="35957"/>
                    </a:lnTo>
                    <a:close/>
                  </a:path>
                </a:pathLst>
              </a:custGeom>
              <a:gradFill>
                <a:gsLst>
                  <a:gs pos="0">
                    <a:schemeClr val="bg1">
                      <a:lumMod val="50000"/>
                    </a:schemeClr>
                  </a:gs>
                  <a:gs pos="50000">
                    <a:schemeClr val="bg1">
                      <a:lumMod val="60000"/>
                    </a:schemeClr>
                  </a:gs>
                  <a:gs pos="100000">
                    <a:schemeClr val="accent1">
                      <a:tint val="23500"/>
                      <a:satMod val="160000"/>
                      <a:lumMod val="73000"/>
                    </a:schemeClr>
                  </a:gs>
                </a:gsLst>
                <a:lin ang="5400000" scaled="0"/>
              </a:gradFill>
              <a:ln w="6350" cmpd="sng">
                <a:solidFill>
                  <a:srgbClr val="000000"/>
                </a:solidFill>
                <a:round/>
                <a:headEnd/>
                <a:tailEnd/>
              </a:ln>
            </xdr:spPr>
          </xdr:sp>
        </xdr:grpSp>
        <xdr:grpSp>
          <xdr:nvGrpSpPr>
            <xdr:cNvPr id="404" name="Group 403"/>
            <xdr:cNvGrpSpPr/>
          </xdr:nvGrpSpPr>
          <xdr:grpSpPr>
            <a:xfrm>
              <a:off x="4729179" y="7286622"/>
              <a:ext cx="1814534" cy="1776414"/>
              <a:chOff x="2309829" y="6062659"/>
              <a:chExt cx="1814534" cy="1776414"/>
            </a:xfrm>
          </xdr:grpSpPr>
          <xdr:sp macro="" textlink="">
            <xdr:nvSpPr>
              <xdr:cNvPr id="420" name="Freeform 95"/>
              <xdr:cNvSpPr>
                <a:spLocks/>
              </xdr:cNvSpPr>
            </xdr:nvSpPr>
            <xdr:spPr bwMode="auto">
              <a:xfrm>
                <a:off x="2309831" y="6062659"/>
                <a:ext cx="1814532" cy="1623998"/>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 name="connsiteX0" fmla="*/ 3692 w 25693"/>
                  <a:gd name="connsiteY0" fmla="*/ 41585 h 41585"/>
                  <a:gd name="connsiteX1" fmla="*/ 0 w 25693"/>
                  <a:gd name="connsiteY1" fmla="*/ 41585 h 41585"/>
                  <a:gd name="connsiteX2" fmla="*/ 25693 w 25693"/>
                  <a:gd name="connsiteY2" fmla="*/ 0 h 41585"/>
                  <a:gd name="connsiteX3" fmla="*/ 10000 w 25693"/>
                  <a:gd name="connsiteY3" fmla="*/ 31585 h 41585"/>
                  <a:gd name="connsiteX4" fmla="*/ 3692 w 25693"/>
                  <a:gd name="connsiteY4" fmla="*/ 41585 h 41585"/>
                  <a:gd name="connsiteX0" fmla="*/ 3692 w 29000"/>
                  <a:gd name="connsiteY0" fmla="*/ 41585 h 41585"/>
                  <a:gd name="connsiteX1" fmla="*/ 0 w 29000"/>
                  <a:gd name="connsiteY1" fmla="*/ 41585 h 41585"/>
                  <a:gd name="connsiteX2" fmla="*/ 25693 w 29000"/>
                  <a:gd name="connsiteY2" fmla="*/ 0 h 41585"/>
                  <a:gd name="connsiteX3" fmla="*/ 29000 w 29000"/>
                  <a:gd name="connsiteY3" fmla="*/ 122 h 41585"/>
                  <a:gd name="connsiteX4" fmla="*/ 3692 w 29000"/>
                  <a:gd name="connsiteY4" fmla="*/ 41585 h 41585"/>
                  <a:gd name="connsiteX0" fmla="*/ 3692 w 29308"/>
                  <a:gd name="connsiteY0" fmla="*/ 41585 h 41585"/>
                  <a:gd name="connsiteX1" fmla="*/ 0 w 29308"/>
                  <a:gd name="connsiteY1" fmla="*/ 41585 h 41585"/>
                  <a:gd name="connsiteX2" fmla="*/ 25693 w 29308"/>
                  <a:gd name="connsiteY2" fmla="*/ 0 h 41585"/>
                  <a:gd name="connsiteX3" fmla="*/ 29308 w 29308"/>
                  <a:gd name="connsiteY3" fmla="*/ 244 h 41585"/>
                  <a:gd name="connsiteX4" fmla="*/ 3692 w 29308"/>
                  <a:gd name="connsiteY4" fmla="*/ 41585 h 415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308" h="41585">
                    <a:moveTo>
                      <a:pt x="3692" y="41585"/>
                    </a:moveTo>
                    <a:lnTo>
                      <a:pt x="0" y="41585"/>
                    </a:lnTo>
                    <a:lnTo>
                      <a:pt x="25693" y="0"/>
                    </a:lnTo>
                    <a:lnTo>
                      <a:pt x="29308" y="244"/>
                    </a:lnTo>
                    <a:lnTo>
                      <a:pt x="3692" y="41585"/>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421" name="Freeform 96"/>
              <xdr:cNvSpPr>
                <a:spLocks/>
              </xdr:cNvSpPr>
            </xdr:nvSpPr>
            <xdr:spPr bwMode="auto">
              <a:xfrm>
                <a:off x="2309829" y="6076935"/>
                <a:ext cx="1804997" cy="1762138"/>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10000 w 29154"/>
                  <a:gd name="connsiteY4" fmla="*/ 27872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1063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744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744 h 39362"/>
                  <a:gd name="connsiteX5" fmla="*/ 29154 w 29154"/>
                  <a:gd name="connsiteY5" fmla="*/ 0 h 39362"/>
                  <a:gd name="connsiteX6" fmla="*/ 3692 w 29154"/>
                  <a:gd name="connsiteY6" fmla="*/ 35957 h 39362"/>
                  <a:gd name="connsiteX7" fmla="*/ 0 w 29154"/>
                  <a:gd name="connsiteY7" fmla="*/ 35957 h 39362"/>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3191 h 39362"/>
                  <a:gd name="connsiteX5" fmla="*/ 29154 w 29154"/>
                  <a:gd name="connsiteY5" fmla="*/ 0 h 39362"/>
                  <a:gd name="connsiteX6" fmla="*/ 3692 w 29154"/>
                  <a:gd name="connsiteY6" fmla="*/ 35957 h 39362"/>
                  <a:gd name="connsiteX7" fmla="*/ 0 w 29154"/>
                  <a:gd name="connsiteY7" fmla="*/ 35957 h 3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154" h="39362">
                    <a:moveTo>
                      <a:pt x="0" y="35957"/>
                    </a:moveTo>
                    <a:lnTo>
                      <a:pt x="0" y="37234"/>
                    </a:lnTo>
                    <a:lnTo>
                      <a:pt x="462" y="36596"/>
                    </a:lnTo>
                    <a:lnTo>
                      <a:pt x="3692" y="39362"/>
                    </a:lnTo>
                    <a:lnTo>
                      <a:pt x="29154" y="3191"/>
                    </a:lnTo>
                    <a:lnTo>
                      <a:pt x="29154" y="0"/>
                    </a:lnTo>
                    <a:lnTo>
                      <a:pt x="3692" y="35957"/>
                    </a:lnTo>
                    <a:lnTo>
                      <a:pt x="0" y="35957"/>
                    </a:lnTo>
                    <a:close/>
                  </a:path>
                </a:pathLst>
              </a:custGeom>
              <a:gradFill>
                <a:gsLst>
                  <a:gs pos="0">
                    <a:schemeClr val="bg1">
                      <a:lumMod val="50000"/>
                    </a:schemeClr>
                  </a:gs>
                  <a:gs pos="50000">
                    <a:schemeClr val="bg1">
                      <a:lumMod val="60000"/>
                    </a:schemeClr>
                  </a:gs>
                  <a:gs pos="100000">
                    <a:schemeClr val="accent1">
                      <a:tint val="23500"/>
                      <a:satMod val="160000"/>
                      <a:lumMod val="73000"/>
                    </a:schemeClr>
                  </a:gs>
                </a:gsLst>
                <a:lin ang="5400000" scaled="0"/>
              </a:gradFill>
              <a:ln w="6350" cmpd="sng">
                <a:solidFill>
                  <a:srgbClr val="000000"/>
                </a:solidFill>
                <a:round/>
                <a:headEnd/>
                <a:tailEnd/>
              </a:ln>
            </xdr:spPr>
          </xdr:sp>
        </xdr:grpSp>
        <xdr:grpSp>
          <xdr:nvGrpSpPr>
            <xdr:cNvPr id="407" name="Group 406"/>
            <xdr:cNvGrpSpPr/>
          </xdr:nvGrpSpPr>
          <xdr:grpSpPr>
            <a:xfrm>
              <a:off x="5057810" y="7300895"/>
              <a:ext cx="1814534" cy="1776414"/>
              <a:chOff x="2309829" y="6062659"/>
              <a:chExt cx="1814534" cy="1776414"/>
            </a:xfrm>
          </xdr:grpSpPr>
          <xdr:sp macro="" textlink="">
            <xdr:nvSpPr>
              <xdr:cNvPr id="414" name="Freeform 95"/>
              <xdr:cNvSpPr>
                <a:spLocks/>
              </xdr:cNvSpPr>
            </xdr:nvSpPr>
            <xdr:spPr bwMode="auto">
              <a:xfrm>
                <a:off x="2309831" y="6062659"/>
                <a:ext cx="1814532" cy="1623998"/>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 name="connsiteX0" fmla="*/ 3692 w 25693"/>
                  <a:gd name="connsiteY0" fmla="*/ 41585 h 41585"/>
                  <a:gd name="connsiteX1" fmla="*/ 0 w 25693"/>
                  <a:gd name="connsiteY1" fmla="*/ 41585 h 41585"/>
                  <a:gd name="connsiteX2" fmla="*/ 25693 w 25693"/>
                  <a:gd name="connsiteY2" fmla="*/ 0 h 41585"/>
                  <a:gd name="connsiteX3" fmla="*/ 10000 w 25693"/>
                  <a:gd name="connsiteY3" fmla="*/ 31585 h 41585"/>
                  <a:gd name="connsiteX4" fmla="*/ 3692 w 25693"/>
                  <a:gd name="connsiteY4" fmla="*/ 41585 h 41585"/>
                  <a:gd name="connsiteX0" fmla="*/ 3692 w 29000"/>
                  <a:gd name="connsiteY0" fmla="*/ 41585 h 41585"/>
                  <a:gd name="connsiteX1" fmla="*/ 0 w 29000"/>
                  <a:gd name="connsiteY1" fmla="*/ 41585 h 41585"/>
                  <a:gd name="connsiteX2" fmla="*/ 25693 w 29000"/>
                  <a:gd name="connsiteY2" fmla="*/ 0 h 41585"/>
                  <a:gd name="connsiteX3" fmla="*/ 29000 w 29000"/>
                  <a:gd name="connsiteY3" fmla="*/ 122 h 41585"/>
                  <a:gd name="connsiteX4" fmla="*/ 3692 w 29000"/>
                  <a:gd name="connsiteY4" fmla="*/ 41585 h 41585"/>
                  <a:gd name="connsiteX0" fmla="*/ 3692 w 29308"/>
                  <a:gd name="connsiteY0" fmla="*/ 41585 h 41585"/>
                  <a:gd name="connsiteX1" fmla="*/ 0 w 29308"/>
                  <a:gd name="connsiteY1" fmla="*/ 41585 h 41585"/>
                  <a:gd name="connsiteX2" fmla="*/ 25693 w 29308"/>
                  <a:gd name="connsiteY2" fmla="*/ 0 h 41585"/>
                  <a:gd name="connsiteX3" fmla="*/ 29308 w 29308"/>
                  <a:gd name="connsiteY3" fmla="*/ 244 h 41585"/>
                  <a:gd name="connsiteX4" fmla="*/ 3692 w 29308"/>
                  <a:gd name="connsiteY4" fmla="*/ 41585 h 415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308" h="41585">
                    <a:moveTo>
                      <a:pt x="3692" y="41585"/>
                    </a:moveTo>
                    <a:lnTo>
                      <a:pt x="0" y="41585"/>
                    </a:lnTo>
                    <a:lnTo>
                      <a:pt x="25693" y="0"/>
                    </a:lnTo>
                    <a:lnTo>
                      <a:pt x="29308" y="244"/>
                    </a:lnTo>
                    <a:lnTo>
                      <a:pt x="3692" y="41585"/>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415" name="Freeform 96"/>
              <xdr:cNvSpPr>
                <a:spLocks/>
              </xdr:cNvSpPr>
            </xdr:nvSpPr>
            <xdr:spPr bwMode="auto">
              <a:xfrm>
                <a:off x="2309829" y="6076935"/>
                <a:ext cx="1804997" cy="1762138"/>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10000 w 29154"/>
                  <a:gd name="connsiteY4" fmla="*/ 27872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1063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744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744 h 39362"/>
                  <a:gd name="connsiteX5" fmla="*/ 29154 w 29154"/>
                  <a:gd name="connsiteY5" fmla="*/ 0 h 39362"/>
                  <a:gd name="connsiteX6" fmla="*/ 3692 w 29154"/>
                  <a:gd name="connsiteY6" fmla="*/ 35957 h 39362"/>
                  <a:gd name="connsiteX7" fmla="*/ 0 w 29154"/>
                  <a:gd name="connsiteY7" fmla="*/ 35957 h 39362"/>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3191 h 39362"/>
                  <a:gd name="connsiteX5" fmla="*/ 29154 w 29154"/>
                  <a:gd name="connsiteY5" fmla="*/ 0 h 39362"/>
                  <a:gd name="connsiteX6" fmla="*/ 3692 w 29154"/>
                  <a:gd name="connsiteY6" fmla="*/ 35957 h 39362"/>
                  <a:gd name="connsiteX7" fmla="*/ 0 w 29154"/>
                  <a:gd name="connsiteY7" fmla="*/ 35957 h 3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154" h="39362">
                    <a:moveTo>
                      <a:pt x="0" y="35957"/>
                    </a:moveTo>
                    <a:lnTo>
                      <a:pt x="0" y="37234"/>
                    </a:lnTo>
                    <a:lnTo>
                      <a:pt x="462" y="36596"/>
                    </a:lnTo>
                    <a:lnTo>
                      <a:pt x="3692" y="39362"/>
                    </a:lnTo>
                    <a:lnTo>
                      <a:pt x="29154" y="3191"/>
                    </a:lnTo>
                    <a:lnTo>
                      <a:pt x="29154" y="0"/>
                    </a:lnTo>
                    <a:lnTo>
                      <a:pt x="3692" y="35957"/>
                    </a:lnTo>
                    <a:lnTo>
                      <a:pt x="0" y="35957"/>
                    </a:lnTo>
                    <a:close/>
                  </a:path>
                </a:pathLst>
              </a:custGeom>
              <a:gradFill>
                <a:gsLst>
                  <a:gs pos="0">
                    <a:schemeClr val="bg1">
                      <a:lumMod val="50000"/>
                    </a:schemeClr>
                  </a:gs>
                  <a:gs pos="50000">
                    <a:schemeClr val="bg1">
                      <a:lumMod val="60000"/>
                    </a:schemeClr>
                  </a:gs>
                  <a:gs pos="100000">
                    <a:schemeClr val="accent1">
                      <a:tint val="23500"/>
                      <a:satMod val="160000"/>
                      <a:lumMod val="73000"/>
                    </a:schemeClr>
                  </a:gs>
                </a:gsLst>
                <a:lin ang="5400000" scaled="0"/>
              </a:gradFill>
              <a:ln w="6350" cmpd="sng">
                <a:solidFill>
                  <a:srgbClr val="000000"/>
                </a:solidFill>
                <a:round/>
                <a:headEnd/>
                <a:tailEnd/>
              </a:ln>
            </xdr:spPr>
          </xdr:sp>
        </xdr:grpSp>
        <xdr:grpSp>
          <xdr:nvGrpSpPr>
            <xdr:cNvPr id="386" name="Group 385"/>
            <xdr:cNvGrpSpPr/>
          </xdr:nvGrpSpPr>
          <xdr:grpSpPr>
            <a:xfrm>
              <a:off x="5410218" y="7286622"/>
              <a:ext cx="1814534" cy="1776414"/>
              <a:chOff x="2309829" y="6062659"/>
              <a:chExt cx="1814534" cy="1776414"/>
            </a:xfrm>
          </xdr:grpSpPr>
          <xdr:sp macro="" textlink="">
            <xdr:nvSpPr>
              <xdr:cNvPr id="402" name="Freeform 95"/>
              <xdr:cNvSpPr>
                <a:spLocks/>
              </xdr:cNvSpPr>
            </xdr:nvSpPr>
            <xdr:spPr bwMode="auto">
              <a:xfrm>
                <a:off x="2309831" y="6062659"/>
                <a:ext cx="1814532" cy="1623998"/>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 name="connsiteX0" fmla="*/ 3692 w 25693"/>
                  <a:gd name="connsiteY0" fmla="*/ 41585 h 41585"/>
                  <a:gd name="connsiteX1" fmla="*/ 0 w 25693"/>
                  <a:gd name="connsiteY1" fmla="*/ 41585 h 41585"/>
                  <a:gd name="connsiteX2" fmla="*/ 25693 w 25693"/>
                  <a:gd name="connsiteY2" fmla="*/ 0 h 41585"/>
                  <a:gd name="connsiteX3" fmla="*/ 10000 w 25693"/>
                  <a:gd name="connsiteY3" fmla="*/ 31585 h 41585"/>
                  <a:gd name="connsiteX4" fmla="*/ 3692 w 25693"/>
                  <a:gd name="connsiteY4" fmla="*/ 41585 h 41585"/>
                  <a:gd name="connsiteX0" fmla="*/ 3692 w 29000"/>
                  <a:gd name="connsiteY0" fmla="*/ 41585 h 41585"/>
                  <a:gd name="connsiteX1" fmla="*/ 0 w 29000"/>
                  <a:gd name="connsiteY1" fmla="*/ 41585 h 41585"/>
                  <a:gd name="connsiteX2" fmla="*/ 25693 w 29000"/>
                  <a:gd name="connsiteY2" fmla="*/ 0 h 41585"/>
                  <a:gd name="connsiteX3" fmla="*/ 29000 w 29000"/>
                  <a:gd name="connsiteY3" fmla="*/ 122 h 41585"/>
                  <a:gd name="connsiteX4" fmla="*/ 3692 w 29000"/>
                  <a:gd name="connsiteY4" fmla="*/ 41585 h 41585"/>
                  <a:gd name="connsiteX0" fmla="*/ 3692 w 29308"/>
                  <a:gd name="connsiteY0" fmla="*/ 41585 h 41585"/>
                  <a:gd name="connsiteX1" fmla="*/ 0 w 29308"/>
                  <a:gd name="connsiteY1" fmla="*/ 41585 h 41585"/>
                  <a:gd name="connsiteX2" fmla="*/ 25693 w 29308"/>
                  <a:gd name="connsiteY2" fmla="*/ 0 h 41585"/>
                  <a:gd name="connsiteX3" fmla="*/ 29308 w 29308"/>
                  <a:gd name="connsiteY3" fmla="*/ 244 h 41585"/>
                  <a:gd name="connsiteX4" fmla="*/ 3692 w 29308"/>
                  <a:gd name="connsiteY4" fmla="*/ 41585 h 415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308" h="41585">
                    <a:moveTo>
                      <a:pt x="3692" y="41585"/>
                    </a:moveTo>
                    <a:lnTo>
                      <a:pt x="0" y="41585"/>
                    </a:lnTo>
                    <a:lnTo>
                      <a:pt x="25693" y="0"/>
                    </a:lnTo>
                    <a:lnTo>
                      <a:pt x="29308" y="244"/>
                    </a:lnTo>
                    <a:lnTo>
                      <a:pt x="3692" y="41585"/>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403" name="Freeform 96"/>
              <xdr:cNvSpPr>
                <a:spLocks/>
              </xdr:cNvSpPr>
            </xdr:nvSpPr>
            <xdr:spPr bwMode="auto">
              <a:xfrm>
                <a:off x="2309829" y="6076935"/>
                <a:ext cx="1804997" cy="1762138"/>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10000 w 29154"/>
                  <a:gd name="connsiteY4" fmla="*/ 27872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1063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744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744 h 39362"/>
                  <a:gd name="connsiteX5" fmla="*/ 29154 w 29154"/>
                  <a:gd name="connsiteY5" fmla="*/ 0 h 39362"/>
                  <a:gd name="connsiteX6" fmla="*/ 3692 w 29154"/>
                  <a:gd name="connsiteY6" fmla="*/ 35957 h 39362"/>
                  <a:gd name="connsiteX7" fmla="*/ 0 w 29154"/>
                  <a:gd name="connsiteY7" fmla="*/ 35957 h 39362"/>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3191 h 39362"/>
                  <a:gd name="connsiteX5" fmla="*/ 29154 w 29154"/>
                  <a:gd name="connsiteY5" fmla="*/ 0 h 39362"/>
                  <a:gd name="connsiteX6" fmla="*/ 3692 w 29154"/>
                  <a:gd name="connsiteY6" fmla="*/ 35957 h 39362"/>
                  <a:gd name="connsiteX7" fmla="*/ 0 w 29154"/>
                  <a:gd name="connsiteY7" fmla="*/ 35957 h 3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154" h="39362">
                    <a:moveTo>
                      <a:pt x="0" y="35957"/>
                    </a:moveTo>
                    <a:lnTo>
                      <a:pt x="0" y="37234"/>
                    </a:lnTo>
                    <a:lnTo>
                      <a:pt x="462" y="36596"/>
                    </a:lnTo>
                    <a:lnTo>
                      <a:pt x="3692" y="39362"/>
                    </a:lnTo>
                    <a:lnTo>
                      <a:pt x="29154" y="3191"/>
                    </a:lnTo>
                    <a:lnTo>
                      <a:pt x="29154" y="0"/>
                    </a:lnTo>
                    <a:lnTo>
                      <a:pt x="3692" y="35957"/>
                    </a:lnTo>
                    <a:lnTo>
                      <a:pt x="0" y="35957"/>
                    </a:lnTo>
                    <a:close/>
                  </a:path>
                </a:pathLst>
              </a:custGeom>
              <a:gradFill>
                <a:gsLst>
                  <a:gs pos="0">
                    <a:schemeClr val="bg1">
                      <a:lumMod val="50000"/>
                    </a:schemeClr>
                  </a:gs>
                  <a:gs pos="50000">
                    <a:schemeClr val="bg1">
                      <a:lumMod val="60000"/>
                    </a:schemeClr>
                  </a:gs>
                  <a:gs pos="100000">
                    <a:schemeClr val="accent1">
                      <a:tint val="23500"/>
                      <a:satMod val="160000"/>
                      <a:lumMod val="73000"/>
                    </a:schemeClr>
                  </a:gs>
                </a:gsLst>
                <a:lin ang="5400000" scaled="0"/>
              </a:gradFill>
              <a:ln w="6350" cmpd="sng">
                <a:solidFill>
                  <a:srgbClr val="000000"/>
                </a:solidFill>
                <a:round/>
                <a:headEnd/>
                <a:tailEnd/>
              </a:ln>
            </xdr:spPr>
          </xdr:sp>
        </xdr:grpSp>
        <xdr:grpSp>
          <xdr:nvGrpSpPr>
            <xdr:cNvPr id="389" name="Group 388"/>
            <xdr:cNvGrpSpPr/>
          </xdr:nvGrpSpPr>
          <xdr:grpSpPr>
            <a:xfrm>
              <a:off x="5738849" y="7300895"/>
              <a:ext cx="1814534" cy="1776414"/>
              <a:chOff x="2309829" y="6062659"/>
              <a:chExt cx="1814534" cy="1776414"/>
            </a:xfrm>
          </xdr:grpSpPr>
          <xdr:sp macro="" textlink="">
            <xdr:nvSpPr>
              <xdr:cNvPr id="396" name="Freeform 95"/>
              <xdr:cNvSpPr>
                <a:spLocks/>
              </xdr:cNvSpPr>
            </xdr:nvSpPr>
            <xdr:spPr bwMode="auto">
              <a:xfrm>
                <a:off x="2309831" y="6062659"/>
                <a:ext cx="1814532" cy="1623998"/>
              </a:xfrm>
              <a:custGeom>
                <a:avLst/>
                <a:gdLst>
                  <a:gd name="T0" fmla="*/ 24 w 65"/>
                  <a:gd name="T1" fmla="*/ 41 h 41"/>
                  <a:gd name="T2" fmla="*/ 0 w 65"/>
                  <a:gd name="T3" fmla="*/ 41 h 41"/>
                  <a:gd name="T4" fmla="*/ 41 w 65"/>
                  <a:gd name="T5" fmla="*/ 0 h 41"/>
                  <a:gd name="T6" fmla="*/ 65 w 65"/>
                  <a:gd name="T7" fmla="*/ 0 h 41"/>
                  <a:gd name="T8" fmla="*/ 24 w 65"/>
                  <a:gd name="T9" fmla="*/ 41 h 41"/>
                  <a:gd name="T10" fmla="*/ 0 60000 65536"/>
                  <a:gd name="T11" fmla="*/ 0 60000 65536"/>
                  <a:gd name="T12" fmla="*/ 0 60000 65536"/>
                  <a:gd name="T13" fmla="*/ 0 60000 65536"/>
                  <a:gd name="T14" fmla="*/ 0 60000 65536"/>
                  <a:gd name="T15" fmla="*/ 0 w 65"/>
                  <a:gd name="T16" fmla="*/ 0 h 41"/>
                  <a:gd name="T17" fmla="*/ 65 w 65"/>
                  <a:gd name="T18" fmla="*/ 41 h 41"/>
                  <a:gd name="connsiteX0" fmla="*/ 3692 w 25693"/>
                  <a:gd name="connsiteY0" fmla="*/ 41585 h 41585"/>
                  <a:gd name="connsiteX1" fmla="*/ 0 w 25693"/>
                  <a:gd name="connsiteY1" fmla="*/ 41585 h 41585"/>
                  <a:gd name="connsiteX2" fmla="*/ 25693 w 25693"/>
                  <a:gd name="connsiteY2" fmla="*/ 0 h 41585"/>
                  <a:gd name="connsiteX3" fmla="*/ 10000 w 25693"/>
                  <a:gd name="connsiteY3" fmla="*/ 31585 h 41585"/>
                  <a:gd name="connsiteX4" fmla="*/ 3692 w 25693"/>
                  <a:gd name="connsiteY4" fmla="*/ 41585 h 41585"/>
                  <a:gd name="connsiteX0" fmla="*/ 3692 w 29000"/>
                  <a:gd name="connsiteY0" fmla="*/ 41585 h 41585"/>
                  <a:gd name="connsiteX1" fmla="*/ 0 w 29000"/>
                  <a:gd name="connsiteY1" fmla="*/ 41585 h 41585"/>
                  <a:gd name="connsiteX2" fmla="*/ 25693 w 29000"/>
                  <a:gd name="connsiteY2" fmla="*/ 0 h 41585"/>
                  <a:gd name="connsiteX3" fmla="*/ 29000 w 29000"/>
                  <a:gd name="connsiteY3" fmla="*/ 122 h 41585"/>
                  <a:gd name="connsiteX4" fmla="*/ 3692 w 29000"/>
                  <a:gd name="connsiteY4" fmla="*/ 41585 h 41585"/>
                  <a:gd name="connsiteX0" fmla="*/ 3692 w 29308"/>
                  <a:gd name="connsiteY0" fmla="*/ 41585 h 41585"/>
                  <a:gd name="connsiteX1" fmla="*/ 0 w 29308"/>
                  <a:gd name="connsiteY1" fmla="*/ 41585 h 41585"/>
                  <a:gd name="connsiteX2" fmla="*/ 25693 w 29308"/>
                  <a:gd name="connsiteY2" fmla="*/ 0 h 41585"/>
                  <a:gd name="connsiteX3" fmla="*/ 29308 w 29308"/>
                  <a:gd name="connsiteY3" fmla="*/ 244 h 41585"/>
                  <a:gd name="connsiteX4" fmla="*/ 3692 w 29308"/>
                  <a:gd name="connsiteY4" fmla="*/ 41585 h 415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308" h="41585">
                    <a:moveTo>
                      <a:pt x="3692" y="41585"/>
                    </a:moveTo>
                    <a:lnTo>
                      <a:pt x="0" y="41585"/>
                    </a:lnTo>
                    <a:lnTo>
                      <a:pt x="25693" y="0"/>
                    </a:lnTo>
                    <a:lnTo>
                      <a:pt x="29308" y="244"/>
                    </a:lnTo>
                    <a:lnTo>
                      <a:pt x="3692" y="41585"/>
                    </a:lnTo>
                    <a:close/>
                  </a:path>
                </a:pathLst>
              </a:custGeom>
              <a:gradFill rotWithShape="1">
                <a:gsLst>
                  <a:gs pos="0">
                    <a:srgbClr val="767676"/>
                  </a:gs>
                  <a:gs pos="50000">
                    <a:srgbClr val="FFFFFF"/>
                  </a:gs>
                  <a:gs pos="100000">
                    <a:srgbClr val="767676"/>
                  </a:gs>
                </a:gsLst>
                <a:lin ang="18900000" scaled="1"/>
              </a:gradFill>
              <a:ln w="9525">
                <a:solidFill>
                  <a:srgbClr val="000000"/>
                </a:solidFill>
                <a:round/>
                <a:headEnd/>
                <a:tailEnd/>
              </a:ln>
            </xdr:spPr>
          </xdr:sp>
          <xdr:sp macro="" textlink="">
            <xdr:nvSpPr>
              <xdr:cNvPr id="397" name="Freeform 96"/>
              <xdr:cNvSpPr>
                <a:spLocks/>
              </xdr:cNvSpPr>
            </xdr:nvSpPr>
            <xdr:spPr bwMode="auto">
              <a:xfrm>
                <a:off x="2309829" y="6076935"/>
                <a:ext cx="1804997" cy="1762138"/>
              </a:xfrm>
              <a:custGeom>
                <a:avLst/>
                <a:gdLst>
                  <a:gd name="T0" fmla="*/ 0 w 65"/>
                  <a:gd name="T1" fmla="*/ 41 h 47"/>
                  <a:gd name="T2" fmla="*/ 0 w 65"/>
                  <a:gd name="T3" fmla="*/ 47 h 47"/>
                  <a:gd name="T4" fmla="*/ 3 w 65"/>
                  <a:gd name="T5" fmla="*/ 44 h 47"/>
                  <a:gd name="T6" fmla="*/ 24 w 65"/>
                  <a:gd name="T7" fmla="*/ 44 h 47"/>
                  <a:gd name="T8" fmla="*/ 65 w 65"/>
                  <a:gd name="T9" fmla="*/ 3 h 47"/>
                  <a:gd name="T10" fmla="*/ 65 w 65"/>
                  <a:gd name="T11" fmla="*/ 0 h 47"/>
                  <a:gd name="T12" fmla="*/ 24 w 65"/>
                  <a:gd name="T13" fmla="*/ 41 h 47"/>
                  <a:gd name="T14" fmla="*/ 0 w 65"/>
                  <a:gd name="T15" fmla="*/ 41 h 47"/>
                  <a:gd name="T16" fmla="*/ 0 60000 65536"/>
                  <a:gd name="T17" fmla="*/ 0 60000 65536"/>
                  <a:gd name="T18" fmla="*/ 0 60000 65536"/>
                  <a:gd name="T19" fmla="*/ 0 60000 65536"/>
                  <a:gd name="T20" fmla="*/ 0 60000 65536"/>
                  <a:gd name="T21" fmla="*/ 0 60000 65536"/>
                  <a:gd name="T22" fmla="*/ 0 60000 65536"/>
                  <a:gd name="T23" fmla="*/ 0 60000 65536"/>
                  <a:gd name="T24" fmla="*/ 0 w 65"/>
                  <a:gd name="T25" fmla="*/ 0 h 47"/>
                  <a:gd name="T26" fmla="*/ 65 w 65"/>
                  <a:gd name="T27" fmla="*/ 47 h 47"/>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10000 w 29154"/>
                  <a:gd name="connsiteY4" fmla="*/ 27872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1063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7234"/>
                  <a:gd name="connsiteX1" fmla="*/ 0 w 29154"/>
                  <a:gd name="connsiteY1" fmla="*/ 37234 h 37234"/>
                  <a:gd name="connsiteX2" fmla="*/ 462 w 29154"/>
                  <a:gd name="connsiteY2" fmla="*/ 36596 h 37234"/>
                  <a:gd name="connsiteX3" fmla="*/ 3692 w 29154"/>
                  <a:gd name="connsiteY3" fmla="*/ 36596 h 37234"/>
                  <a:gd name="connsiteX4" fmla="*/ 29154 w 29154"/>
                  <a:gd name="connsiteY4" fmla="*/ 744 h 37234"/>
                  <a:gd name="connsiteX5" fmla="*/ 29154 w 29154"/>
                  <a:gd name="connsiteY5" fmla="*/ 0 h 37234"/>
                  <a:gd name="connsiteX6" fmla="*/ 3692 w 29154"/>
                  <a:gd name="connsiteY6" fmla="*/ 35957 h 37234"/>
                  <a:gd name="connsiteX7" fmla="*/ 0 w 29154"/>
                  <a:gd name="connsiteY7" fmla="*/ 35957 h 37234"/>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744 h 39362"/>
                  <a:gd name="connsiteX5" fmla="*/ 29154 w 29154"/>
                  <a:gd name="connsiteY5" fmla="*/ 0 h 39362"/>
                  <a:gd name="connsiteX6" fmla="*/ 3692 w 29154"/>
                  <a:gd name="connsiteY6" fmla="*/ 35957 h 39362"/>
                  <a:gd name="connsiteX7" fmla="*/ 0 w 29154"/>
                  <a:gd name="connsiteY7" fmla="*/ 35957 h 39362"/>
                  <a:gd name="connsiteX0" fmla="*/ 0 w 29154"/>
                  <a:gd name="connsiteY0" fmla="*/ 35957 h 39362"/>
                  <a:gd name="connsiteX1" fmla="*/ 0 w 29154"/>
                  <a:gd name="connsiteY1" fmla="*/ 37234 h 39362"/>
                  <a:gd name="connsiteX2" fmla="*/ 462 w 29154"/>
                  <a:gd name="connsiteY2" fmla="*/ 36596 h 39362"/>
                  <a:gd name="connsiteX3" fmla="*/ 3692 w 29154"/>
                  <a:gd name="connsiteY3" fmla="*/ 39362 h 39362"/>
                  <a:gd name="connsiteX4" fmla="*/ 29154 w 29154"/>
                  <a:gd name="connsiteY4" fmla="*/ 3191 h 39362"/>
                  <a:gd name="connsiteX5" fmla="*/ 29154 w 29154"/>
                  <a:gd name="connsiteY5" fmla="*/ 0 h 39362"/>
                  <a:gd name="connsiteX6" fmla="*/ 3692 w 29154"/>
                  <a:gd name="connsiteY6" fmla="*/ 35957 h 39362"/>
                  <a:gd name="connsiteX7" fmla="*/ 0 w 29154"/>
                  <a:gd name="connsiteY7" fmla="*/ 35957 h 393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154" h="39362">
                    <a:moveTo>
                      <a:pt x="0" y="35957"/>
                    </a:moveTo>
                    <a:lnTo>
                      <a:pt x="0" y="37234"/>
                    </a:lnTo>
                    <a:lnTo>
                      <a:pt x="462" y="36596"/>
                    </a:lnTo>
                    <a:lnTo>
                      <a:pt x="3692" y="39362"/>
                    </a:lnTo>
                    <a:lnTo>
                      <a:pt x="29154" y="3191"/>
                    </a:lnTo>
                    <a:lnTo>
                      <a:pt x="29154" y="0"/>
                    </a:lnTo>
                    <a:lnTo>
                      <a:pt x="3692" y="35957"/>
                    </a:lnTo>
                    <a:lnTo>
                      <a:pt x="0" y="35957"/>
                    </a:lnTo>
                    <a:close/>
                  </a:path>
                </a:pathLst>
              </a:custGeom>
              <a:gradFill>
                <a:gsLst>
                  <a:gs pos="0">
                    <a:schemeClr val="bg1">
                      <a:lumMod val="50000"/>
                    </a:schemeClr>
                  </a:gs>
                  <a:gs pos="50000">
                    <a:schemeClr val="bg1">
                      <a:lumMod val="60000"/>
                    </a:schemeClr>
                  </a:gs>
                  <a:gs pos="100000">
                    <a:schemeClr val="accent1">
                      <a:tint val="23500"/>
                      <a:satMod val="160000"/>
                      <a:lumMod val="73000"/>
                    </a:schemeClr>
                  </a:gs>
                </a:gsLst>
                <a:lin ang="5400000" scaled="0"/>
              </a:gradFill>
              <a:ln w="6350" cmpd="sng">
                <a:solidFill>
                  <a:srgbClr val="000000"/>
                </a:solidFill>
                <a:round/>
                <a:headEnd/>
                <a:tailEnd/>
              </a:ln>
            </xdr:spPr>
          </xdr:sp>
        </xdr:grpSp>
        <xdr:sp macro="" textlink="">
          <xdr:nvSpPr>
            <xdr:cNvPr id="13" name="Freeform 12"/>
            <xdr:cNvSpPr/>
          </xdr:nvSpPr>
          <xdr:spPr>
            <a:xfrm>
              <a:off x="2802790" y="7173951"/>
              <a:ext cx="2115801" cy="1843785"/>
            </a:xfrm>
            <a:custGeom>
              <a:avLst/>
              <a:gdLst>
                <a:gd name="connsiteX0" fmla="*/ 1781175 w 2066925"/>
                <a:gd name="connsiteY0" fmla="*/ 0 h 1800225"/>
                <a:gd name="connsiteX1" fmla="*/ 1781175 w 2066925"/>
                <a:gd name="connsiteY1" fmla="*/ 0 h 1800225"/>
                <a:gd name="connsiteX2" fmla="*/ 2066925 w 2066925"/>
                <a:gd name="connsiteY2" fmla="*/ 9525 h 1800225"/>
                <a:gd name="connsiteX3" fmla="*/ 323850 w 2066925"/>
                <a:gd name="connsiteY3" fmla="*/ 1800225 h 1800225"/>
                <a:gd name="connsiteX4" fmla="*/ 0 w 2066925"/>
                <a:gd name="connsiteY4" fmla="*/ 1800225 h 1800225"/>
                <a:gd name="connsiteX5" fmla="*/ 1781175 w 2066925"/>
                <a:gd name="connsiteY5" fmla="*/ 0 h 1800225"/>
                <a:gd name="connsiteX0" fmla="*/ 1781175 w 2083858"/>
                <a:gd name="connsiteY0" fmla="*/ 0 h 1800225"/>
                <a:gd name="connsiteX1" fmla="*/ 1781175 w 2083858"/>
                <a:gd name="connsiteY1" fmla="*/ 0 h 1800225"/>
                <a:gd name="connsiteX2" fmla="*/ 2083858 w 2083858"/>
                <a:gd name="connsiteY2" fmla="*/ 5264 h 1800225"/>
                <a:gd name="connsiteX3" fmla="*/ 323850 w 2083858"/>
                <a:gd name="connsiteY3" fmla="*/ 1800225 h 1800225"/>
                <a:gd name="connsiteX4" fmla="*/ 0 w 2083858"/>
                <a:gd name="connsiteY4" fmla="*/ 1800225 h 1800225"/>
                <a:gd name="connsiteX5" fmla="*/ 1781175 w 2083858"/>
                <a:gd name="connsiteY5" fmla="*/ 0 h 1800225"/>
                <a:gd name="connsiteX0" fmla="*/ 1781175 w 2083858"/>
                <a:gd name="connsiteY0" fmla="*/ 0 h 1814683"/>
                <a:gd name="connsiteX1" fmla="*/ 1781175 w 2083858"/>
                <a:gd name="connsiteY1" fmla="*/ 14458 h 1814683"/>
                <a:gd name="connsiteX2" fmla="*/ 2083858 w 2083858"/>
                <a:gd name="connsiteY2" fmla="*/ 19722 h 1814683"/>
                <a:gd name="connsiteX3" fmla="*/ 323850 w 2083858"/>
                <a:gd name="connsiteY3" fmla="*/ 1814683 h 1814683"/>
                <a:gd name="connsiteX4" fmla="*/ 0 w 2083858"/>
                <a:gd name="connsiteY4" fmla="*/ 1814683 h 1814683"/>
                <a:gd name="connsiteX5" fmla="*/ 1781175 w 2083858"/>
                <a:gd name="connsiteY5" fmla="*/ 0 h 1814683"/>
                <a:gd name="connsiteX0" fmla="*/ 1781175 w 2089663"/>
                <a:gd name="connsiteY0" fmla="*/ 0 h 1814683"/>
                <a:gd name="connsiteX1" fmla="*/ 1781175 w 2089663"/>
                <a:gd name="connsiteY1" fmla="*/ 14458 h 1814683"/>
                <a:gd name="connsiteX2" fmla="*/ 2089663 w 2089663"/>
                <a:gd name="connsiteY2" fmla="*/ 2372 h 1814683"/>
                <a:gd name="connsiteX3" fmla="*/ 323850 w 2089663"/>
                <a:gd name="connsiteY3" fmla="*/ 1814683 h 1814683"/>
                <a:gd name="connsiteX4" fmla="*/ 0 w 2089663"/>
                <a:gd name="connsiteY4" fmla="*/ 1814683 h 1814683"/>
                <a:gd name="connsiteX5" fmla="*/ 1781175 w 2089663"/>
                <a:gd name="connsiteY5" fmla="*/ 0 h 1814683"/>
                <a:gd name="connsiteX0" fmla="*/ 1781175 w 2089663"/>
                <a:gd name="connsiteY0" fmla="*/ 2892 h 1817575"/>
                <a:gd name="connsiteX1" fmla="*/ 1781175 w 2089663"/>
                <a:gd name="connsiteY1" fmla="*/ 0 h 1817575"/>
                <a:gd name="connsiteX2" fmla="*/ 2089663 w 2089663"/>
                <a:gd name="connsiteY2" fmla="*/ 5264 h 1817575"/>
                <a:gd name="connsiteX3" fmla="*/ 323850 w 2089663"/>
                <a:gd name="connsiteY3" fmla="*/ 1817575 h 1817575"/>
                <a:gd name="connsiteX4" fmla="*/ 0 w 2089663"/>
                <a:gd name="connsiteY4" fmla="*/ 1817575 h 1817575"/>
                <a:gd name="connsiteX5" fmla="*/ 1781175 w 2089663"/>
                <a:gd name="connsiteY5" fmla="*/ 2892 h 1817575"/>
                <a:gd name="connsiteX0" fmla="*/ 1792785 w 2101273"/>
                <a:gd name="connsiteY0" fmla="*/ 2892 h 1843600"/>
                <a:gd name="connsiteX1" fmla="*/ 1792785 w 2101273"/>
                <a:gd name="connsiteY1" fmla="*/ 0 h 1843600"/>
                <a:gd name="connsiteX2" fmla="*/ 2101273 w 2101273"/>
                <a:gd name="connsiteY2" fmla="*/ 5264 h 1843600"/>
                <a:gd name="connsiteX3" fmla="*/ 335460 w 2101273"/>
                <a:gd name="connsiteY3" fmla="*/ 1817575 h 1843600"/>
                <a:gd name="connsiteX4" fmla="*/ 0 w 2101273"/>
                <a:gd name="connsiteY4" fmla="*/ 1843600 h 1843600"/>
                <a:gd name="connsiteX5" fmla="*/ 1792785 w 2101273"/>
                <a:gd name="connsiteY5" fmla="*/ 2892 h 1843600"/>
                <a:gd name="connsiteX0" fmla="*/ 1807299 w 2115787"/>
                <a:gd name="connsiteY0" fmla="*/ 2892 h 1843600"/>
                <a:gd name="connsiteX1" fmla="*/ 1807299 w 2115787"/>
                <a:gd name="connsiteY1" fmla="*/ 0 h 1843600"/>
                <a:gd name="connsiteX2" fmla="*/ 2115787 w 2115787"/>
                <a:gd name="connsiteY2" fmla="*/ 5264 h 1843600"/>
                <a:gd name="connsiteX3" fmla="*/ 349974 w 2115787"/>
                <a:gd name="connsiteY3" fmla="*/ 1817575 h 1843600"/>
                <a:gd name="connsiteX4" fmla="*/ 0 w 2115787"/>
                <a:gd name="connsiteY4" fmla="*/ 1843600 h 1843600"/>
                <a:gd name="connsiteX5" fmla="*/ 1807299 w 2115787"/>
                <a:gd name="connsiteY5" fmla="*/ 2892 h 1843600"/>
                <a:gd name="connsiteX0" fmla="*/ 1807299 w 2115787"/>
                <a:gd name="connsiteY0" fmla="*/ 2892 h 1843600"/>
                <a:gd name="connsiteX1" fmla="*/ 1807299 w 2115787"/>
                <a:gd name="connsiteY1" fmla="*/ 0 h 1843600"/>
                <a:gd name="connsiteX2" fmla="*/ 2115787 w 2115787"/>
                <a:gd name="connsiteY2" fmla="*/ 5264 h 1843600"/>
                <a:gd name="connsiteX3" fmla="*/ 355779 w 2115787"/>
                <a:gd name="connsiteY3" fmla="*/ 1832033 h 1843600"/>
                <a:gd name="connsiteX4" fmla="*/ 0 w 2115787"/>
                <a:gd name="connsiteY4" fmla="*/ 1843600 h 1843600"/>
                <a:gd name="connsiteX5" fmla="*/ 1807299 w 2115787"/>
                <a:gd name="connsiteY5" fmla="*/ 2892 h 1843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115787" h="1843600">
                  <a:moveTo>
                    <a:pt x="1807299" y="2892"/>
                  </a:moveTo>
                  <a:lnTo>
                    <a:pt x="1807299" y="0"/>
                  </a:lnTo>
                  <a:cubicBezTo>
                    <a:pt x="1857746" y="877"/>
                    <a:pt x="1887011" y="5264"/>
                    <a:pt x="2115787" y="5264"/>
                  </a:cubicBezTo>
                  <a:lnTo>
                    <a:pt x="355779" y="1832033"/>
                  </a:lnTo>
                  <a:lnTo>
                    <a:pt x="0" y="1843600"/>
                  </a:lnTo>
                  <a:lnTo>
                    <a:pt x="1807299" y="2892"/>
                  </a:lnTo>
                  <a:close/>
                </a:path>
              </a:pathLst>
            </a:custGeom>
            <a:gradFill flip="none" rotWithShape="1">
              <a:gsLst>
                <a:gs pos="0">
                  <a:schemeClr val="accent5">
                    <a:lumMod val="75000"/>
                  </a:schemeClr>
                </a:gs>
                <a:gs pos="50000">
                  <a:schemeClr val="accent5">
                    <a:lumMod val="60000"/>
                    <a:lumOff val="40000"/>
                  </a:schemeClr>
                </a:gs>
                <a:gs pos="100000">
                  <a:schemeClr val="accent5">
                    <a:lumMod val="40000"/>
                    <a:lumOff val="60000"/>
                  </a:schemeClr>
                </a:gs>
              </a:gsLst>
              <a:lin ang="0" scaled="1"/>
              <a:tileRect/>
            </a:gra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5" name="AutoShape 249"/>
            <xdr:cNvSpPr>
              <a:spLocks/>
            </xdr:cNvSpPr>
          </xdr:nvSpPr>
          <xdr:spPr bwMode="auto">
            <a:xfrm>
              <a:off x="962025" y="7315200"/>
              <a:ext cx="2381250" cy="733425"/>
            </a:xfrm>
            <a:prstGeom prst="callout2">
              <a:avLst>
                <a:gd name="adj1" fmla="val 18180"/>
                <a:gd name="adj2" fmla="val 103766"/>
                <a:gd name="adj3" fmla="val 19480"/>
                <a:gd name="adj4" fmla="val 115063"/>
                <a:gd name="adj5" fmla="val 64935"/>
                <a:gd name="adj6" fmla="val 133252"/>
              </a:avLst>
            </a:prstGeom>
            <a:solidFill>
              <a:srgbClr val="FFFFFF"/>
            </a:solidFill>
            <a:ln w="9525">
              <a:solidFill>
                <a:srgbClr val="000000"/>
              </a:solidFill>
              <a:miter lim="800000"/>
              <a:headEnd/>
              <a:tailEnd type="triangle" w="lg" len="lg"/>
            </a:ln>
          </xdr:spPr>
          <xdr:txBody>
            <a:bodyPr vertOverflow="clip" wrap="square" lIns="45720" tIns="41148" rIns="0" bIns="0" anchor="t" upright="1"/>
            <a:lstStyle/>
            <a:p>
              <a:pPr algn="r" rtl="0">
                <a:defRPr sz="1000"/>
              </a:pPr>
              <a:r>
                <a:rPr lang="en-US" sz="2000" b="1" i="0" u="none" strike="noStrike" baseline="0">
                  <a:solidFill>
                    <a:srgbClr val="000000"/>
                  </a:solidFill>
                  <a:latin typeface="Arial"/>
                  <a:cs typeface="Arial"/>
                </a:rPr>
                <a:t>Cell State-of-Charge Controller</a:t>
              </a:r>
            </a:p>
          </xdr:txBody>
        </xdr:sp>
        <xdr:sp macro="" textlink="">
          <xdr:nvSpPr>
            <xdr:cNvPr id="23" name="Freeform 22"/>
            <xdr:cNvSpPr/>
          </xdr:nvSpPr>
          <xdr:spPr>
            <a:xfrm>
              <a:off x="4363490" y="7174838"/>
              <a:ext cx="3369871" cy="253129"/>
            </a:xfrm>
            <a:custGeom>
              <a:avLst/>
              <a:gdLst>
                <a:gd name="connsiteX0" fmla="*/ 277455 w 512005"/>
                <a:gd name="connsiteY0" fmla="*/ 0 h 291756"/>
                <a:gd name="connsiteX1" fmla="*/ 512005 w 512005"/>
                <a:gd name="connsiteY1" fmla="*/ 2860 h 291756"/>
                <a:gd name="connsiteX2" fmla="*/ 225969 w 512005"/>
                <a:gd name="connsiteY2" fmla="*/ 291756 h 291756"/>
                <a:gd name="connsiteX3" fmla="*/ 0 w 512005"/>
                <a:gd name="connsiteY3" fmla="*/ 291756 h 291756"/>
                <a:gd name="connsiteX4" fmla="*/ 277455 w 512005"/>
                <a:gd name="connsiteY4" fmla="*/ 0 h 291756"/>
                <a:gd name="connsiteX0" fmla="*/ 277455 w 2977324"/>
                <a:gd name="connsiteY0" fmla="*/ 0 h 291756"/>
                <a:gd name="connsiteX1" fmla="*/ 2977324 w 2977324"/>
                <a:gd name="connsiteY1" fmla="*/ 2860 h 291756"/>
                <a:gd name="connsiteX2" fmla="*/ 225969 w 2977324"/>
                <a:gd name="connsiteY2" fmla="*/ 291756 h 291756"/>
                <a:gd name="connsiteX3" fmla="*/ 0 w 2977324"/>
                <a:gd name="connsiteY3" fmla="*/ 291756 h 291756"/>
                <a:gd name="connsiteX4" fmla="*/ 277455 w 2977324"/>
                <a:gd name="connsiteY4" fmla="*/ 0 h 291756"/>
                <a:gd name="connsiteX0" fmla="*/ 277455 w 2977324"/>
                <a:gd name="connsiteY0" fmla="*/ 0 h 291756"/>
                <a:gd name="connsiteX1" fmla="*/ 2977324 w 2977324"/>
                <a:gd name="connsiteY1" fmla="*/ 2860 h 291756"/>
                <a:gd name="connsiteX2" fmla="*/ 2729363 w 2977324"/>
                <a:gd name="connsiteY2" fmla="*/ 234242 h 291756"/>
                <a:gd name="connsiteX3" fmla="*/ 0 w 2977324"/>
                <a:gd name="connsiteY3" fmla="*/ 291756 h 291756"/>
                <a:gd name="connsiteX4" fmla="*/ 277455 w 2977324"/>
                <a:gd name="connsiteY4" fmla="*/ 0 h 291756"/>
                <a:gd name="connsiteX0" fmla="*/ 239381 w 2939250"/>
                <a:gd name="connsiteY0" fmla="*/ 0 h 234242"/>
                <a:gd name="connsiteX1" fmla="*/ 2939250 w 2939250"/>
                <a:gd name="connsiteY1" fmla="*/ 2860 h 234242"/>
                <a:gd name="connsiteX2" fmla="*/ 2691289 w 2939250"/>
                <a:gd name="connsiteY2" fmla="*/ 234242 h 234242"/>
                <a:gd name="connsiteX3" fmla="*/ 0 w 2939250"/>
                <a:gd name="connsiteY3" fmla="*/ 224657 h 234242"/>
                <a:gd name="connsiteX4" fmla="*/ 239381 w 2939250"/>
                <a:gd name="connsiteY4" fmla="*/ 0 h 234242"/>
                <a:gd name="connsiteX0" fmla="*/ 140751 w 2939250"/>
                <a:gd name="connsiteY0" fmla="*/ 0 h 251725"/>
                <a:gd name="connsiteX1" fmla="*/ 2939250 w 2939250"/>
                <a:gd name="connsiteY1" fmla="*/ 20343 h 251725"/>
                <a:gd name="connsiteX2" fmla="*/ 2691289 w 2939250"/>
                <a:gd name="connsiteY2" fmla="*/ 251725 h 251725"/>
                <a:gd name="connsiteX3" fmla="*/ 0 w 2939250"/>
                <a:gd name="connsiteY3" fmla="*/ 242140 h 251725"/>
                <a:gd name="connsiteX4" fmla="*/ 140751 w 2939250"/>
                <a:gd name="connsiteY4" fmla="*/ 0 h 251725"/>
                <a:gd name="connsiteX0" fmla="*/ 219074 w 3017573"/>
                <a:gd name="connsiteY0" fmla="*/ 0 h 251725"/>
                <a:gd name="connsiteX1" fmla="*/ 3017573 w 3017573"/>
                <a:gd name="connsiteY1" fmla="*/ 20343 h 251725"/>
                <a:gd name="connsiteX2" fmla="*/ 2769612 w 3017573"/>
                <a:gd name="connsiteY2" fmla="*/ 251725 h 251725"/>
                <a:gd name="connsiteX3" fmla="*/ 0 w 3017573"/>
                <a:gd name="connsiteY3" fmla="*/ 242140 h 251725"/>
                <a:gd name="connsiteX4" fmla="*/ 219074 w 3017573"/>
                <a:gd name="connsiteY4" fmla="*/ 0 h 251725"/>
                <a:gd name="connsiteX0" fmla="*/ 221975 w 3017573"/>
                <a:gd name="connsiteY0" fmla="*/ 0 h 248811"/>
                <a:gd name="connsiteX1" fmla="*/ 3017573 w 3017573"/>
                <a:gd name="connsiteY1" fmla="*/ 17429 h 248811"/>
                <a:gd name="connsiteX2" fmla="*/ 2769612 w 3017573"/>
                <a:gd name="connsiteY2" fmla="*/ 248811 h 248811"/>
                <a:gd name="connsiteX3" fmla="*/ 0 w 3017573"/>
                <a:gd name="connsiteY3" fmla="*/ 239226 h 248811"/>
                <a:gd name="connsiteX4" fmla="*/ 221975 w 3017573"/>
                <a:gd name="connsiteY4" fmla="*/ 0 h 248811"/>
                <a:gd name="connsiteX0" fmla="*/ 97238 w 2892836"/>
                <a:gd name="connsiteY0" fmla="*/ 0 h 248811"/>
                <a:gd name="connsiteX1" fmla="*/ 2892836 w 2892836"/>
                <a:gd name="connsiteY1" fmla="*/ 17429 h 248811"/>
                <a:gd name="connsiteX2" fmla="*/ 2644875 w 2892836"/>
                <a:gd name="connsiteY2" fmla="*/ 248811 h 248811"/>
                <a:gd name="connsiteX3" fmla="*/ 0 w 2892836"/>
                <a:gd name="connsiteY3" fmla="*/ 242140 h 248811"/>
                <a:gd name="connsiteX4" fmla="*/ 97238 w 2892836"/>
                <a:gd name="connsiteY4" fmla="*/ 0 h 248811"/>
                <a:gd name="connsiteX0" fmla="*/ 224876 w 2892836"/>
                <a:gd name="connsiteY0" fmla="*/ 2967 h 231382"/>
                <a:gd name="connsiteX1" fmla="*/ 2892836 w 2892836"/>
                <a:gd name="connsiteY1" fmla="*/ 0 h 231382"/>
                <a:gd name="connsiteX2" fmla="*/ 2644875 w 2892836"/>
                <a:gd name="connsiteY2" fmla="*/ 231382 h 231382"/>
                <a:gd name="connsiteX3" fmla="*/ 0 w 2892836"/>
                <a:gd name="connsiteY3" fmla="*/ 224711 h 231382"/>
                <a:gd name="connsiteX4" fmla="*/ 224876 w 2892836"/>
                <a:gd name="connsiteY4" fmla="*/ 2967 h 231382"/>
                <a:gd name="connsiteX0" fmla="*/ 233579 w 2892836"/>
                <a:gd name="connsiteY0" fmla="*/ 0 h 245898"/>
                <a:gd name="connsiteX1" fmla="*/ 2892836 w 2892836"/>
                <a:gd name="connsiteY1" fmla="*/ 14516 h 245898"/>
                <a:gd name="connsiteX2" fmla="*/ 2644875 w 2892836"/>
                <a:gd name="connsiteY2" fmla="*/ 245898 h 245898"/>
                <a:gd name="connsiteX3" fmla="*/ 0 w 2892836"/>
                <a:gd name="connsiteY3" fmla="*/ 239227 h 245898"/>
                <a:gd name="connsiteX4" fmla="*/ 233579 w 2892836"/>
                <a:gd name="connsiteY4" fmla="*/ 0 h 245898"/>
                <a:gd name="connsiteX0" fmla="*/ 233579 w 2898638"/>
                <a:gd name="connsiteY0" fmla="*/ 11708 h 257606"/>
                <a:gd name="connsiteX1" fmla="*/ 2898638 w 2898638"/>
                <a:gd name="connsiteY1" fmla="*/ 0 h 257606"/>
                <a:gd name="connsiteX2" fmla="*/ 2644875 w 2898638"/>
                <a:gd name="connsiteY2" fmla="*/ 257606 h 257606"/>
                <a:gd name="connsiteX3" fmla="*/ 0 w 2898638"/>
                <a:gd name="connsiteY3" fmla="*/ 250935 h 257606"/>
                <a:gd name="connsiteX4" fmla="*/ 233579 w 2898638"/>
                <a:gd name="connsiteY4" fmla="*/ 11708 h 257606"/>
                <a:gd name="connsiteX0" fmla="*/ 233579 w 2907341"/>
                <a:gd name="connsiteY0" fmla="*/ 5880 h 251778"/>
                <a:gd name="connsiteX1" fmla="*/ 2907341 w 2907341"/>
                <a:gd name="connsiteY1" fmla="*/ 0 h 251778"/>
                <a:gd name="connsiteX2" fmla="*/ 2644875 w 2907341"/>
                <a:gd name="connsiteY2" fmla="*/ 251778 h 251778"/>
                <a:gd name="connsiteX3" fmla="*/ 0 w 2907341"/>
                <a:gd name="connsiteY3" fmla="*/ 245107 h 251778"/>
                <a:gd name="connsiteX4" fmla="*/ 233579 w 2907341"/>
                <a:gd name="connsiteY4" fmla="*/ 5880 h 251778"/>
                <a:gd name="connsiteX0" fmla="*/ 233579 w 2907341"/>
                <a:gd name="connsiteY0" fmla="*/ 5880 h 251778"/>
                <a:gd name="connsiteX1" fmla="*/ 2907341 w 2907341"/>
                <a:gd name="connsiteY1" fmla="*/ 0 h 251778"/>
                <a:gd name="connsiteX2" fmla="*/ 2673884 w 2907341"/>
                <a:gd name="connsiteY2" fmla="*/ 251778 h 251778"/>
                <a:gd name="connsiteX3" fmla="*/ 0 w 2907341"/>
                <a:gd name="connsiteY3" fmla="*/ 245107 h 251778"/>
                <a:gd name="connsiteX4" fmla="*/ 233579 w 2907341"/>
                <a:gd name="connsiteY4" fmla="*/ 5880 h 251778"/>
                <a:gd name="connsiteX0" fmla="*/ 0 w 3111620"/>
                <a:gd name="connsiteY0" fmla="*/ 5880 h 251778"/>
                <a:gd name="connsiteX1" fmla="*/ 3111620 w 3111620"/>
                <a:gd name="connsiteY1" fmla="*/ 0 h 251778"/>
                <a:gd name="connsiteX2" fmla="*/ 2878163 w 3111620"/>
                <a:gd name="connsiteY2" fmla="*/ 251778 h 251778"/>
                <a:gd name="connsiteX3" fmla="*/ 204279 w 3111620"/>
                <a:gd name="connsiteY3" fmla="*/ 245107 h 251778"/>
                <a:gd name="connsiteX4" fmla="*/ 0 w 3111620"/>
                <a:gd name="connsiteY4" fmla="*/ 5880 h 251778"/>
                <a:gd name="connsiteX0" fmla="*/ 252616 w 3364236"/>
                <a:gd name="connsiteY0" fmla="*/ 5880 h 251778"/>
                <a:gd name="connsiteX1" fmla="*/ 3364236 w 3364236"/>
                <a:gd name="connsiteY1" fmla="*/ 0 h 251778"/>
                <a:gd name="connsiteX2" fmla="*/ 3130779 w 3364236"/>
                <a:gd name="connsiteY2" fmla="*/ 251778 h 251778"/>
                <a:gd name="connsiteX3" fmla="*/ 0 w 3364236"/>
                <a:gd name="connsiteY3" fmla="*/ 245107 h 251778"/>
                <a:gd name="connsiteX4" fmla="*/ 252616 w 3364236"/>
                <a:gd name="connsiteY4" fmla="*/ 5880 h 251778"/>
                <a:gd name="connsiteX0" fmla="*/ 252616 w 3367621"/>
                <a:gd name="connsiteY0" fmla="*/ 0 h 245898"/>
                <a:gd name="connsiteX1" fmla="*/ 3367621 w 3367621"/>
                <a:gd name="connsiteY1" fmla="*/ 685 h 245898"/>
                <a:gd name="connsiteX2" fmla="*/ 3130779 w 3367621"/>
                <a:gd name="connsiteY2" fmla="*/ 245898 h 245898"/>
                <a:gd name="connsiteX3" fmla="*/ 0 w 3367621"/>
                <a:gd name="connsiteY3" fmla="*/ 239227 h 245898"/>
                <a:gd name="connsiteX4" fmla="*/ 252616 w 3367621"/>
                <a:gd name="connsiteY4" fmla="*/ 0 h 2458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367621" h="245898">
                  <a:moveTo>
                    <a:pt x="252616" y="0"/>
                  </a:moveTo>
                  <a:lnTo>
                    <a:pt x="3367621" y="685"/>
                  </a:lnTo>
                  <a:lnTo>
                    <a:pt x="3130779" y="245898"/>
                  </a:lnTo>
                  <a:lnTo>
                    <a:pt x="0" y="239227"/>
                  </a:lnTo>
                  <a:lnTo>
                    <a:pt x="252616" y="0"/>
                  </a:lnTo>
                  <a:close/>
                </a:path>
              </a:pathLst>
            </a:custGeom>
            <a:solidFill>
              <a:schemeClr val="bg2">
                <a:lumMod val="7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24" name="Freeform 423"/>
            <xdr:cNvSpPr/>
          </xdr:nvSpPr>
          <xdr:spPr>
            <a:xfrm>
              <a:off x="2816712" y="8780019"/>
              <a:ext cx="3403113" cy="243458"/>
            </a:xfrm>
            <a:custGeom>
              <a:avLst/>
              <a:gdLst>
                <a:gd name="connsiteX0" fmla="*/ 277455 w 512005"/>
                <a:gd name="connsiteY0" fmla="*/ 0 h 291756"/>
                <a:gd name="connsiteX1" fmla="*/ 512005 w 512005"/>
                <a:gd name="connsiteY1" fmla="*/ 2860 h 291756"/>
                <a:gd name="connsiteX2" fmla="*/ 225969 w 512005"/>
                <a:gd name="connsiteY2" fmla="*/ 291756 h 291756"/>
                <a:gd name="connsiteX3" fmla="*/ 0 w 512005"/>
                <a:gd name="connsiteY3" fmla="*/ 291756 h 291756"/>
                <a:gd name="connsiteX4" fmla="*/ 277455 w 512005"/>
                <a:gd name="connsiteY4" fmla="*/ 0 h 291756"/>
                <a:gd name="connsiteX0" fmla="*/ 277455 w 2977324"/>
                <a:gd name="connsiteY0" fmla="*/ 0 h 291756"/>
                <a:gd name="connsiteX1" fmla="*/ 2977324 w 2977324"/>
                <a:gd name="connsiteY1" fmla="*/ 2860 h 291756"/>
                <a:gd name="connsiteX2" fmla="*/ 225969 w 2977324"/>
                <a:gd name="connsiteY2" fmla="*/ 291756 h 291756"/>
                <a:gd name="connsiteX3" fmla="*/ 0 w 2977324"/>
                <a:gd name="connsiteY3" fmla="*/ 291756 h 291756"/>
                <a:gd name="connsiteX4" fmla="*/ 277455 w 2977324"/>
                <a:gd name="connsiteY4" fmla="*/ 0 h 291756"/>
                <a:gd name="connsiteX0" fmla="*/ 277455 w 2977324"/>
                <a:gd name="connsiteY0" fmla="*/ 0 h 291756"/>
                <a:gd name="connsiteX1" fmla="*/ 2977324 w 2977324"/>
                <a:gd name="connsiteY1" fmla="*/ 2860 h 291756"/>
                <a:gd name="connsiteX2" fmla="*/ 2729363 w 2977324"/>
                <a:gd name="connsiteY2" fmla="*/ 234242 h 291756"/>
                <a:gd name="connsiteX3" fmla="*/ 0 w 2977324"/>
                <a:gd name="connsiteY3" fmla="*/ 291756 h 291756"/>
                <a:gd name="connsiteX4" fmla="*/ 277455 w 2977324"/>
                <a:gd name="connsiteY4" fmla="*/ 0 h 291756"/>
                <a:gd name="connsiteX0" fmla="*/ 239381 w 2939250"/>
                <a:gd name="connsiteY0" fmla="*/ 0 h 234242"/>
                <a:gd name="connsiteX1" fmla="*/ 2939250 w 2939250"/>
                <a:gd name="connsiteY1" fmla="*/ 2860 h 234242"/>
                <a:gd name="connsiteX2" fmla="*/ 2691289 w 2939250"/>
                <a:gd name="connsiteY2" fmla="*/ 234242 h 234242"/>
                <a:gd name="connsiteX3" fmla="*/ 0 w 2939250"/>
                <a:gd name="connsiteY3" fmla="*/ 224657 h 234242"/>
                <a:gd name="connsiteX4" fmla="*/ 239381 w 2939250"/>
                <a:gd name="connsiteY4" fmla="*/ 0 h 234242"/>
                <a:gd name="connsiteX0" fmla="*/ 140751 w 2939250"/>
                <a:gd name="connsiteY0" fmla="*/ 0 h 251725"/>
                <a:gd name="connsiteX1" fmla="*/ 2939250 w 2939250"/>
                <a:gd name="connsiteY1" fmla="*/ 20343 h 251725"/>
                <a:gd name="connsiteX2" fmla="*/ 2691289 w 2939250"/>
                <a:gd name="connsiteY2" fmla="*/ 251725 h 251725"/>
                <a:gd name="connsiteX3" fmla="*/ 0 w 2939250"/>
                <a:gd name="connsiteY3" fmla="*/ 242140 h 251725"/>
                <a:gd name="connsiteX4" fmla="*/ 140751 w 2939250"/>
                <a:gd name="connsiteY4" fmla="*/ 0 h 251725"/>
                <a:gd name="connsiteX0" fmla="*/ 219074 w 3017573"/>
                <a:gd name="connsiteY0" fmla="*/ 0 h 251725"/>
                <a:gd name="connsiteX1" fmla="*/ 3017573 w 3017573"/>
                <a:gd name="connsiteY1" fmla="*/ 20343 h 251725"/>
                <a:gd name="connsiteX2" fmla="*/ 2769612 w 3017573"/>
                <a:gd name="connsiteY2" fmla="*/ 251725 h 251725"/>
                <a:gd name="connsiteX3" fmla="*/ 0 w 3017573"/>
                <a:gd name="connsiteY3" fmla="*/ 242140 h 251725"/>
                <a:gd name="connsiteX4" fmla="*/ 219074 w 3017573"/>
                <a:gd name="connsiteY4" fmla="*/ 0 h 251725"/>
                <a:gd name="connsiteX0" fmla="*/ 221975 w 3017573"/>
                <a:gd name="connsiteY0" fmla="*/ 0 h 248811"/>
                <a:gd name="connsiteX1" fmla="*/ 3017573 w 3017573"/>
                <a:gd name="connsiteY1" fmla="*/ 17429 h 248811"/>
                <a:gd name="connsiteX2" fmla="*/ 2769612 w 3017573"/>
                <a:gd name="connsiteY2" fmla="*/ 248811 h 248811"/>
                <a:gd name="connsiteX3" fmla="*/ 0 w 3017573"/>
                <a:gd name="connsiteY3" fmla="*/ 239226 h 248811"/>
                <a:gd name="connsiteX4" fmla="*/ 221975 w 3017573"/>
                <a:gd name="connsiteY4" fmla="*/ 0 h 248811"/>
                <a:gd name="connsiteX0" fmla="*/ 97238 w 2892836"/>
                <a:gd name="connsiteY0" fmla="*/ 0 h 248811"/>
                <a:gd name="connsiteX1" fmla="*/ 2892836 w 2892836"/>
                <a:gd name="connsiteY1" fmla="*/ 17429 h 248811"/>
                <a:gd name="connsiteX2" fmla="*/ 2644875 w 2892836"/>
                <a:gd name="connsiteY2" fmla="*/ 248811 h 248811"/>
                <a:gd name="connsiteX3" fmla="*/ 0 w 2892836"/>
                <a:gd name="connsiteY3" fmla="*/ 242140 h 248811"/>
                <a:gd name="connsiteX4" fmla="*/ 97238 w 2892836"/>
                <a:gd name="connsiteY4" fmla="*/ 0 h 248811"/>
                <a:gd name="connsiteX0" fmla="*/ 224876 w 2892836"/>
                <a:gd name="connsiteY0" fmla="*/ 2967 h 231382"/>
                <a:gd name="connsiteX1" fmla="*/ 2892836 w 2892836"/>
                <a:gd name="connsiteY1" fmla="*/ 0 h 231382"/>
                <a:gd name="connsiteX2" fmla="*/ 2644875 w 2892836"/>
                <a:gd name="connsiteY2" fmla="*/ 231382 h 231382"/>
                <a:gd name="connsiteX3" fmla="*/ 0 w 2892836"/>
                <a:gd name="connsiteY3" fmla="*/ 224711 h 231382"/>
                <a:gd name="connsiteX4" fmla="*/ 224876 w 2892836"/>
                <a:gd name="connsiteY4" fmla="*/ 2967 h 231382"/>
                <a:gd name="connsiteX0" fmla="*/ 233579 w 2892836"/>
                <a:gd name="connsiteY0" fmla="*/ 0 h 245898"/>
                <a:gd name="connsiteX1" fmla="*/ 2892836 w 2892836"/>
                <a:gd name="connsiteY1" fmla="*/ 14516 h 245898"/>
                <a:gd name="connsiteX2" fmla="*/ 2644875 w 2892836"/>
                <a:gd name="connsiteY2" fmla="*/ 245898 h 245898"/>
                <a:gd name="connsiteX3" fmla="*/ 0 w 2892836"/>
                <a:gd name="connsiteY3" fmla="*/ 239227 h 245898"/>
                <a:gd name="connsiteX4" fmla="*/ 233579 w 2892836"/>
                <a:gd name="connsiteY4" fmla="*/ 0 h 245898"/>
                <a:gd name="connsiteX0" fmla="*/ 233579 w 2898638"/>
                <a:gd name="connsiteY0" fmla="*/ 11708 h 257606"/>
                <a:gd name="connsiteX1" fmla="*/ 2898638 w 2898638"/>
                <a:gd name="connsiteY1" fmla="*/ 0 h 257606"/>
                <a:gd name="connsiteX2" fmla="*/ 2644875 w 2898638"/>
                <a:gd name="connsiteY2" fmla="*/ 257606 h 257606"/>
                <a:gd name="connsiteX3" fmla="*/ 0 w 2898638"/>
                <a:gd name="connsiteY3" fmla="*/ 250935 h 257606"/>
                <a:gd name="connsiteX4" fmla="*/ 233579 w 2898638"/>
                <a:gd name="connsiteY4" fmla="*/ 11708 h 257606"/>
                <a:gd name="connsiteX0" fmla="*/ 233579 w 2907341"/>
                <a:gd name="connsiteY0" fmla="*/ 5880 h 251778"/>
                <a:gd name="connsiteX1" fmla="*/ 2907341 w 2907341"/>
                <a:gd name="connsiteY1" fmla="*/ 0 h 251778"/>
                <a:gd name="connsiteX2" fmla="*/ 2644875 w 2907341"/>
                <a:gd name="connsiteY2" fmla="*/ 251778 h 251778"/>
                <a:gd name="connsiteX3" fmla="*/ 0 w 2907341"/>
                <a:gd name="connsiteY3" fmla="*/ 245107 h 251778"/>
                <a:gd name="connsiteX4" fmla="*/ 233579 w 2907341"/>
                <a:gd name="connsiteY4" fmla="*/ 5880 h 251778"/>
                <a:gd name="connsiteX0" fmla="*/ 233579 w 2907341"/>
                <a:gd name="connsiteY0" fmla="*/ 5880 h 251778"/>
                <a:gd name="connsiteX1" fmla="*/ 2907341 w 2907341"/>
                <a:gd name="connsiteY1" fmla="*/ 0 h 251778"/>
                <a:gd name="connsiteX2" fmla="*/ 2673884 w 2907341"/>
                <a:gd name="connsiteY2" fmla="*/ 251778 h 251778"/>
                <a:gd name="connsiteX3" fmla="*/ 0 w 2907341"/>
                <a:gd name="connsiteY3" fmla="*/ 245107 h 251778"/>
                <a:gd name="connsiteX4" fmla="*/ 233579 w 2907341"/>
                <a:gd name="connsiteY4" fmla="*/ 5880 h 251778"/>
                <a:gd name="connsiteX0" fmla="*/ 0 w 3132856"/>
                <a:gd name="connsiteY0" fmla="*/ 5880 h 251778"/>
                <a:gd name="connsiteX1" fmla="*/ 3132856 w 3132856"/>
                <a:gd name="connsiteY1" fmla="*/ 0 h 251778"/>
                <a:gd name="connsiteX2" fmla="*/ 2899399 w 3132856"/>
                <a:gd name="connsiteY2" fmla="*/ 251778 h 251778"/>
                <a:gd name="connsiteX3" fmla="*/ 225515 w 3132856"/>
                <a:gd name="connsiteY3" fmla="*/ 245107 h 251778"/>
                <a:gd name="connsiteX4" fmla="*/ 0 w 3132856"/>
                <a:gd name="connsiteY4" fmla="*/ 5880 h 251778"/>
                <a:gd name="connsiteX0" fmla="*/ 210291 w 3343147"/>
                <a:gd name="connsiteY0" fmla="*/ 5880 h 251778"/>
                <a:gd name="connsiteX1" fmla="*/ 3343147 w 3343147"/>
                <a:gd name="connsiteY1" fmla="*/ 0 h 251778"/>
                <a:gd name="connsiteX2" fmla="*/ 3109690 w 3343147"/>
                <a:gd name="connsiteY2" fmla="*/ 251778 h 251778"/>
                <a:gd name="connsiteX3" fmla="*/ 0 w 3343147"/>
                <a:gd name="connsiteY3" fmla="*/ 231507 h 251778"/>
                <a:gd name="connsiteX4" fmla="*/ 210291 w 3343147"/>
                <a:gd name="connsiteY4" fmla="*/ 5880 h 251778"/>
                <a:gd name="connsiteX0" fmla="*/ 210291 w 3343147"/>
                <a:gd name="connsiteY0" fmla="*/ 5880 h 244977"/>
                <a:gd name="connsiteX1" fmla="*/ 3343147 w 3343147"/>
                <a:gd name="connsiteY1" fmla="*/ 0 h 244977"/>
                <a:gd name="connsiteX2" fmla="*/ 3099709 w 3343147"/>
                <a:gd name="connsiteY2" fmla="*/ 244977 h 244977"/>
                <a:gd name="connsiteX3" fmla="*/ 0 w 3343147"/>
                <a:gd name="connsiteY3" fmla="*/ 231507 h 244977"/>
                <a:gd name="connsiteX4" fmla="*/ 210291 w 3343147"/>
                <a:gd name="connsiteY4" fmla="*/ 5880 h 2449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343147" h="244977">
                  <a:moveTo>
                    <a:pt x="210291" y="5880"/>
                  </a:moveTo>
                  <a:lnTo>
                    <a:pt x="3343147" y="0"/>
                  </a:lnTo>
                  <a:lnTo>
                    <a:pt x="3099709" y="244977"/>
                  </a:lnTo>
                  <a:lnTo>
                    <a:pt x="0" y="231507"/>
                  </a:lnTo>
                  <a:lnTo>
                    <a:pt x="210291" y="5880"/>
                  </a:lnTo>
                  <a:close/>
                </a:path>
              </a:pathLst>
            </a:custGeom>
            <a:solidFill>
              <a:schemeClr val="bg2">
                <a:lumMod val="7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Rectangle 2"/>
            <xdr:cNvSpPr/>
          </xdr:nvSpPr>
          <xdr:spPr>
            <a:xfrm>
              <a:off x="2771775" y="9020176"/>
              <a:ext cx="3200399" cy="3105149"/>
            </a:xfrm>
            <a:prstGeom prst="rect">
              <a:avLst/>
            </a:prstGeom>
            <a:gradFill flip="none" rotWithShape="1">
              <a:gsLst>
                <a:gs pos="0">
                  <a:schemeClr val="accent1">
                    <a:shade val="30000"/>
                    <a:satMod val="115000"/>
                    <a:lumMod val="84000"/>
                    <a:lumOff val="16000"/>
                  </a:schemeClr>
                </a:gs>
                <a:gs pos="50000">
                  <a:schemeClr val="accent1">
                    <a:shade val="67500"/>
                    <a:satMod val="115000"/>
                    <a:lumMod val="71000"/>
                    <a:lumOff val="29000"/>
                  </a:schemeClr>
                </a:gs>
                <a:gs pos="100000">
                  <a:schemeClr val="accent1">
                    <a:shade val="100000"/>
                    <a:satMod val="115000"/>
                    <a:lumMod val="63000"/>
                    <a:lumOff val="37000"/>
                  </a:schemeClr>
                </a:gs>
              </a:gsLst>
              <a:path path="circle">
                <a:fillToRect t="100000" r="100000"/>
              </a:path>
              <a:tileRect l="-100000" b="-100000"/>
            </a:gra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293" name="Group 222"/>
            <xdr:cNvGrpSpPr>
              <a:grpSpLocks/>
            </xdr:cNvGrpSpPr>
          </xdr:nvGrpSpPr>
          <xdr:grpSpPr bwMode="auto">
            <a:xfrm>
              <a:off x="2847975" y="9839325"/>
              <a:ext cx="666750" cy="552450"/>
              <a:chOff x="875" y="709"/>
              <a:chExt cx="70" cy="58"/>
            </a:xfrm>
          </xdr:grpSpPr>
          <xdr:grpSp>
            <xdr:nvGrpSpPr>
              <xdr:cNvPr id="305" name="Group 223"/>
              <xdr:cNvGrpSpPr>
                <a:grpSpLocks/>
              </xdr:cNvGrpSpPr>
            </xdr:nvGrpSpPr>
            <xdr:grpSpPr bwMode="auto">
              <a:xfrm>
                <a:off x="875" y="709"/>
                <a:ext cx="70" cy="58"/>
                <a:chOff x="875" y="709"/>
                <a:chExt cx="70" cy="58"/>
              </a:xfrm>
            </xdr:grpSpPr>
            <xdr:sp macro="" textlink="">
              <xdr:nvSpPr>
                <xdr:cNvPr id="309" name="AutoShape 224"/>
                <xdr:cNvSpPr>
                  <a:spLocks noChangeArrowheads="1"/>
                </xdr:cNvSpPr>
              </xdr:nvSpPr>
              <xdr:spPr bwMode="auto">
                <a:xfrm>
                  <a:off x="880" y="709"/>
                  <a:ext cx="65" cy="56"/>
                </a:xfrm>
                <a:prstGeom prst="hexagon">
                  <a:avLst>
                    <a:gd name="adj" fmla="val 29018"/>
                    <a:gd name="vf" fmla="val 115470"/>
                  </a:avLst>
                </a:prstGeom>
                <a:solidFill>
                  <a:srgbClr val="FFCC00"/>
                </a:solidFill>
                <a:ln w="9525">
                  <a:solidFill>
                    <a:srgbClr val="000000"/>
                  </a:solidFill>
                  <a:miter lim="800000"/>
                  <a:headEnd/>
                  <a:tailEnd/>
                </a:ln>
              </xdr:spPr>
            </xdr:sp>
            <xdr:sp macro="" textlink="">
              <xdr:nvSpPr>
                <xdr:cNvPr id="310" name="AutoShape 225"/>
                <xdr:cNvSpPr>
                  <a:spLocks noChangeArrowheads="1"/>
                </xdr:cNvSpPr>
              </xdr:nvSpPr>
              <xdr:spPr bwMode="auto">
                <a:xfrm>
                  <a:off x="875" y="711"/>
                  <a:ext cx="65" cy="56"/>
                </a:xfrm>
                <a:prstGeom prst="hexagon">
                  <a:avLst>
                    <a:gd name="adj" fmla="val 29018"/>
                    <a:gd name="vf" fmla="val 115470"/>
                  </a:avLst>
                </a:prstGeom>
                <a:solidFill>
                  <a:srgbClr val="FFCC00"/>
                </a:solidFill>
                <a:ln w="9525">
                  <a:solidFill>
                    <a:srgbClr val="000000"/>
                  </a:solidFill>
                  <a:miter lim="800000"/>
                  <a:headEnd/>
                  <a:tailEnd/>
                </a:ln>
              </xdr:spPr>
            </xdr:sp>
            <xdr:sp macro="" textlink="">
              <xdr:nvSpPr>
                <xdr:cNvPr id="311" name="Oval 226"/>
                <xdr:cNvSpPr>
                  <a:spLocks noChangeArrowheads="1"/>
                </xdr:cNvSpPr>
              </xdr:nvSpPr>
              <xdr:spPr bwMode="auto">
                <a:xfrm>
                  <a:off x="893" y="724"/>
                  <a:ext cx="31" cy="32"/>
                </a:xfrm>
                <a:prstGeom prst="ellipse">
                  <a:avLst/>
                </a:prstGeom>
                <a:solidFill>
                  <a:srgbClr val="FFCC00"/>
                </a:solidFill>
                <a:ln w="9525">
                  <a:solidFill>
                    <a:srgbClr val="000000"/>
                  </a:solidFill>
                  <a:round/>
                  <a:headEnd/>
                  <a:tailEnd/>
                </a:ln>
              </xdr:spPr>
            </xdr:sp>
            <xdr:sp macro="" textlink="">
              <xdr:nvSpPr>
                <xdr:cNvPr id="312" name="Oval 227"/>
                <xdr:cNvSpPr>
                  <a:spLocks noChangeArrowheads="1"/>
                </xdr:cNvSpPr>
              </xdr:nvSpPr>
              <xdr:spPr bwMode="auto">
                <a:xfrm>
                  <a:off x="890" y="727"/>
                  <a:ext cx="32" cy="31"/>
                </a:xfrm>
                <a:prstGeom prst="ellipse">
                  <a:avLst/>
                </a:prstGeom>
                <a:solidFill>
                  <a:srgbClr val="FFCC00"/>
                </a:solidFill>
                <a:ln w="9525">
                  <a:solidFill>
                    <a:srgbClr val="000000"/>
                  </a:solidFill>
                  <a:round/>
                  <a:headEnd/>
                  <a:tailEnd/>
                </a:ln>
              </xdr:spPr>
            </xdr:sp>
            <xdr:sp macro="" textlink="">
              <xdr:nvSpPr>
                <xdr:cNvPr id="313" name="Oval 228"/>
                <xdr:cNvSpPr>
                  <a:spLocks noChangeArrowheads="1"/>
                </xdr:cNvSpPr>
              </xdr:nvSpPr>
              <xdr:spPr bwMode="auto">
                <a:xfrm>
                  <a:off x="888" y="729"/>
                  <a:ext cx="31" cy="31"/>
                </a:xfrm>
                <a:prstGeom prst="ellipse">
                  <a:avLst/>
                </a:prstGeom>
                <a:solidFill>
                  <a:srgbClr val="FFCC00"/>
                </a:solidFill>
                <a:ln w="9525">
                  <a:solidFill>
                    <a:srgbClr val="000000"/>
                  </a:solidFill>
                  <a:round/>
                  <a:headEnd/>
                  <a:tailEnd/>
                </a:ln>
              </xdr:spPr>
            </xdr:sp>
            <xdr:sp macro="" textlink="">
              <xdr:nvSpPr>
                <xdr:cNvPr id="314" name="Oval 229"/>
                <xdr:cNvSpPr>
                  <a:spLocks noChangeArrowheads="1"/>
                </xdr:cNvSpPr>
              </xdr:nvSpPr>
              <xdr:spPr bwMode="auto">
                <a:xfrm>
                  <a:off x="886" y="731"/>
                  <a:ext cx="31" cy="32"/>
                </a:xfrm>
                <a:prstGeom prst="ellipse">
                  <a:avLst/>
                </a:prstGeom>
                <a:solidFill>
                  <a:srgbClr val="FFCC00"/>
                </a:solidFill>
                <a:ln w="9525">
                  <a:solidFill>
                    <a:srgbClr val="000000"/>
                  </a:solidFill>
                  <a:round/>
                  <a:headEnd/>
                  <a:tailEnd/>
                </a:ln>
              </xdr:spPr>
            </xdr:sp>
            <xdr:sp macro="" textlink="">
              <xdr:nvSpPr>
                <xdr:cNvPr id="315" name="Freeform 230"/>
                <xdr:cNvSpPr>
                  <a:spLocks/>
                </xdr:cNvSpPr>
              </xdr:nvSpPr>
              <xdr:spPr bwMode="auto">
                <a:xfrm>
                  <a:off x="891" y="709"/>
                  <a:ext cx="38" cy="2"/>
                </a:xfrm>
                <a:custGeom>
                  <a:avLst/>
                  <a:gdLst>
                    <a:gd name="T0" fmla="*/ 0 w 32"/>
                    <a:gd name="T1" fmla="*/ 2 h 2"/>
                    <a:gd name="T2" fmla="*/ 268 w 32"/>
                    <a:gd name="T3" fmla="*/ 0 h 2"/>
                    <a:gd name="T4" fmla="*/ 1662 w 32"/>
                    <a:gd name="T5" fmla="*/ 0 h 2"/>
                    <a:gd name="T6" fmla="*/ 1423 w 32"/>
                    <a:gd name="T7" fmla="*/ 2 h 2"/>
                    <a:gd name="T8" fmla="*/ 0 w 32"/>
                    <a:gd name="T9" fmla="*/ 2 h 2"/>
                    <a:gd name="T10" fmla="*/ 0 60000 65536"/>
                    <a:gd name="T11" fmla="*/ 0 60000 65536"/>
                    <a:gd name="T12" fmla="*/ 0 60000 65536"/>
                    <a:gd name="T13" fmla="*/ 0 60000 65536"/>
                    <a:gd name="T14" fmla="*/ 0 60000 65536"/>
                    <a:gd name="T15" fmla="*/ 0 w 32"/>
                    <a:gd name="T16" fmla="*/ 0 h 2"/>
                    <a:gd name="T17" fmla="*/ 32 w 32"/>
                    <a:gd name="T18" fmla="*/ 2 h 2"/>
                  </a:gdLst>
                  <a:ahLst/>
                  <a:cxnLst>
                    <a:cxn ang="T10">
                      <a:pos x="T0" y="T1"/>
                    </a:cxn>
                    <a:cxn ang="T11">
                      <a:pos x="T2" y="T3"/>
                    </a:cxn>
                    <a:cxn ang="T12">
                      <a:pos x="T4" y="T5"/>
                    </a:cxn>
                    <a:cxn ang="T13">
                      <a:pos x="T6" y="T7"/>
                    </a:cxn>
                    <a:cxn ang="T14">
                      <a:pos x="T8" y="T9"/>
                    </a:cxn>
                  </a:cxnLst>
                  <a:rect l="T15" t="T16" r="T17" b="T18"/>
                  <a:pathLst>
                    <a:path w="32" h="2">
                      <a:moveTo>
                        <a:pt x="0" y="2"/>
                      </a:moveTo>
                      <a:lnTo>
                        <a:pt x="5" y="0"/>
                      </a:lnTo>
                      <a:lnTo>
                        <a:pt x="32" y="0"/>
                      </a:lnTo>
                      <a:lnTo>
                        <a:pt x="28" y="2"/>
                      </a:lnTo>
                      <a:lnTo>
                        <a:pt x="0" y="2"/>
                      </a:lnTo>
                      <a:close/>
                    </a:path>
                  </a:pathLst>
                </a:custGeom>
                <a:solidFill>
                  <a:srgbClr val="FFCC00"/>
                </a:solidFill>
                <a:ln w="9525">
                  <a:solidFill>
                    <a:srgbClr val="000000"/>
                  </a:solidFill>
                  <a:round/>
                  <a:headEnd/>
                  <a:tailEnd/>
                </a:ln>
              </xdr:spPr>
            </xdr:sp>
            <xdr:sp macro="" textlink="">
              <xdr:nvSpPr>
                <xdr:cNvPr id="316" name="Freeform 231"/>
                <xdr:cNvSpPr>
                  <a:spLocks/>
                </xdr:cNvSpPr>
              </xdr:nvSpPr>
              <xdr:spPr bwMode="auto">
                <a:xfrm>
                  <a:off x="924" y="737"/>
                  <a:ext cx="21" cy="30"/>
                </a:xfrm>
                <a:custGeom>
                  <a:avLst/>
                  <a:gdLst>
                    <a:gd name="T0" fmla="*/ 488 w 18"/>
                    <a:gd name="T1" fmla="*/ 2 h 26"/>
                    <a:gd name="T2" fmla="*/ 653 w 18"/>
                    <a:gd name="T3" fmla="*/ 0 h 26"/>
                    <a:gd name="T4" fmla="*/ 163 w 18"/>
                    <a:gd name="T5" fmla="*/ 659 h 26"/>
                    <a:gd name="T6" fmla="*/ 0 w 18"/>
                    <a:gd name="T7" fmla="*/ 689 h 26"/>
                    <a:gd name="T8" fmla="*/ 488 w 18"/>
                    <a:gd name="T9" fmla="*/ 2 h 26"/>
                    <a:gd name="T10" fmla="*/ 0 60000 65536"/>
                    <a:gd name="T11" fmla="*/ 0 60000 65536"/>
                    <a:gd name="T12" fmla="*/ 0 60000 65536"/>
                    <a:gd name="T13" fmla="*/ 0 60000 65536"/>
                    <a:gd name="T14" fmla="*/ 0 60000 65536"/>
                    <a:gd name="T15" fmla="*/ 0 w 18"/>
                    <a:gd name="T16" fmla="*/ 0 h 26"/>
                    <a:gd name="T17" fmla="*/ 18 w 18"/>
                    <a:gd name="T18" fmla="*/ 26 h 26"/>
                  </a:gdLst>
                  <a:ahLst/>
                  <a:cxnLst>
                    <a:cxn ang="T10">
                      <a:pos x="T0" y="T1"/>
                    </a:cxn>
                    <a:cxn ang="T11">
                      <a:pos x="T2" y="T3"/>
                    </a:cxn>
                    <a:cxn ang="T12">
                      <a:pos x="T4" y="T5"/>
                    </a:cxn>
                    <a:cxn ang="T13">
                      <a:pos x="T6" y="T7"/>
                    </a:cxn>
                    <a:cxn ang="T14">
                      <a:pos x="T8" y="T9"/>
                    </a:cxn>
                  </a:cxnLst>
                  <a:rect l="T15" t="T16" r="T17" b="T18"/>
                  <a:pathLst>
                    <a:path w="18" h="26">
                      <a:moveTo>
                        <a:pt x="14" y="2"/>
                      </a:moveTo>
                      <a:lnTo>
                        <a:pt x="18" y="0"/>
                      </a:lnTo>
                      <a:lnTo>
                        <a:pt x="4" y="24"/>
                      </a:lnTo>
                      <a:lnTo>
                        <a:pt x="0" y="26"/>
                      </a:lnTo>
                      <a:lnTo>
                        <a:pt x="14" y="2"/>
                      </a:lnTo>
                      <a:close/>
                    </a:path>
                  </a:pathLst>
                </a:custGeom>
                <a:solidFill>
                  <a:srgbClr val="FFCC00"/>
                </a:solidFill>
                <a:ln w="9525">
                  <a:solidFill>
                    <a:srgbClr val="000000"/>
                  </a:solidFill>
                  <a:round/>
                  <a:headEnd/>
                  <a:tailEnd/>
                </a:ln>
              </xdr:spPr>
            </xdr:sp>
          </xdr:grpSp>
          <xdr:grpSp>
            <xdr:nvGrpSpPr>
              <xdr:cNvPr id="306" name="Group 232"/>
              <xdr:cNvGrpSpPr>
                <a:grpSpLocks/>
              </xdr:cNvGrpSpPr>
            </xdr:nvGrpSpPr>
            <xdr:grpSpPr bwMode="auto">
              <a:xfrm>
                <a:off x="889" y="735"/>
                <a:ext cx="24" cy="24"/>
                <a:chOff x="789" y="844"/>
                <a:chExt cx="24" cy="24"/>
              </a:xfrm>
            </xdr:grpSpPr>
            <xdr:sp macro="" textlink="">
              <xdr:nvSpPr>
                <xdr:cNvPr id="307" name="Line 233"/>
                <xdr:cNvSpPr>
                  <a:spLocks noChangeShapeType="1"/>
                </xdr:cNvSpPr>
              </xdr:nvSpPr>
              <xdr:spPr bwMode="auto">
                <a:xfrm>
                  <a:off x="789" y="857"/>
                  <a:ext cx="24" cy="0"/>
                </a:xfrm>
                <a:prstGeom prst="line">
                  <a:avLst/>
                </a:prstGeom>
                <a:noFill/>
                <a:ln w="28575">
                  <a:solidFill>
                    <a:srgbClr val="000000"/>
                  </a:solidFill>
                  <a:round/>
                  <a:headEnd/>
                  <a:tailEnd/>
                </a:ln>
              </xdr:spPr>
            </xdr:sp>
            <xdr:sp macro="" textlink="">
              <xdr:nvSpPr>
                <xdr:cNvPr id="308" name="Line 234"/>
                <xdr:cNvSpPr>
                  <a:spLocks noChangeShapeType="1"/>
                </xdr:cNvSpPr>
              </xdr:nvSpPr>
              <xdr:spPr bwMode="auto">
                <a:xfrm rot="-5400000">
                  <a:off x="790" y="856"/>
                  <a:ext cx="24" cy="0"/>
                </a:xfrm>
                <a:prstGeom prst="line">
                  <a:avLst/>
                </a:prstGeom>
                <a:noFill/>
                <a:ln w="28575">
                  <a:solidFill>
                    <a:srgbClr val="000000"/>
                  </a:solidFill>
                  <a:round/>
                  <a:headEnd/>
                  <a:tailEnd/>
                </a:ln>
              </xdr:spPr>
            </xdr:sp>
          </xdr:grpSp>
        </xdr:grpSp>
        <xdr:grpSp>
          <xdr:nvGrpSpPr>
            <xdr:cNvPr id="294" name="Group 235"/>
            <xdr:cNvGrpSpPr>
              <a:grpSpLocks/>
            </xdr:cNvGrpSpPr>
          </xdr:nvGrpSpPr>
          <xdr:grpSpPr bwMode="auto">
            <a:xfrm>
              <a:off x="5191125" y="9839325"/>
              <a:ext cx="666750" cy="552450"/>
              <a:chOff x="1016" y="782"/>
              <a:chExt cx="70" cy="58"/>
            </a:xfrm>
          </xdr:grpSpPr>
          <xdr:grpSp>
            <xdr:nvGrpSpPr>
              <xdr:cNvPr id="295" name="Group 236"/>
              <xdr:cNvGrpSpPr>
                <a:grpSpLocks/>
              </xdr:cNvGrpSpPr>
            </xdr:nvGrpSpPr>
            <xdr:grpSpPr bwMode="auto">
              <a:xfrm>
                <a:off x="1016" y="782"/>
                <a:ext cx="70" cy="58"/>
                <a:chOff x="875" y="709"/>
                <a:chExt cx="70" cy="58"/>
              </a:xfrm>
            </xdr:grpSpPr>
            <xdr:sp macro="" textlink="">
              <xdr:nvSpPr>
                <xdr:cNvPr id="297" name="AutoShape 237"/>
                <xdr:cNvSpPr>
                  <a:spLocks noChangeArrowheads="1"/>
                </xdr:cNvSpPr>
              </xdr:nvSpPr>
              <xdr:spPr bwMode="auto">
                <a:xfrm>
                  <a:off x="880" y="709"/>
                  <a:ext cx="65" cy="56"/>
                </a:xfrm>
                <a:prstGeom prst="hexagon">
                  <a:avLst>
                    <a:gd name="adj" fmla="val 29018"/>
                    <a:gd name="vf" fmla="val 115470"/>
                  </a:avLst>
                </a:prstGeom>
                <a:solidFill>
                  <a:srgbClr val="FFCC00"/>
                </a:solidFill>
                <a:ln w="9525">
                  <a:solidFill>
                    <a:srgbClr val="000000"/>
                  </a:solidFill>
                  <a:miter lim="800000"/>
                  <a:headEnd/>
                  <a:tailEnd/>
                </a:ln>
              </xdr:spPr>
            </xdr:sp>
            <xdr:sp macro="" textlink="">
              <xdr:nvSpPr>
                <xdr:cNvPr id="298" name="AutoShape 238"/>
                <xdr:cNvSpPr>
                  <a:spLocks noChangeArrowheads="1"/>
                </xdr:cNvSpPr>
              </xdr:nvSpPr>
              <xdr:spPr bwMode="auto">
                <a:xfrm>
                  <a:off x="875" y="711"/>
                  <a:ext cx="65" cy="56"/>
                </a:xfrm>
                <a:prstGeom prst="hexagon">
                  <a:avLst>
                    <a:gd name="adj" fmla="val 29018"/>
                    <a:gd name="vf" fmla="val 115470"/>
                  </a:avLst>
                </a:prstGeom>
                <a:solidFill>
                  <a:srgbClr val="FFCC00"/>
                </a:solidFill>
                <a:ln w="9525">
                  <a:solidFill>
                    <a:srgbClr val="000000"/>
                  </a:solidFill>
                  <a:miter lim="800000"/>
                  <a:headEnd/>
                  <a:tailEnd/>
                </a:ln>
              </xdr:spPr>
            </xdr:sp>
            <xdr:sp macro="" textlink="">
              <xdr:nvSpPr>
                <xdr:cNvPr id="299" name="Oval 239"/>
                <xdr:cNvSpPr>
                  <a:spLocks noChangeArrowheads="1"/>
                </xdr:cNvSpPr>
              </xdr:nvSpPr>
              <xdr:spPr bwMode="auto">
                <a:xfrm>
                  <a:off x="893" y="724"/>
                  <a:ext cx="31" cy="32"/>
                </a:xfrm>
                <a:prstGeom prst="ellipse">
                  <a:avLst/>
                </a:prstGeom>
                <a:solidFill>
                  <a:srgbClr val="FFCC00"/>
                </a:solidFill>
                <a:ln w="9525">
                  <a:solidFill>
                    <a:srgbClr val="000000"/>
                  </a:solidFill>
                  <a:round/>
                  <a:headEnd/>
                  <a:tailEnd/>
                </a:ln>
              </xdr:spPr>
            </xdr:sp>
            <xdr:sp macro="" textlink="">
              <xdr:nvSpPr>
                <xdr:cNvPr id="300" name="Oval 240"/>
                <xdr:cNvSpPr>
                  <a:spLocks noChangeArrowheads="1"/>
                </xdr:cNvSpPr>
              </xdr:nvSpPr>
              <xdr:spPr bwMode="auto">
                <a:xfrm>
                  <a:off x="890" y="727"/>
                  <a:ext cx="32" cy="31"/>
                </a:xfrm>
                <a:prstGeom prst="ellipse">
                  <a:avLst/>
                </a:prstGeom>
                <a:solidFill>
                  <a:srgbClr val="FFCC00"/>
                </a:solidFill>
                <a:ln w="9525">
                  <a:solidFill>
                    <a:srgbClr val="000000"/>
                  </a:solidFill>
                  <a:round/>
                  <a:headEnd/>
                  <a:tailEnd/>
                </a:ln>
              </xdr:spPr>
            </xdr:sp>
            <xdr:sp macro="" textlink="">
              <xdr:nvSpPr>
                <xdr:cNvPr id="301" name="Oval 241"/>
                <xdr:cNvSpPr>
                  <a:spLocks noChangeArrowheads="1"/>
                </xdr:cNvSpPr>
              </xdr:nvSpPr>
              <xdr:spPr bwMode="auto">
                <a:xfrm>
                  <a:off x="888" y="729"/>
                  <a:ext cx="31" cy="31"/>
                </a:xfrm>
                <a:prstGeom prst="ellipse">
                  <a:avLst/>
                </a:prstGeom>
                <a:solidFill>
                  <a:srgbClr val="FFCC00"/>
                </a:solidFill>
                <a:ln w="9525">
                  <a:solidFill>
                    <a:srgbClr val="000000"/>
                  </a:solidFill>
                  <a:round/>
                  <a:headEnd/>
                  <a:tailEnd/>
                </a:ln>
              </xdr:spPr>
            </xdr:sp>
            <xdr:sp macro="" textlink="">
              <xdr:nvSpPr>
                <xdr:cNvPr id="302" name="Oval 242"/>
                <xdr:cNvSpPr>
                  <a:spLocks noChangeArrowheads="1"/>
                </xdr:cNvSpPr>
              </xdr:nvSpPr>
              <xdr:spPr bwMode="auto">
                <a:xfrm>
                  <a:off x="886" y="731"/>
                  <a:ext cx="31" cy="32"/>
                </a:xfrm>
                <a:prstGeom prst="ellipse">
                  <a:avLst/>
                </a:prstGeom>
                <a:solidFill>
                  <a:srgbClr val="FFCC00"/>
                </a:solidFill>
                <a:ln w="9525">
                  <a:solidFill>
                    <a:srgbClr val="000000"/>
                  </a:solidFill>
                  <a:round/>
                  <a:headEnd/>
                  <a:tailEnd/>
                </a:ln>
              </xdr:spPr>
            </xdr:sp>
            <xdr:sp macro="" textlink="">
              <xdr:nvSpPr>
                <xdr:cNvPr id="303" name="Freeform 243"/>
                <xdr:cNvSpPr>
                  <a:spLocks/>
                </xdr:cNvSpPr>
              </xdr:nvSpPr>
              <xdr:spPr bwMode="auto">
                <a:xfrm>
                  <a:off x="891" y="709"/>
                  <a:ext cx="38" cy="2"/>
                </a:xfrm>
                <a:custGeom>
                  <a:avLst/>
                  <a:gdLst>
                    <a:gd name="T0" fmla="*/ 0 w 32"/>
                    <a:gd name="T1" fmla="*/ 2 h 2"/>
                    <a:gd name="T2" fmla="*/ 268 w 32"/>
                    <a:gd name="T3" fmla="*/ 0 h 2"/>
                    <a:gd name="T4" fmla="*/ 1662 w 32"/>
                    <a:gd name="T5" fmla="*/ 0 h 2"/>
                    <a:gd name="T6" fmla="*/ 1423 w 32"/>
                    <a:gd name="T7" fmla="*/ 2 h 2"/>
                    <a:gd name="T8" fmla="*/ 0 w 32"/>
                    <a:gd name="T9" fmla="*/ 2 h 2"/>
                    <a:gd name="T10" fmla="*/ 0 60000 65536"/>
                    <a:gd name="T11" fmla="*/ 0 60000 65536"/>
                    <a:gd name="T12" fmla="*/ 0 60000 65536"/>
                    <a:gd name="T13" fmla="*/ 0 60000 65536"/>
                    <a:gd name="T14" fmla="*/ 0 60000 65536"/>
                    <a:gd name="T15" fmla="*/ 0 w 32"/>
                    <a:gd name="T16" fmla="*/ 0 h 2"/>
                    <a:gd name="T17" fmla="*/ 32 w 32"/>
                    <a:gd name="T18" fmla="*/ 2 h 2"/>
                  </a:gdLst>
                  <a:ahLst/>
                  <a:cxnLst>
                    <a:cxn ang="T10">
                      <a:pos x="T0" y="T1"/>
                    </a:cxn>
                    <a:cxn ang="T11">
                      <a:pos x="T2" y="T3"/>
                    </a:cxn>
                    <a:cxn ang="T12">
                      <a:pos x="T4" y="T5"/>
                    </a:cxn>
                    <a:cxn ang="T13">
                      <a:pos x="T6" y="T7"/>
                    </a:cxn>
                    <a:cxn ang="T14">
                      <a:pos x="T8" y="T9"/>
                    </a:cxn>
                  </a:cxnLst>
                  <a:rect l="T15" t="T16" r="T17" b="T18"/>
                  <a:pathLst>
                    <a:path w="32" h="2">
                      <a:moveTo>
                        <a:pt x="0" y="2"/>
                      </a:moveTo>
                      <a:lnTo>
                        <a:pt x="5" y="0"/>
                      </a:lnTo>
                      <a:lnTo>
                        <a:pt x="32" y="0"/>
                      </a:lnTo>
                      <a:lnTo>
                        <a:pt x="28" y="2"/>
                      </a:lnTo>
                      <a:lnTo>
                        <a:pt x="0" y="2"/>
                      </a:lnTo>
                      <a:close/>
                    </a:path>
                  </a:pathLst>
                </a:custGeom>
                <a:solidFill>
                  <a:srgbClr val="FFCC00"/>
                </a:solidFill>
                <a:ln w="9525">
                  <a:solidFill>
                    <a:srgbClr val="000000"/>
                  </a:solidFill>
                  <a:round/>
                  <a:headEnd/>
                  <a:tailEnd/>
                </a:ln>
              </xdr:spPr>
            </xdr:sp>
            <xdr:sp macro="" textlink="">
              <xdr:nvSpPr>
                <xdr:cNvPr id="304" name="Freeform 244"/>
                <xdr:cNvSpPr>
                  <a:spLocks/>
                </xdr:cNvSpPr>
              </xdr:nvSpPr>
              <xdr:spPr bwMode="auto">
                <a:xfrm>
                  <a:off x="924" y="737"/>
                  <a:ext cx="21" cy="30"/>
                </a:xfrm>
                <a:custGeom>
                  <a:avLst/>
                  <a:gdLst>
                    <a:gd name="T0" fmla="*/ 488 w 18"/>
                    <a:gd name="T1" fmla="*/ 2 h 26"/>
                    <a:gd name="T2" fmla="*/ 653 w 18"/>
                    <a:gd name="T3" fmla="*/ 0 h 26"/>
                    <a:gd name="T4" fmla="*/ 163 w 18"/>
                    <a:gd name="T5" fmla="*/ 659 h 26"/>
                    <a:gd name="T6" fmla="*/ 0 w 18"/>
                    <a:gd name="T7" fmla="*/ 689 h 26"/>
                    <a:gd name="T8" fmla="*/ 488 w 18"/>
                    <a:gd name="T9" fmla="*/ 2 h 26"/>
                    <a:gd name="T10" fmla="*/ 0 60000 65536"/>
                    <a:gd name="T11" fmla="*/ 0 60000 65536"/>
                    <a:gd name="T12" fmla="*/ 0 60000 65536"/>
                    <a:gd name="T13" fmla="*/ 0 60000 65536"/>
                    <a:gd name="T14" fmla="*/ 0 60000 65536"/>
                    <a:gd name="T15" fmla="*/ 0 w 18"/>
                    <a:gd name="T16" fmla="*/ 0 h 26"/>
                    <a:gd name="T17" fmla="*/ 18 w 18"/>
                    <a:gd name="T18" fmla="*/ 26 h 26"/>
                  </a:gdLst>
                  <a:ahLst/>
                  <a:cxnLst>
                    <a:cxn ang="T10">
                      <a:pos x="T0" y="T1"/>
                    </a:cxn>
                    <a:cxn ang="T11">
                      <a:pos x="T2" y="T3"/>
                    </a:cxn>
                    <a:cxn ang="T12">
                      <a:pos x="T4" y="T5"/>
                    </a:cxn>
                    <a:cxn ang="T13">
                      <a:pos x="T6" y="T7"/>
                    </a:cxn>
                    <a:cxn ang="T14">
                      <a:pos x="T8" y="T9"/>
                    </a:cxn>
                  </a:cxnLst>
                  <a:rect l="T15" t="T16" r="T17" b="T18"/>
                  <a:pathLst>
                    <a:path w="18" h="26">
                      <a:moveTo>
                        <a:pt x="14" y="2"/>
                      </a:moveTo>
                      <a:lnTo>
                        <a:pt x="18" y="0"/>
                      </a:lnTo>
                      <a:lnTo>
                        <a:pt x="4" y="24"/>
                      </a:lnTo>
                      <a:lnTo>
                        <a:pt x="0" y="26"/>
                      </a:lnTo>
                      <a:lnTo>
                        <a:pt x="14" y="2"/>
                      </a:lnTo>
                      <a:close/>
                    </a:path>
                  </a:pathLst>
                </a:custGeom>
                <a:solidFill>
                  <a:srgbClr val="FFCC00"/>
                </a:solidFill>
                <a:ln w="9525">
                  <a:solidFill>
                    <a:srgbClr val="000000"/>
                  </a:solidFill>
                  <a:round/>
                  <a:headEnd/>
                  <a:tailEnd/>
                </a:ln>
              </xdr:spPr>
            </xdr:sp>
          </xdr:grpSp>
          <xdr:sp macro="" textlink="">
            <xdr:nvSpPr>
              <xdr:cNvPr id="296" name="Line 245"/>
              <xdr:cNvSpPr>
                <a:spLocks noChangeShapeType="1"/>
              </xdr:cNvSpPr>
            </xdr:nvSpPr>
            <xdr:spPr bwMode="auto">
              <a:xfrm>
                <a:off x="1030" y="819"/>
                <a:ext cx="24" cy="0"/>
              </a:xfrm>
              <a:prstGeom prst="line">
                <a:avLst/>
              </a:prstGeom>
              <a:noFill/>
              <a:ln w="28575">
                <a:solidFill>
                  <a:srgbClr val="000000"/>
                </a:solidFill>
                <a:round/>
                <a:headEnd/>
                <a:tailEnd/>
              </a:ln>
            </xdr:spPr>
          </xdr:sp>
        </xdr:grpSp>
        <xdr:sp macro="" textlink="">
          <xdr:nvSpPr>
            <xdr:cNvPr id="5" name="Freeform 4"/>
            <xdr:cNvSpPr/>
          </xdr:nvSpPr>
          <xdr:spPr>
            <a:xfrm>
              <a:off x="5966130" y="7174306"/>
              <a:ext cx="1806545" cy="4931948"/>
            </a:xfrm>
            <a:custGeom>
              <a:avLst/>
              <a:gdLst>
                <a:gd name="connsiteX0" fmla="*/ 0 w 1576320"/>
                <a:gd name="connsiteY0" fmla="*/ 1556197 h 4695423"/>
                <a:gd name="connsiteX1" fmla="*/ 1576320 w 1576320"/>
                <a:gd name="connsiteY1" fmla="*/ 0 h 4695423"/>
                <a:gd name="connsiteX2" fmla="*/ 1576320 w 1576320"/>
                <a:gd name="connsiteY2" fmla="*/ 3152641 h 4695423"/>
                <a:gd name="connsiteX3" fmla="*/ 20123 w 1576320"/>
                <a:gd name="connsiteY3" fmla="*/ 4695423 h 4695423"/>
                <a:gd name="connsiteX4" fmla="*/ 0 w 1576320"/>
                <a:gd name="connsiteY4" fmla="*/ 1556197 h 4695423"/>
                <a:gd name="connsiteX0" fmla="*/ 0 w 1671699"/>
                <a:gd name="connsiteY0" fmla="*/ 1707726 h 4695423"/>
                <a:gd name="connsiteX1" fmla="*/ 1671699 w 1671699"/>
                <a:gd name="connsiteY1" fmla="*/ 0 h 4695423"/>
                <a:gd name="connsiteX2" fmla="*/ 1671699 w 1671699"/>
                <a:gd name="connsiteY2" fmla="*/ 3152641 h 4695423"/>
                <a:gd name="connsiteX3" fmla="*/ 115502 w 1671699"/>
                <a:gd name="connsiteY3" fmla="*/ 4695423 h 4695423"/>
                <a:gd name="connsiteX4" fmla="*/ 0 w 1671699"/>
                <a:gd name="connsiteY4" fmla="*/ 1707726 h 4695423"/>
                <a:gd name="connsiteX0" fmla="*/ 0 w 1671699"/>
                <a:gd name="connsiteY0" fmla="*/ 1707726 h 4780658"/>
                <a:gd name="connsiteX1" fmla="*/ 1671699 w 1671699"/>
                <a:gd name="connsiteY1" fmla="*/ 0 h 4780658"/>
                <a:gd name="connsiteX2" fmla="*/ 1671699 w 1671699"/>
                <a:gd name="connsiteY2" fmla="*/ 3152641 h 4780658"/>
                <a:gd name="connsiteX3" fmla="*/ 1047 w 1671699"/>
                <a:gd name="connsiteY3" fmla="*/ 4780658 h 4780658"/>
                <a:gd name="connsiteX4" fmla="*/ 0 w 1671699"/>
                <a:gd name="connsiteY4" fmla="*/ 1707726 h 4780658"/>
                <a:gd name="connsiteX0" fmla="*/ 0 w 1680704"/>
                <a:gd name="connsiteY0" fmla="*/ 1783491 h 4856423"/>
                <a:gd name="connsiteX1" fmla="*/ 1680704 w 1680704"/>
                <a:gd name="connsiteY1" fmla="*/ 0 h 4856423"/>
                <a:gd name="connsiteX2" fmla="*/ 1671699 w 1680704"/>
                <a:gd name="connsiteY2" fmla="*/ 3228406 h 4856423"/>
                <a:gd name="connsiteX3" fmla="*/ 1047 w 1680704"/>
                <a:gd name="connsiteY3" fmla="*/ 4856423 h 4856423"/>
                <a:gd name="connsiteX4" fmla="*/ 0 w 1680704"/>
                <a:gd name="connsiteY4" fmla="*/ 1783491 h 4856423"/>
                <a:gd name="connsiteX0" fmla="*/ 0 w 1680704"/>
                <a:gd name="connsiteY0" fmla="*/ 1802432 h 4875364"/>
                <a:gd name="connsiteX1" fmla="*/ 1680704 w 1680704"/>
                <a:gd name="connsiteY1" fmla="*/ 0 h 4875364"/>
                <a:gd name="connsiteX2" fmla="*/ 1671699 w 1680704"/>
                <a:gd name="connsiteY2" fmla="*/ 3247347 h 4875364"/>
                <a:gd name="connsiteX3" fmla="*/ 1047 w 1680704"/>
                <a:gd name="connsiteY3" fmla="*/ 4875364 h 4875364"/>
                <a:gd name="connsiteX4" fmla="*/ 0 w 1680704"/>
                <a:gd name="connsiteY4" fmla="*/ 1802432 h 4875364"/>
                <a:gd name="connsiteX0" fmla="*/ 0 w 1690108"/>
                <a:gd name="connsiteY0" fmla="*/ 1802432 h 4875364"/>
                <a:gd name="connsiteX1" fmla="*/ 1680704 w 1690108"/>
                <a:gd name="connsiteY1" fmla="*/ 0 h 4875364"/>
                <a:gd name="connsiteX2" fmla="*/ 1689709 w 1690108"/>
                <a:gd name="connsiteY2" fmla="*/ 3218935 h 4875364"/>
                <a:gd name="connsiteX3" fmla="*/ 1047 w 1690108"/>
                <a:gd name="connsiteY3" fmla="*/ 4875364 h 4875364"/>
                <a:gd name="connsiteX4" fmla="*/ 0 w 1690108"/>
                <a:gd name="connsiteY4" fmla="*/ 1802432 h 4875364"/>
                <a:gd name="connsiteX0" fmla="*/ 0 w 1690108"/>
                <a:gd name="connsiteY0" fmla="*/ 1802432 h 4903776"/>
                <a:gd name="connsiteX1" fmla="*/ 1680704 w 1690108"/>
                <a:gd name="connsiteY1" fmla="*/ 0 h 4903776"/>
                <a:gd name="connsiteX2" fmla="*/ 1689709 w 1690108"/>
                <a:gd name="connsiteY2" fmla="*/ 3218935 h 4903776"/>
                <a:gd name="connsiteX3" fmla="*/ 1047 w 1690108"/>
                <a:gd name="connsiteY3" fmla="*/ 4903776 h 4903776"/>
                <a:gd name="connsiteX4" fmla="*/ 0 w 1690108"/>
                <a:gd name="connsiteY4" fmla="*/ 1802432 h 4903776"/>
                <a:gd name="connsiteX0" fmla="*/ 0 w 1698974"/>
                <a:gd name="connsiteY0" fmla="*/ 1802432 h 4903776"/>
                <a:gd name="connsiteX1" fmla="*/ 1680704 w 1698974"/>
                <a:gd name="connsiteY1" fmla="*/ 0 h 4903776"/>
                <a:gd name="connsiteX2" fmla="*/ 1698714 w 1698974"/>
                <a:gd name="connsiteY2" fmla="*/ 2783288 h 4903776"/>
                <a:gd name="connsiteX3" fmla="*/ 1047 w 1698974"/>
                <a:gd name="connsiteY3" fmla="*/ 4903776 h 4903776"/>
                <a:gd name="connsiteX4" fmla="*/ 0 w 1698974"/>
                <a:gd name="connsiteY4" fmla="*/ 1802432 h 4903776"/>
                <a:gd name="connsiteX0" fmla="*/ 0 w 1707979"/>
                <a:gd name="connsiteY0" fmla="*/ 1849785 h 4903776"/>
                <a:gd name="connsiteX1" fmla="*/ 1689709 w 1707979"/>
                <a:gd name="connsiteY1" fmla="*/ 0 h 4903776"/>
                <a:gd name="connsiteX2" fmla="*/ 1707719 w 1707979"/>
                <a:gd name="connsiteY2" fmla="*/ 2783288 h 4903776"/>
                <a:gd name="connsiteX3" fmla="*/ 10052 w 1707979"/>
                <a:gd name="connsiteY3" fmla="*/ 4903776 h 4903776"/>
                <a:gd name="connsiteX4" fmla="*/ 0 w 1707979"/>
                <a:gd name="connsiteY4" fmla="*/ 1849785 h 49037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07979" h="4903776">
                  <a:moveTo>
                    <a:pt x="0" y="1849785"/>
                  </a:moveTo>
                  <a:cubicBezTo>
                    <a:pt x="560235" y="1248974"/>
                    <a:pt x="1129474" y="600811"/>
                    <a:pt x="1689709" y="0"/>
                  </a:cubicBezTo>
                  <a:cubicBezTo>
                    <a:pt x="1686707" y="1076135"/>
                    <a:pt x="1710721" y="1707153"/>
                    <a:pt x="1707719" y="2783288"/>
                  </a:cubicBezTo>
                  <a:lnTo>
                    <a:pt x="10052" y="4903776"/>
                  </a:lnTo>
                  <a:cubicBezTo>
                    <a:pt x="6701" y="3885779"/>
                    <a:pt x="3351" y="2867782"/>
                    <a:pt x="0" y="1849785"/>
                  </a:cubicBezTo>
                  <a:close/>
                </a:path>
              </a:pathLst>
            </a:custGeom>
            <a:gradFill flip="none" rotWithShape="1">
              <a:gsLst>
                <a:gs pos="0">
                  <a:schemeClr val="accent1">
                    <a:shade val="30000"/>
                    <a:satMod val="115000"/>
                  </a:schemeClr>
                </a:gs>
                <a:gs pos="50000">
                  <a:schemeClr val="accent1">
                    <a:shade val="67500"/>
                    <a:satMod val="115000"/>
                    <a:lumMod val="83000"/>
                    <a:lumOff val="17000"/>
                  </a:schemeClr>
                </a:gs>
                <a:gs pos="100000">
                  <a:schemeClr val="accent1">
                    <a:shade val="100000"/>
                    <a:satMod val="115000"/>
                    <a:lumMod val="27000"/>
                    <a:lumOff val="73000"/>
                  </a:schemeClr>
                </a:gs>
              </a:gsLst>
              <a:path path="circle">
                <a:fillToRect t="100000" r="100000"/>
              </a:path>
              <a:tileRect l="-100000" b="-100000"/>
            </a:gra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0" name="AutoShape 474"/>
            <xdr:cNvSpPr>
              <a:spLocks/>
            </xdr:cNvSpPr>
          </xdr:nvSpPr>
          <xdr:spPr bwMode="auto">
            <a:xfrm>
              <a:off x="257175" y="8258175"/>
              <a:ext cx="2276475" cy="1028700"/>
            </a:xfrm>
            <a:prstGeom prst="callout2">
              <a:avLst>
                <a:gd name="adj1" fmla="val 12357"/>
                <a:gd name="adj2" fmla="val 104943"/>
                <a:gd name="adj3" fmla="val 10449"/>
                <a:gd name="adj4" fmla="val 125570"/>
                <a:gd name="adj5" fmla="val 60427"/>
                <a:gd name="adj6" fmla="val 143839"/>
              </a:avLst>
            </a:prstGeom>
            <a:solidFill>
              <a:srgbClr val="FFFFFF"/>
            </a:solidFill>
            <a:ln w="12700">
              <a:solidFill>
                <a:srgbClr val="000000"/>
              </a:solidFill>
              <a:miter lim="800000"/>
              <a:headEnd/>
              <a:tailEnd type="triangle" w="lg" len="lg"/>
            </a:ln>
          </xdr:spPr>
          <xdr:txBody>
            <a:bodyPr vertOverflow="clip" wrap="square" lIns="0" tIns="32004" rIns="36576" bIns="0" anchor="t" upright="1"/>
            <a:lstStyle/>
            <a:p>
              <a:pPr algn="r" rtl="0">
                <a:defRPr sz="1000"/>
              </a:pPr>
              <a:r>
                <a:rPr lang="en-US" sz="2000" b="1" i="0" u="none" strike="noStrike" baseline="0">
                  <a:solidFill>
                    <a:srgbClr val="000000"/>
                  </a:solidFill>
                  <a:latin typeface="Arial"/>
                  <a:cs typeface="Arial"/>
                </a:rPr>
                <a:t>Polymer Strip Blocking Air Flow at Cell Terminals </a:t>
              </a:r>
            </a:p>
          </xdr:txBody>
        </xdr:sp>
        <xdr:sp macro="" textlink="">
          <xdr:nvSpPr>
            <xdr:cNvPr id="356" name="AutoShape 247"/>
            <xdr:cNvSpPr>
              <a:spLocks/>
            </xdr:cNvSpPr>
          </xdr:nvSpPr>
          <xdr:spPr bwMode="auto">
            <a:xfrm>
              <a:off x="409575" y="9925050"/>
              <a:ext cx="1781175" cy="723900"/>
            </a:xfrm>
            <a:prstGeom prst="callout2">
              <a:avLst>
                <a:gd name="adj1" fmla="val 15792"/>
                <a:gd name="adj2" fmla="val 104278"/>
                <a:gd name="adj3" fmla="val 15792"/>
                <a:gd name="adj4" fmla="val 117111"/>
                <a:gd name="adj5" fmla="val 32893"/>
                <a:gd name="adj6" fmla="val 143852"/>
              </a:avLst>
            </a:prstGeom>
            <a:solidFill>
              <a:srgbClr val="FFFFFF"/>
            </a:solidFill>
            <a:ln w="9525">
              <a:solidFill>
                <a:srgbClr val="000000"/>
              </a:solidFill>
              <a:miter lim="800000"/>
              <a:headEnd type="none" w="lg" len="lg"/>
              <a:tailEnd type="triangle" w="lg" len="lg"/>
            </a:ln>
          </xdr:spPr>
          <xdr:txBody>
            <a:bodyPr vertOverflow="clip" wrap="square" lIns="0" tIns="41148" rIns="45720" bIns="0" anchor="t" upright="1"/>
            <a:lstStyle/>
            <a:p>
              <a:pPr algn="r" rtl="0">
                <a:defRPr sz="1000"/>
              </a:pPr>
              <a:r>
                <a:rPr lang="en-US" sz="2000" b="1" i="0" u="none" strike="noStrike" baseline="0">
                  <a:solidFill>
                    <a:srgbClr val="000000"/>
                  </a:solidFill>
                  <a:latin typeface="Arial"/>
                  <a:cs typeface="Arial"/>
                </a:rPr>
                <a:t>Module Terminal </a:t>
              </a:r>
            </a:p>
          </xdr:txBody>
        </xdr:sp>
      </xdr:grpSp>
      <xdr:grpSp>
        <xdr:nvGrpSpPr>
          <xdr:cNvPr id="30" name="Group 29"/>
          <xdr:cNvGrpSpPr/>
        </xdr:nvGrpSpPr>
        <xdr:grpSpPr>
          <a:xfrm>
            <a:off x="8233514" y="6899455"/>
            <a:ext cx="853336" cy="5267303"/>
            <a:chOff x="7995389" y="6899455"/>
            <a:chExt cx="853336" cy="5267303"/>
          </a:xfrm>
        </xdr:grpSpPr>
        <xdr:grpSp>
          <xdr:nvGrpSpPr>
            <xdr:cNvPr id="28" name="Group 27"/>
            <xdr:cNvGrpSpPr/>
          </xdr:nvGrpSpPr>
          <xdr:grpSpPr>
            <a:xfrm>
              <a:off x="7995389" y="6918505"/>
              <a:ext cx="529486" cy="5248253"/>
              <a:chOff x="7995389" y="6918505"/>
              <a:chExt cx="529486" cy="5248253"/>
            </a:xfrm>
          </xdr:grpSpPr>
          <xdr:sp macro="" textlink="">
            <xdr:nvSpPr>
              <xdr:cNvPr id="29" name="Rectangle 28"/>
              <xdr:cNvSpPr/>
            </xdr:nvSpPr>
            <xdr:spPr>
              <a:xfrm>
                <a:off x="8458689" y="7553687"/>
                <a:ext cx="66186" cy="35577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0" name="Rectangle 349"/>
              <xdr:cNvSpPr/>
            </xdr:nvSpPr>
            <xdr:spPr>
              <a:xfrm>
                <a:off x="8458689" y="8013496"/>
                <a:ext cx="66186" cy="35342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1" name="Rectangle 350"/>
              <xdr:cNvSpPr/>
            </xdr:nvSpPr>
            <xdr:spPr>
              <a:xfrm>
                <a:off x="8458689" y="8460391"/>
                <a:ext cx="66186" cy="35693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2" name="Rectangle 351"/>
              <xdr:cNvSpPr/>
            </xdr:nvSpPr>
            <xdr:spPr>
              <a:xfrm>
                <a:off x="8456308" y="8920199"/>
                <a:ext cx="66186" cy="35342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4" name="Rectangle 353"/>
              <xdr:cNvSpPr/>
            </xdr:nvSpPr>
            <xdr:spPr>
              <a:xfrm>
                <a:off x="8458689" y="9362658"/>
                <a:ext cx="66186" cy="3566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7" name="Rectangle 356"/>
              <xdr:cNvSpPr/>
            </xdr:nvSpPr>
            <xdr:spPr>
              <a:xfrm>
                <a:off x="8458689" y="9824817"/>
                <a:ext cx="66186" cy="353429"/>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8" name="Rectangle 357"/>
              <xdr:cNvSpPr/>
            </xdr:nvSpPr>
            <xdr:spPr>
              <a:xfrm>
                <a:off x="8458689" y="10272871"/>
                <a:ext cx="66186" cy="35577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2" name="Rectangle 361"/>
              <xdr:cNvSpPr/>
            </xdr:nvSpPr>
            <xdr:spPr>
              <a:xfrm>
                <a:off x="8458689" y="10724469"/>
                <a:ext cx="66186" cy="35458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3" name="Rectangle 362"/>
              <xdr:cNvSpPr/>
            </xdr:nvSpPr>
            <xdr:spPr>
              <a:xfrm>
                <a:off x="8453438" y="11174875"/>
                <a:ext cx="71437" cy="353429"/>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2" name="Freeform 341"/>
              <xdr:cNvSpPr/>
            </xdr:nvSpPr>
            <xdr:spPr>
              <a:xfrm flipH="1" flipV="1">
                <a:off x="8262328" y="11872348"/>
                <a:ext cx="257850" cy="294410"/>
              </a:xfrm>
              <a:custGeom>
                <a:avLst/>
                <a:gdLst>
                  <a:gd name="connsiteX0" fmla="*/ 0 w 266700"/>
                  <a:gd name="connsiteY0" fmla="*/ 0 h 295275"/>
                  <a:gd name="connsiteX1" fmla="*/ 266700 w 266700"/>
                  <a:gd name="connsiteY1" fmla="*/ 0 h 295275"/>
                  <a:gd name="connsiteX2" fmla="*/ 266700 w 266700"/>
                  <a:gd name="connsiteY2" fmla="*/ 295275 h 295275"/>
                  <a:gd name="connsiteX0" fmla="*/ 0 w 461372"/>
                  <a:gd name="connsiteY0" fmla="*/ 6046 h 295275"/>
                  <a:gd name="connsiteX1" fmla="*/ 461372 w 461372"/>
                  <a:gd name="connsiteY1" fmla="*/ 0 h 295275"/>
                  <a:gd name="connsiteX2" fmla="*/ 461372 w 461372"/>
                  <a:gd name="connsiteY2" fmla="*/ 295275 h 295275"/>
                </a:gdLst>
                <a:ahLst/>
                <a:cxnLst>
                  <a:cxn ang="0">
                    <a:pos x="connsiteX0" y="connsiteY0"/>
                  </a:cxn>
                  <a:cxn ang="0">
                    <a:pos x="connsiteX1" y="connsiteY1"/>
                  </a:cxn>
                  <a:cxn ang="0">
                    <a:pos x="connsiteX2" y="connsiteY2"/>
                  </a:cxn>
                </a:cxnLst>
                <a:rect l="l" t="t" r="r" b="b"/>
                <a:pathLst>
                  <a:path w="461372" h="295275">
                    <a:moveTo>
                      <a:pt x="0" y="6046"/>
                    </a:moveTo>
                    <a:lnTo>
                      <a:pt x="461372" y="0"/>
                    </a:lnTo>
                    <a:lnTo>
                      <a:pt x="461372" y="295275"/>
                    </a:lnTo>
                  </a:path>
                </a:pathLst>
              </a:cu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 name="Straight Connector 9"/>
              <xdr:cNvCxnSpPr/>
            </xdr:nvCxnSpPr>
            <xdr:spPr>
              <a:xfrm flipH="1">
                <a:off x="8210550" y="7346237"/>
                <a:ext cx="0" cy="4370968"/>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Freeform 11"/>
              <xdr:cNvSpPr/>
            </xdr:nvSpPr>
            <xdr:spPr>
              <a:xfrm flipH="1">
                <a:off x="8448675" y="7346237"/>
                <a:ext cx="66675" cy="579683"/>
              </a:xfrm>
              <a:custGeom>
                <a:avLst/>
                <a:gdLst>
                  <a:gd name="connsiteX0" fmla="*/ 0 w 66675"/>
                  <a:gd name="connsiteY0" fmla="*/ 0 h 581025"/>
                  <a:gd name="connsiteX1" fmla="*/ 0 w 66675"/>
                  <a:gd name="connsiteY1" fmla="*/ 200025 h 581025"/>
                  <a:gd name="connsiteX2" fmla="*/ 66675 w 66675"/>
                  <a:gd name="connsiteY2" fmla="*/ 200025 h 581025"/>
                  <a:gd name="connsiteX3" fmla="*/ 66675 w 66675"/>
                  <a:gd name="connsiteY3" fmla="*/ 581025 h 581025"/>
                  <a:gd name="connsiteX4" fmla="*/ 66675 w 66675"/>
                  <a:gd name="connsiteY4" fmla="*/ 581025 h 581025"/>
                  <a:gd name="connsiteX5" fmla="*/ 66675 w 66675"/>
                  <a:gd name="connsiteY5" fmla="*/ 581025 h 581025"/>
                  <a:gd name="connsiteX6" fmla="*/ 66675 w 66675"/>
                  <a:gd name="connsiteY6" fmla="*/ 581025 h 581025"/>
                  <a:gd name="connsiteX7" fmla="*/ 66675 w 66675"/>
                  <a:gd name="connsiteY7" fmla="*/ 581025 h 58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675" h="581025">
                    <a:moveTo>
                      <a:pt x="0" y="0"/>
                    </a:moveTo>
                    <a:lnTo>
                      <a:pt x="0" y="200025"/>
                    </a:lnTo>
                    <a:lnTo>
                      <a:pt x="66675" y="200025"/>
                    </a:lnTo>
                    <a:lnTo>
                      <a:pt x="66675" y="581025"/>
                    </a:lnTo>
                    <a:lnTo>
                      <a:pt x="66675" y="581025"/>
                    </a:lnTo>
                    <a:lnTo>
                      <a:pt x="66675" y="581025"/>
                    </a:lnTo>
                    <a:lnTo>
                      <a:pt x="66675" y="581025"/>
                    </a:lnTo>
                    <a:lnTo>
                      <a:pt x="66675" y="581025"/>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Freeform 13"/>
              <xdr:cNvSpPr/>
            </xdr:nvSpPr>
            <xdr:spPr>
              <a:xfrm flipH="1">
                <a:off x="8448675" y="7916517"/>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9" name="Freeform 318"/>
              <xdr:cNvSpPr/>
            </xdr:nvSpPr>
            <xdr:spPr>
              <a:xfrm flipH="1">
                <a:off x="8448675" y="8369273"/>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1" name="Freeform 320"/>
              <xdr:cNvSpPr/>
            </xdr:nvSpPr>
            <xdr:spPr>
              <a:xfrm flipH="1">
                <a:off x="8448675" y="8819679"/>
                <a:ext cx="66675" cy="45864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2" name="Freeform 321"/>
              <xdr:cNvSpPr/>
            </xdr:nvSpPr>
            <xdr:spPr>
              <a:xfrm flipH="1">
                <a:off x="8448675" y="9271275"/>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3" name="Freeform 322"/>
              <xdr:cNvSpPr/>
            </xdr:nvSpPr>
            <xdr:spPr>
              <a:xfrm flipH="1">
                <a:off x="8448675" y="9724097"/>
                <a:ext cx="66675" cy="458912"/>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4" name="Freeform 323"/>
              <xdr:cNvSpPr/>
            </xdr:nvSpPr>
            <xdr:spPr>
              <a:xfrm flipH="1">
                <a:off x="8448675" y="10175958"/>
                <a:ext cx="66675" cy="459807"/>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5" name="Freeform 324"/>
              <xdr:cNvSpPr/>
            </xdr:nvSpPr>
            <xdr:spPr>
              <a:xfrm flipH="1">
                <a:off x="8448675" y="10626362"/>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6" name="Freeform 325"/>
              <xdr:cNvSpPr/>
            </xdr:nvSpPr>
            <xdr:spPr>
              <a:xfrm flipH="1">
                <a:off x="8448675" y="11079118"/>
                <a:ext cx="66675" cy="458649"/>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Freeform 14"/>
              <xdr:cNvSpPr/>
            </xdr:nvSpPr>
            <xdr:spPr>
              <a:xfrm flipH="1">
                <a:off x="8448675" y="11528297"/>
                <a:ext cx="66675" cy="191253"/>
              </a:xfrm>
              <a:custGeom>
                <a:avLst/>
                <a:gdLst>
                  <a:gd name="connsiteX0" fmla="*/ 66675 w 66675"/>
                  <a:gd name="connsiteY0" fmla="*/ 0 h 190500"/>
                  <a:gd name="connsiteX1" fmla="*/ 0 w 66675"/>
                  <a:gd name="connsiteY1" fmla="*/ 2381 h 190500"/>
                  <a:gd name="connsiteX2" fmla="*/ 0 w 66675"/>
                  <a:gd name="connsiteY2" fmla="*/ 190500 h 190500"/>
                  <a:gd name="connsiteX3" fmla="*/ 0 w 66675"/>
                  <a:gd name="connsiteY3" fmla="*/ 190500 h 190500"/>
                </a:gdLst>
                <a:ahLst/>
                <a:cxnLst>
                  <a:cxn ang="0">
                    <a:pos x="connsiteX0" y="connsiteY0"/>
                  </a:cxn>
                  <a:cxn ang="0">
                    <a:pos x="connsiteX1" y="connsiteY1"/>
                  </a:cxn>
                  <a:cxn ang="0">
                    <a:pos x="connsiteX2" y="connsiteY2"/>
                  </a:cxn>
                  <a:cxn ang="0">
                    <a:pos x="connsiteX3" y="connsiteY3"/>
                  </a:cxn>
                </a:cxnLst>
                <a:rect l="l" t="t" r="r" b="b"/>
                <a:pathLst>
                  <a:path w="66675" h="190500">
                    <a:moveTo>
                      <a:pt x="66675" y="0"/>
                    </a:moveTo>
                    <a:lnTo>
                      <a:pt x="0" y="2381"/>
                    </a:lnTo>
                    <a:lnTo>
                      <a:pt x="0" y="190500"/>
                    </a:lnTo>
                    <a:lnTo>
                      <a:pt x="0" y="190500"/>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1" name="Freeform 20"/>
              <xdr:cNvSpPr/>
            </xdr:nvSpPr>
            <xdr:spPr>
              <a:xfrm>
                <a:off x="7995389" y="6918505"/>
                <a:ext cx="266205" cy="292676"/>
              </a:xfrm>
              <a:custGeom>
                <a:avLst/>
                <a:gdLst>
                  <a:gd name="connsiteX0" fmla="*/ 0 w 266700"/>
                  <a:gd name="connsiteY0" fmla="*/ 0 h 295275"/>
                  <a:gd name="connsiteX1" fmla="*/ 266700 w 266700"/>
                  <a:gd name="connsiteY1" fmla="*/ 0 h 295275"/>
                  <a:gd name="connsiteX2" fmla="*/ 266700 w 266700"/>
                  <a:gd name="connsiteY2" fmla="*/ 295275 h 295275"/>
                  <a:gd name="connsiteX0" fmla="*/ 0 w 382286"/>
                  <a:gd name="connsiteY0" fmla="*/ 0 h 295275"/>
                  <a:gd name="connsiteX1" fmla="*/ 382286 w 382286"/>
                  <a:gd name="connsiteY1" fmla="*/ 0 h 295275"/>
                  <a:gd name="connsiteX2" fmla="*/ 382286 w 382286"/>
                  <a:gd name="connsiteY2" fmla="*/ 295275 h 295275"/>
                </a:gdLst>
                <a:ahLst/>
                <a:cxnLst>
                  <a:cxn ang="0">
                    <a:pos x="connsiteX0" y="connsiteY0"/>
                  </a:cxn>
                  <a:cxn ang="0">
                    <a:pos x="connsiteX1" y="connsiteY1"/>
                  </a:cxn>
                  <a:cxn ang="0">
                    <a:pos x="connsiteX2" y="connsiteY2"/>
                  </a:cxn>
                </a:cxnLst>
                <a:rect l="l" t="t" r="r" b="b"/>
                <a:pathLst>
                  <a:path w="382286" h="295275">
                    <a:moveTo>
                      <a:pt x="0" y="0"/>
                    </a:moveTo>
                    <a:lnTo>
                      <a:pt x="382286" y="0"/>
                    </a:lnTo>
                    <a:lnTo>
                      <a:pt x="382286" y="295275"/>
                    </a:lnTo>
                  </a:path>
                </a:pathLst>
              </a:cu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2" name="Freeform 21"/>
              <xdr:cNvSpPr/>
            </xdr:nvSpPr>
            <xdr:spPr>
              <a:xfrm>
                <a:off x="8222697" y="7154468"/>
                <a:ext cx="214972" cy="4817758"/>
              </a:xfrm>
              <a:custGeom>
                <a:avLst/>
                <a:gdLst>
                  <a:gd name="connsiteX0" fmla="*/ 57150 w 200025"/>
                  <a:gd name="connsiteY0" fmla="*/ 0 h 4467225"/>
                  <a:gd name="connsiteX1" fmla="*/ 57150 w 200025"/>
                  <a:gd name="connsiteY1" fmla="*/ 266700 h 4467225"/>
                  <a:gd name="connsiteX2" fmla="*/ 76200 w 200025"/>
                  <a:gd name="connsiteY2" fmla="*/ 304800 h 4467225"/>
                  <a:gd name="connsiteX3" fmla="*/ 114300 w 200025"/>
                  <a:gd name="connsiteY3" fmla="*/ 352425 h 4467225"/>
                  <a:gd name="connsiteX4" fmla="*/ 152400 w 200025"/>
                  <a:gd name="connsiteY4" fmla="*/ 371475 h 4467225"/>
                  <a:gd name="connsiteX5" fmla="*/ 180975 w 200025"/>
                  <a:gd name="connsiteY5" fmla="*/ 409575 h 4467225"/>
                  <a:gd name="connsiteX6" fmla="*/ 200025 w 200025"/>
                  <a:gd name="connsiteY6" fmla="*/ 485775 h 4467225"/>
                  <a:gd name="connsiteX7" fmla="*/ 200025 w 200025"/>
                  <a:gd name="connsiteY7" fmla="*/ 3971925 h 4467225"/>
                  <a:gd name="connsiteX8" fmla="*/ 171450 w 200025"/>
                  <a:gd name="connsiteY8" fmla="*/ 4057650 h 4467225"/>
                  <a:gd name="connsiteX9" fmla="*/ 104775 w 200025"/>
                  <a:gd name="connsiteY9" fmla="*/ 4105275 h 4467225"/>
                  <a:gd name="connsiteX10" fmla="*/ 47625 w 200025"/>
                  <a:gd name="connsiteY10" fmla="*/ 4200525 h 4467225"/>
                  <a:gd name="connsiteX11" fmla="*/ 47625 w 200025"/>
                  <a:gd name="connsiteY11" fmla="*/ 4276725 h 4467225"/>
                  <a:gd name="connsiteX12" fmla="*/ 47625 w 200025"/>
                  <a:gd name="connsiteY12" fmla="*/ 4467225 h 4467225"/>
                  <a:gd name="connsiteX13" fmla="*/ 0 w 200025"/>
                  <a:gd name="connsiteY13" fmla="*/ 0 h 4467225"/>
                  <a:gd name="connsiteX14" fmla="*/ 57150 w 200025"/>
                  <a:gd name="connsiteY14" fmla="*/ 0 h 4467225"/>
                  <a:gd name="connsiteX0" fmla="*/ 57150 w 200025"/>
                  <a:gd name="connsiteY0" fmla="*/ 0 h 4485212"/>
                  <a:gd name="connsiteX1" fmla="*/ 57150 w 200025"/>
                  <a:gd name="connsiteY1" fmla="*/ 266700 h 4485212"/>
                  <a:gd name="connsiteX2" fmla="*/ 76200 w 200025"/>
                  <a:gd name="connsiteY2" fmla="*/ 304800 h 4485212"/>
                  <a:gd name="connsiteX3" fmla="*/ 114300 w 200025"/>
                  <a:gd name="connsiteY3" fmla="*/ 352425 h 4485212"/>
                  <a:gd name="connsiteX4" fmla="*/ 152400 w 200025"/>
                  <a:gd name="connsiteY4" fmla="*/ 371475 h 4485212"/>
                  <a:gd name="connsiteX5" fmla="*/ 180975 w 200025"/>
                  <a:gd name="connsiteY5" fmla="*/ 409575 h 4485212"/>
                  <a:gd name="connsiteX6" fmla="*/ 200025 w 200025"/>
                  <a:gd name="connsiteY6" fmla="*/ 485775 h 4485212"/>
                  <a:gd name="connsiteX7" fmla="*/ 200025 w 200025"/>
                  <a:gd name="connsiteY7" fmla="*/ 3971925 h 4485212"/>
                  <a:gd name="connsiteX8" fmla="*/ 171450 w 200025"/>
                  <a:gd name="connsiteY8" fmla="*/ 4057650 h 4485212"/>
                  <a:gd name="connsiteX9" fmla="*/ 104775 w 200025"/>
                  <a:gd name="connsiteY9" fmla="*/ 4105275 h 4485212"/>
                  <a:gd name="connsiteX10" fmla="*/ 47625 w 200025"/>
                  <a:gd name="connsiteY10" fmla="*/ 4200525 h 4485212"/>
                  <a:gd name="connsiteX11" fmla="*/ 47625 w 200025"/>
                  <a:gd name="connsiteY11" fmla="*/ 4276725 h 4485212"/>
                  <a:gd name="connsiteX12" fmla="*/ 10990 w 200025"/>
                  <a:gd name="connsiteY12" fmla="*/ 4485212 h 4485212"/>
                  <a:gd name="connsiteX13" fmla="*/ 0 w 200025"/>
                  <a:gd name="connsiteY13" fmla="*/ 0 h 4485212"/>
                  <a:gd name="connsiteX14" fmla="*/ 57150 w 200025"/>
                  <a:gd name="connsiteY14" fmla="*/ 0 h 4485212"/>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47625 w 200025"/>
                  <a:gd name="connsiteY10" fmla="*/ 4200525 h 4498149"/>
                  <a:gd name="connsiteX11" fmla="*/ 47625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47625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77980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59767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44946 h 4498149"/>
                  <a:gd name="connsiteX10" fmla="*/ 59767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54449 w 200025"/>
                  <a:gd name="connsiteY9" fmla="*/ 4154223 h 4498149"/>
                  <a:gd name="connsiteX10" fmla="*/ 104775 w 200025"/>
                  <a:gd name="connsiteY10" fmla="*/ 4144946 h 4498149"/>
                  <a:gd name="connsiteX11" fmla="*/ 59767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48378 w 200025"/>
                  <a:gd name="connsiteY9" fmla="*/ 4114553 h 4498149"/>
                  <a:gd name="connsiteX10" fmla="*/ 104775 w 200025"/>
                  <a:gd name="connsiteY10" fmla="*/ 4144946 h 4498149"/>
                  <a:gd name="connsiteX11" fmla="*/ 59767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7810"/>
                  <a:gd name="connsiteX1" fmla="*/ 57150 w 200025"/>
                  <a:gd name="connsiteY1" fmla="*/ 266700 h 4497810"/>
                  <a:gd name="connsiteX2" fmla="*/ 76200 w 200025"/>
                  <a:gd name="connsiteY2" fmla="*/ 304800 h 4497810"/>
                  <a:gd name="connsiteX3" fmla="*/ 114300 w 200025"/>
                  <a:gd name="connsiteY3" fmla="*/ 352425 h 4497810"/>
                  <a:gd name="connsiteX4" fmla="*/ 152400 w 200025"/>
                  <a:gd name="connsiteY4" fmla="*/ 371475 h 4497810"/>
                  <a:gd name="connsiteX5" fmla="*/ 180975 w 200025"/>
                  <a:gd name="connsiteY5" fmla="*/ 409575 h 4497810"/>
                  <a:gd name="connsiteX6" fmla="*/ 200025 w 200025"/>
                  <a:gd name="connsiteY6" fmla="*/ 485775 h 4497810"/>
                  <a:gd name="connsiteX7" fmla="*/ 200025 w 200025"/>
                  <a:gd name="connsiteY7" fmla="*/ 3971925 h 4497810"/>
                  <a:gd name="connsiteX8" fmla="*/ 171450 w 200025"/>
                  <a:gd name="connsiteY8" fmla="*/ 4057650 h 4497810"/>
                  <a:gd name="connsiteX9" fmla="*/ 148378 w 200025"/>
                  <a:gd name="connsiteY9" fmla="*/ 4114553 h 4497810"/>
                  <a:gd name="connsiteX10" fmla="*/ 104775 w 200025"/>
                  <a:gd name="connsiteY10" fmla="*/ 4144946 h 4497810"/>
                  <a:gd name="connsiteX11" fmla="*/ 77981 w 200025"/>
                  <a:gd name="connsiteY11" fmla="*/ 4206192 h 4497810"/>
                  <a:gd name="connsiteX12" fmla="*/ 65838 w 200025"/>
                  <a:gd name="connsiteY12" fmla="*/ 4486572 h 4497810"/>
                  <a:gd name="connsiteX13" fmla="*/ 10990 w 200025"/>
                  <a:gd name="connsiteY13" fmla="*/ 4485212 h 4497810"/>
                  <a:gd name="connsiteX14" fmla="*/ 0 w 200025"/>
                  <a:gd name="connsiteY14" fmla="*/ 0 h 4497810"/>
                  <a:gd name="connsiteX15" fmla="*/ 57150 w 200025"/>
                  <a:gd name="connsiteY15" fmla="*/ 0 h 4497810"/>
                  <a:gd name="connsiteX0" fmla="*/ 57150 w 200025"/>
                  <a:gd name="connsiteY0" fmla="*/ 0 h 4497810"/>
                  <a:gd name="connsiteX1" fmla="*/ 57150 w 200025"/>
                  <a:gd name="connsiteY1" fmla="*/ 266700 h 4497810"/>
                  <a:gd name="connsiteX2" fmla="*/ 76200 w 200025"/>
                  <a:gd name="connsiteY2" fmla="*/ 304800 h 4497810"/>
                  <a:gd name="connsiteX3" fmla="*/ 114300 w 200025"/>
                  <a:gd name="connsiteY3" fmla="*/ 352425 h 4497810"/>
                  <a:gd name="connsiteX4" fmla="*/ 152400 w 200025"/>
                  <a:gd name="connsiteY4" fmla="*/ 371475 h 4497810"/>
                  <a:gd name="connsiteX5" fmla="*/ 180975 w 200025"/>
                  <a:gd name="connsiteY5" fmla="*/ 409575 h 4497810"/>
                  <a:gd name="connsiteX6" fmla="*/ 200025 w 200025"/>
                  <a:gd name="connsiteY6" fmla="*/ 485775 h 4497810"/>
                  <a:gd name="connsiteX7" fmla="*/ 200025 w 200025"/>
                  <a:gd name="connsiteY7" fmla="*/ 3971925 h 4497810"/>
                  <a:gd name="connsiteX8" fmla="*/ 171450 w 200025"/>
                  <a:gd name="connsiteY8" fmla="*/ 4057650 h 4497810"/>
                  <a:gd name="connsiteX9" fmla="*/ 148378 w 200025"/>
                  <a:gd name="connsiteY9" fmla="*/ 4114553 h 4497810"/>
                  <a:gd name="connsiteX10" fmla="*/ 104775 w 200025"/>
                  <a:gd name="connsiteY10" fmla="*/ 4144946 h 4497810"/>
                  <a:gd name="connsiteX11" fmla="*/ 65840 w 200025"/>
                  <a:gd name="connsiteY11" fmla="*/ 4206192 h 4497810"/>
                  <a:gd name="connsiteX12" fmla="*/ 65838 w 200025"/>
                  <a:gd name="connsiteY12" fmla="*/ 4486572 h 4497810"/>
                  <a:gd name="connsiteX13" fmla="*/ 10990 w 200025"/>
                  <a:gd name="connsiteY13" fmla="*/ 4485212 h 4497810"/>
                  <a:gd name="connsiteX14" fmla="*/ 0 w 200025"/>
                  <a:gd name="connsiteY14" fmla="*/ 0 h 4497810"/>
                  <a:gd name="connsiteX15" fmla="*/ 57150 w 200025"/>
                  <a:gd name="connsiteY15" fmla="*/ 0 h 4497810"/>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95735 w 200025"/>
                  <a:gd name="connsiteY8" fmla="*/ 4051983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83593 w 200025"/>
                  <a:gd name="connsiteY8" fmla="*/ 4068985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9506"/>
                  <a:gd name="connsiteX1" fmla="*/ 57150 w 200025"/>
                  <a:gd name="connsiteY1" fmla="*/ 266700 h 4499506"/>
                  <a:gd name="connsiteX2" fmla="*/ 76200 w 200025"/>
                  <a:gd name="connsiteY2" fmla="*/ 304800 h 4499506"/>
                  <a:gd name="connsiteX3" fmla="*/ 114300 w 200025"/>
                  <a:gd name="connsiteY3" fmla="*/ 352425 h 4499506"/>
                  <a:gd name="connsiteX4" fmla="*/ 152400 w 200025"/>
                  <a:gd name="connsiteY4" fmla="*/ 371475 h 4499506"/>
                  <a:gd name="connsiteX5" fmla="*/ 180975 w 200025"/>
                  <a:gd name="connsiteY5" fmla="*/ 409575 h 4499506"/>
                  <a:gd name="connsiteX6" fmla="*/ 200025 w 200025"/>
                  <a:gd name="connsiteY6" fmla="*/ 485775 h 4499506"/>
                  <a:gd name="connsiteX7" fmla="*/ 200025 w 200025"/>
                  <a:gd name="connsiteY7" fmla="*/ 3971925 h 4499506"/>
                  <a:gd name="connsiteX8" fmla="*/ 183593 w 200025"/>
                  <a:gd name="connsiteY8" fmla="*/ 4068985 h 4499506"/>
                  <a:gd name="connsiteX9" fmla="*/ 148378 w 200025"/>
                  <a:gd name="connsiteY9" fmla="*/ 4114553 h 4499506"/>
                  <a:gd name="connsiteX10" fmla="*/ 104775 w 200025"/>
                  <a:gd name="connsiteY10" fmla="*/ 4144946 h 4499506"/>
                  <a:gd name="connsiteX11" fmla="*/ 71911 w 200025"/>
                  <a:gd name="connsiteY11" fmla="*/ 4200525 h 4499506"/>
                  <a:gd name="connsiteX12" fmla="*/ 65838 w 200025"/>
                  <a:gd name="connsiteY12" fmla="*/ 4486572 h 4499506"/>
                  <a:gd name="connsiteX13" fmla="*/ 10990 w 200025"/>
                  <a:gd name="connsiteY13" fmla="*/ 4494217 h 4499506"/>
                  <a:gd name="connsiteX14" fmla="*/ 0 w 200025"/>
                  <a:gd name="connsiteY14" fmla="*/ 0 h 4499506"/>
                  <a:gd name="connsiteX15" fmla="*/ 57150 w 200025"/>
                  <a:gd name="connsiteY15" fmla="*/ 0 h 4499506"/>
                  <a:gd name="connsiteX0" fmla="*/ 57150 w 200025"/>
                  <a:gd name="connsiteY0" fmla="*/ 0 h 4509997"/>
                  <a:gd name="connsiteX1" fmla="*/ 57150 w 200025"/>
                  <a:gd name="connsiteY1" fmla="*/ 266700 h 4509997"/>
                  <a:gd name="connsiteX2" fmla="*/ 76200 w 200025"/>
                  <a:gd name="connsiteY2" fmla="*/ 304800 h 4509997"/>
                  <a:gd name="connsiteX3" fmla="*/ 114300 w 200025"/>
                  <a:gd name="connsiteY3" fmla="*/ 352425 h 4509997"/>
                  <a:gd name="connsiteX4" fmla="*/ 152400 w 200025"/>
                  <a:gd name="connsiteY4" fmla="*/ 371475 h 4509997"/>
                  <a:gd name="connsiteX5" fmla="*/ 180975 w 200025"/>
                  <a:gd name="connsiteY5" fmla="*/ 409575 h 4509997"/>
                  <a:gd name="connsiteX6" fmla="*/ 200025 w 200025"/>
                  <a:gd name="connsiteY6" fmla="*/ 485775 h 4509997"/>
                  <a:gd name="connsiteX7" fmla="*/ 200025 w 200025"/>
                  <a:gd name="connsiteY7" fmla="*/ 3971925 h 4509997"/>
                  <a:gd name="connsiteX8" fmla="*/ 183593 w 200025"/>
                  <a:gd name="connsiteY8" fmla="*/ 4068985 h 4509997"/>
                  <a:gd name="connsiteX9" fmla="*/ 148378 w 200025"/>
                  <a:gd name="connsiteY9" fmla="*/ 4114553 h 4509997"/>
                  <a:gd name="connsiteX10" fmla="*/ 104775 w 200025"/>
                  <a:gd name="connsiteY10" fmla="*/ 4144946 h 4509997"/>
                  <a:gd name="connsiteX11" fmla="*/ 71911 w 200025"/>
                  <a:gd name="connsiteY11" fmla="*/ 4200525 h 4509997"/>
                  <a:gd name="connsiteX12" fmla="*/ 65838 w 200025"/>
                  <a:gd name="connsiteY12" fmla="*/ 4486572 h 4509997"/>
                  <a:gd name="connsiteX13" fmla="*/ 10990 w 200025"/>
                  <a:gd name="connsiteY13" fmla="*/ 4494217 h 4509997"/>
                  <a:gd name="connsiteX14" fmla="*/ 0 w 200025"/>
                  <a:gd name="connsiteY14" fmla="*/ 0 h 4509997"/>
                  <a:gd name="connsiteX15" fmla="*/ 57150 w 200025"/>
                  <a:gd name="connsiteY15" fmla="*/ 0 h 4509997"/>
                  <a:gd name="connsiteX0" fmla="*/ 57150 w 200025"/>
                  <a:gd name="connsiteY0" fmla="*/ 0 h 4509998"/>
                  <a:gd name="connsiteX1" fmla="*/ 57150 w 200025"/>
                  <a:gd name="connsiteY1" fmla="*/ 266700 h 4509998"/>
                  <a:gd name="connsiteX2" fmla="*/ 76200 w 200025"/>
                  <a:gd name="connsiteY2" fmla="*/ 304800 h 4509998"/>
                  <a:gd name="connsiteX3" fmla="*/ 114300 w 200025"/>
                  <a:gd name="connsiteY3" fmla="*/ 352425 h 4509998"/>
                  <a:gd name="connsiteX4" fmla="*/ 152400 w 200025"/>
                  <a:gd name="connsiteY4" fmla="*/ 371475 h 4509998"/>
                  <a:gd name="connsiteX5" fmla="*/ 180975 w 200025"/>
                  <a:gd name="connsiteY5" fmla="*/ 409575 h 4509998"/>
                  <a:gd name="connsiteX6" fmla="*/ 200025 w 200025"/>
                  <a:gd name="connsiteY6" fmla="*/ 485775 h 4509998"/>
                  <a:gd name="connsiteX7" fmla="*/ 200025 w 200025"/>
                  <a:gd name="connsiteY7" fmla="*/ 3971925 h 4509998"/>
                  <a:gd name="connsiteX8" fmla="*/ 183593 w 200025"/>
                  <a:gd name="connsiteY8" fmla="*/ 4068985 h 4509998"/>
                  <a:gd name="connsiteX9" fmla="*/ 148378 w 200025"/>
                  <a:gd name="connsiteY9" fmla="*/ 4114553 h 4509998"/>
                  <a:gd name="connsiteX10" fmla="*/ 104775 w 200025"/>
                  <a:gd name="connsiteY10" fmla="*/ 4144946 h 4509998"/>
                  <a:gd name="connsiteX11" fmla="*/ 71911 w 200025"/>
                  <a:gd name="connsiteY11" fmla="*/ 4200525 h 4509998"/>
                  <a:gd name="connsiteX12" fmla="*/ 65838 w 200025"/>
                  <a:gd name="connsiteY12" fmla="*/ 4486572 h 4509998"/>
                  <a:gd name="connsiteX13" fmla="*/ 10990 w 200025"/>
                  <a:gd name="connsiteY13" fmla="*/ 4494217 h 4509998"/>
                  <a:gd name="connsiteX14" fmla="*/ 0 w 200025"/>
                  <a:gd name="connsiteY14" fmla="*/ 0 h 4509998"/>
                  <a:gd name="connsiteX15" fmla="*/ 57150 w 200025"/>
                  <a:gd name="connsiteY15" fmla="*/ 0 h 4509998"/>
                  <a:gd name="connsiteX0" fmla="*/ 57150 w 200025"/>
                  <a:gd name="connsiteY0" fmla="*/ 0 h 4508446"/>
                  <a:gd name="connsiteX1" fmla="*/ 57150 w 200025"/>
                  <a:gd name="connsiteY1" fmla="*/ 266700 h 4508446"/>
                  <a:gd name="connsiteX2" fmla="*/ 76200 w 200025"/>
                  <a:gd name="connsiteY2" fmla="*/ 304800 h 4508446"/>
                  <a:gd name="connsiteX3" fmla="*/ 114300 w 200025"/>
                  <a:gd name="connsiteY3" fmla="*/ 352425 h 4508446"/>
                  <a:gd name="connsiteX4" fmla="*/ 152400 w 200025"/>
                  <a:gd name="connsiteY4" fmla="*/ 371475 h 4508446"/>
                  <a:gd name="connsiteX5" fmla="*/ 180975 w 200025"/>
                  <a:gd name="connsiteY5" fmla="*/ 409575 h 4508446"/>
                  <a:gd name="connsiteX6" fmla="*/ 200025 w 200025"/>
                  <a:gd name="connsiteY6" fmla="*/ 485775 h 4508446"/>
                  <a:gd name="connsiteX7" fmla="*/ 200025 w 200025"/>
                  <a:gd name="connsiteY7" fmla="*/ 3971925 h 4508446"/>
                  <a:gd name="connsiteX8" fmla="*/ 183593 w 200025"/>
                  <a:gd name="connsiteY8" fmla="*/ 4068985 h 4508446"/>
                  <a:gd name="connsiteX9" fmla="*/ 148378 w 200025"/>
                  <a:gd name="connsiteY9" fmla="*/ 4114553 h 4508446"/>
                  <a:gd name="connsiteX10" fmla="*/ 104775 w 200025"/>
                  <a:gd name="connsiteY10" fmla="*/ 4144946 h 4508446"/>
                  <a:gd name="connsiteX11" fmla="*/ 71911 w 200025"/>
                  <a:gd name="connsiteY11" fmla="*/ 4200525 h 4508446"/>
                  <a:gd name="connsiteX12" fmla="*/ 68205 w 200025"/>
                  <a:gd name="connsiteY12" fmla="*/ 4484322 h 4508446"/>
                  <a:gd name="connsiteX13" fmla="*/ 10990 w 200025"/>
                  <a:gd name="connsiteY13" fmla="*/ 4494217 h 4508446"/>
                  <a:gd name="connsiteX14" fmla="*/ 0 w 200025"/>
                  <a:gd name="connsiteY14" fmla="*/ 0 h 4508446"/>
                  <a:gd name="connsiteX15" fmla="*/ 57150 w 200025"/>
                  <a:gd name="connsiteY15" fmla="*/ 0 h 4508446"/>
                  <a:gd name="connsiteX0" fmla="*/ 57150 w 200025"/>
                  <a:gd name="connsiteY0" fmla="*/ 0 h 4497757"/>
                  <a:gd name="connsiteX1" fmla="*/ 57150 w 200025"/>
                  <a:gd name="connsiteY1" fmla="*/ 266700 h 4497757"/>
                  <a:gd name="connsiteX2" fmla="*/ 76200 w 200025"/>
                  <a:gd name="connsiteY2" fmla="*/ 304800 h 4497757"/>
                  <a:gd name="connsiteX3" fmla="*/ 114300 w 200025"/>
                  <a:gd name="connsiteY3" fmla="*/ 352425 h 4497757"/>
                  <a:gd name="connsiteX4" fmla="*/ 152400 w 200025"/>
                  <a:gd name="connsiteY4" fmla="*/ 371475 h 4497757"/>
                  <a:gd name="connsiteX5" fmla="*/ 180975 w 200025"/>
                  <a:gd name="connsiteY5" fmla="*/ 409575 h 4497757"/>
                  <a:gd name="connsiteX6" fmla="*/ 200025 w 200025"/>
                  <a:gd name="connsiteY6" fmla="*/ 485775 h 4497757"/>
                  <a:gd name="connsiteX7" fmla="*/ 200025 w 200025"/>
                  <a:gd name="connsiteY7" fmla="*/ 3971925 h 4497757"/>
                  <a:gd name="connsiteX8" fmla="*/ 183593 w 200025"/>
                  <a:gd name="connsiteY8" fmla="*/ 4068985 h 4497757"/>
                  <a:gd name="connsiteX9" fmla="*/ 148378 w 200025"/>
                  <a:gd name="connsiteY9" fmla="*/ 4114553 h 4497757"/>
                  <a:gd name="connsiteX10" fmla="*/ 104775 w 200025"/>
                  <a:gd name="connsiteY10" fmla="*/ 4144946 h 4497757"/>
                  <a:gd name="connsiteX11" fmla="*/ 71911 w 200025"/>
                  <a:gd name="connsiteY11" fmla="*/ 4200525 h 4497757"/>
                  <a:gd name="connsiteX12" fmla="*/ 68205 w 200025"/>
                  <a:gd name="connsiteY12" fmla="*/ 4484322 h 4497757"/>
                  <a:gd name="connsiteX13" fmla="*/ 10990 w 200025"/>
                  <a:gd name="connsiteY13" fmla="*/ 4494217 h 4497757"/>
                  <a:gd name="connsiteX14" fmla="*/ 0 w 200025"/>
                  <a:gd name="connsiteY14" fmla="*/ 0 h 4497757"/>
                  <a:gd name="connsiteX15" fmla="*/ 57150 w 200025"/>
                  <a:gd name="connsiteY15" fmla="*/ 0 h 4497757"/>
                  <a:gd name="connsiteX0" fmla="*/ 57150 w 200025"/>
                  <a:gd name="connsiteY0" fmla="*/ 0 h 4498002"/>
                  <a:gd name="connsiteX1" fmla="*/ 57150 w 200025"/>
                  <a:gd name="connsiteY1" fmla="*/ 266700 h 4498002"/>
                  <a:gd name="connsiteX2" fmla="*/ 76200 w 200025"/>
                  <a:gd name="connsiteY2" fmla="*/ 304800 h 4498002"/>
                  <a:gd name="connsiteX3" fmla="*/ 114300 w 200025"/>
                  <a:gd name="connsiteY3" fmla="*/ 352425 h 4498002"/>
                  <a:gd name="connsiteX4" fmla="*/ 152400 w 200025"/>
                  <a:gd name="connsiteY4" fmla="*/ 371475 h 4498002"/>
                  <a:gd name="connsiteX5" fmla="*/ 180975 w 200025"/>
                  <a:gd name="connsiteY5" fmla="*/ 409575 h 4498002"/>
                  <a:gd name="connsiteX6" fmla="*/ 200025 w 200025"/>
                  <a:gd name="connsiteY6" fmla="*/ 485775 h 4498002"/>
                  <a:gd name="connsiteX7" fmla="*/ 200025 w 200025"/>
                  <a:gd name="connsiteY7" fmla="*/ 3971925 h 4498002"/>
                  <a:gd name="connsiteX8" fmla="*/ 183593 w 200025"/>
                  <a:gd name="connsiteY8" fmla="*/ 4068985 h 4498002"/>
                  <a:gd name="connsiteX9" fmla="*/ 148378 w 200025"/>
                  <a:gd name="connsiteY9" fmla="*/ 4114553 h 4498002"/>
                  <a:gd name="connsiteX10" fmla="*/ 104775 w 200025"/>
                  <a:gd name="connsiteY10" fmla="*/ 4144946 h 4498002"/>
                  <a:gd name="connsiteX11" fmla="*/ 71911 w 200025"/>
                  <a:gd name="connsiteY11" fmla="*/ 4200525 h 4498002"/>
                  <a:gd name="connsiteX12" fmla="*/ 68205 w 200025"/>
                  <a:gd name="connsiteY12" fmla="*/ 4484322 h 4498002"/>
                  <a:gd name="connsiteX13" fmla="*/ 10990 w 200025"/>
                  <a:gd name="connsiteY13" fmla="*/ 4494217 h 4498002"/>
                  <a:gd name="connsiteX14" fmla="*/ 0 w 200025"/>
                  <a:gd name="connsiteY14" fmla="*/ 0 h 4498002"/>
                  <a:gd name="connsiteX15" fmla="*/ 57150 w 200025"/>
                  <a:gd name="connsiteY15" fmla="*/ 0 h 4498002"/>
                  <a:gd name="connsiteX0" fmla="*/ 57150 w 200025"/>
                  <a:gd name="connsiteY0" fmla="*/ 0 h 4494217"/>
                  <a:gd name="connsiteX1" fmla="*/ 57150 w 200025"/>
                  <a:gd name="connsiteY1" fmla="*/ 266700 h 4494217"/>
                  <a:gd name="connsiteX2" fmla="*/ 76200 w 200025"/>
                  <a:gd name="connsiteY2" fmla="*/ 304800 h 4494217"/>
                  <a:gd name="connsiteX3" fmla="*/ 114300 w 200025"/>
                  <a:gd name="connsiteY3" fmla="*/ 352425 h 4494217"/>
                  <a:gd name="connsiteX4" fmla="*/ 152400 w 200025"/>
                  <a:gd name="connsiteY4" fmla="*/ 371475 h 4494217"/>
                  <a:gd name="connsiteX5" fmla="*/ 180975 w 200025"/>
                  <a:gd name="connsiteY5" fmla="*/ 409575 h 4494217"/>
                  <a:gd name="connsiteX6" fmla="*/ 200025 w 200025"/>
                  <a:gd name="connsiteY6" fmla="*/ 485775 h 4494217"/>
                  <a:gd name="connsiteX7" fmla="*/ 200025 w 200025"/>
                  <a:gd name="connsiteY7" fmla="*/ 3971925 h 4494217"/>
                  <a:gd name="connsiteX8" fmla="*/ 183593 w 200025"/>
                  <a:gd name="connsiteY8" fmla="*/ 4068985 h 4494217"/>
                  <a:gd name="connsiteX9" fmla="*/ 148378 w 200025"/>
                  <a:gd name="connsiteY9" fmla="*/ 4114553 h 4494217"/>
                  <a:gd name="connsiteX10" fmla="*/ 104775 w 200025"/>
                  <a:gd name="connsiteY10" fmla="*/ 4144946 h 4494217"/>
                  <a:gd name="connsiteX11" fmla="*/ 71911 w 200025"/>
                  <a:gd name="connsiteY11" fmla="*/ 4200525 h 4494217"/>
                  <a:gd name="connsiteX12" fmla="*/ 68205 w 200025"/>
                  <a:gd name="connsiteY12" fmla="*/ 4484322 h 4494217"/>
                  <a:gd name="connsiteX13" fmla="*/ 10990 w 200025"/>
                  <a:gd name="connsiteY13" fmla="*/ 4494217 h 4494217"/>
                  <a:gd name="connsiteX14" fmla="*/ 0 w 200025"/>
                  <a:gd name="connsiteY14" fmla="*/ 0 h 4494217"/>
                  <a:gd name="connsiteX15" fmla="*/ 57150 w 200025"/>
                  <a:gd name="connsiteY15" fmla="*/ 0 h 4494217"/>
                  <a:gd name="connsiteX0" fmla="*/ 57150 w 200025"/>
                  <a:gd name="connsiteY0" fmla="*/ 0 h 4494217"/>
                  <a:gd name="connsiteX1" fmla="*/ 57150 w 200025"/>
                  <a:gd name="connsiteY1" fmla="*/ 266700 h 4494217"/>
                  <a:gd name="connsiteX2" fmla="*/ 76200 w 200025"/>
                  <a:gd name="connsiteY2" fmla="*/ 304800 h 4494217"/>
                  <a:gd name="connsiteX3" fmla="*/ 114300 w 200025"/>
                  <a:gd name="connsiteY3" fmla="*/ 352425 h 4494217"/>
                  <a:gd name="connsiteX4" fmla="*/ 152400 w 200025"/>
                  <a:gd name="connsiteY4" fmla="*/ 371475 h 4494217"/>
                  <a:gd name="connsiteX5" fmla="*/ 180975 w 200025"/>
                  <a:gd name="connsiteY5" fmla="*/ 409575 h 4494217"/>
                  <a:gd name="connsiteX6" fmla="*/ 200025 w 200025"/>
                  <a:gd name="connsiteY6" fmla="*/ 485775 h 4494217"/>
                  <a:gd name="connsiteX7" fmla="*/ 200025 w 200025"/>
                  <a:gd name="connsiteY7" fmla="*/ 3971925 h 4494217"/>
                  <a:gd name="connsiteX8" fmla="*/ 183593 w 200025"/>
                  <a:gd name="connsiteY8" fmla="*/ 4068985 h 4494217"/>
                  <a:gd name="connsiteX9" fmla="*/ 148378 w 200025"/>
                  <a:gd name="connsiteY9" fmla="*/ 4114553 h 4494217"/>
                  <a:gd name="connsiteX10" fmla="*/ 104775 w 200025"/>
                  <a:gd name="connsiteY10" fmla="*/ 4144946 h 4494217"/>
                  <a:gd name="connsiteX11" fmla="*/ 71911 w 200025"/>
                  <a:gd name="connsiteY11" fmla="*/ 4200525 h 4494217"/>
                  <a:gd name="connsiteX12" fmla="*/ 68205 w 200025"/>
                  <a:gd name="connsiteY12" fmla="*/ 4484322 h 4494217"/>
                  <a:gd name="connsiteX13" fmla="*/ 10990 w 200025"/>
                  <a:gd name="connsiteY13" fmla="*/ 4494217 h 4494217"/>
                  <a:gd name="connsiteX14" fmla="*/ 0 w 200025"/>
                  <a:gd name="connsiteY14" fmla="*/ 0 h 4494217"/>
                  <a:gd name="connsiteX15" fmla="*/ 57150 w 200025"/>
                  <a:gd name="connsiteY15" fmla="*/ 0 h 4494217"/>
                  <a:gd name="connsiteX0" fmla="*/ 66176 w 209051"/>
                  <a:gd name="connsiteY0" fmla="*/ 0 h 4506182"/>
                  <a:gd name="connsiteX1" fmla="*/ 66176 w 209051"/>
                  <a:gd name="connsiteY1" fmla="*/ 266700 h 4506182"/>
                  <a:gd name="connsiteX2" fmla="*/ 85226 w 209051"/>
                  <a:gd name="connsiteY2" fmla="*/ 304800 h 4506182"/>
                  <a:gd name="connsiteX3" fmla="*/ 123326 w 209051"/>
                  <a:gd name="connsiteY3" fmla="*/ 352425 h 4506182"/>
                  <a:gd name="connsiteX4" fmla="*/ 161426 w 209051"/>
                  <a:gd name="connsiteY4" fmla="*/ 371475 h 4506182"/>
                  <a:gd name="connsiteX5" fmla="*/ 190001 w 209051"/>
                  <a:gd name="connsiteY5" fmla="*/ 409575 h 4506182"/>
                  <a:gd name="connsiteX6" fmla="*/ 209051 w 209051"/>
                  <a:gd name="connsiteY6" fmla="*/ 485775 h 4506182"/>
                  <a:gd name="connsiteX7" fmla="*/ 209051 w 209051"/>
                  <a:gd name="connsiteY7" fmla="*/ 3971925 h 4506182"/>
                  <a:gd name="connsiteX8" fmla="*/ 192619 w 209051"/>
                  <a:gd name="connsiteY8" fmla="*/ 4068985 h 4506182"/>
                  <a:gd name="connsiteX9" fmla="*/ 157404 w 209051"/>
                  <a:gd name="connsiteY9" fmla="*/ 4114553 h 4506182"/>
                  <a:gd name="connsiteX10" fmla="*/ 113801 w 209051"/>
                  <a:gd name="connsiteY10" fmla="*/ 4144946 h 4506182"/>
                  <a:gd name="connsiteX11" fmla="*/ 80937 w 209051"/>
                  <a:gd name="connsiteY11" fmla="*/ 4200525 h 4506182"/>
                  <a:gd name="connsiteX12" fmla="*/ 77231 w 209051"/>
                  <a:gd name="connsiteY12" fmla="*/ 4484322 h 4506182"/>
                  <a:gd name="connsiteX13" fmla="*/ 555 w 209051"/>
                  <a:gd name="connsiteY13" fmla="*/ 4488095 h 4506182"/>
                  <a:gd name="connsiteX14" fmla="*/ 9026 w 209051"/>
                  <a:gd name="connsiteY14" fmla="*/ 0 h 4506182"/>
                  <a:gd name="connsiteX15" fmla="*/ 66176 w 209051"/>
                  <a:gd name="connsiteY15" fmla="*/ 0 h 4506182"/>
                  <a:gd name="connsiteX0" fmla="*/ 70875 w 213750"/>
                  <a:gd name="connsiteY0" fmla="*/ 0 h 4506182"/>
                  <a:gd name="connsiteX1" fmla="*/ 70875 w 213750"/>
                  <a:gd name="connsiteY1" fmla="*/ 266700 h 4506182"/>
                  <a:gd name="connsiteX2" fmla="*/ 89925 w 213750"/>
                  <a:gd name="connsiteY2" fmla="*/ 304800 h 4506182"/>
                  <a:gd name="connsiteX3" fmla="*/ 128025 w 213750"/>
                  <a:gd name="connsiteY3" fmla="*/ 352425 h 4506182"/>
                  <a:gd name="connsiteX4" fmla="*/ 166125 w 213750"/>
                  <a:gd name="connsiteY4" fmla="*/ 371475 h 4506182"/>
                  <a:gd name="connsiteX5" fmla="*/ 194700 w 213750"/>
                  <a:gd name="connsiteY5" fmla="*/ 409575 h 4506182"/>
                  <a:gd name="connsiteX6" fmla="*/ 213750 w 213750"/>
                  <a:gd name="connsiteY6" fmla="*/ 485775 h 4506182"/>
                  <a:gd name="connsiteX7" fmla="*/ 213750 w 213750"/>
                  <a:gd name="connsiteY7" fmla="*/ 3971925 h 4506182"/>
                  <a:gd name="connsiteX8" fmla="*/ 197318 w 213750"/>
                  <a:gd name="connsiteY8" fmla="*/ 4068985 h 4506182"/>
                  <a:gd name="connsiteX9" fmla="*/ 162103 w 213750"/>
                  <a:gd name="connsiteY9" fmla="*/ 4114553 h 4506182"/>
                  <a:gd name="connsiteX10" fmla="*/ 118500 w 213750"/>
                  <a:gd name="connsiteY10" fmla="*/ 4144946 h 4506182"/>
                  <a:gd name="connsiteX11" fmla="*/ 85636 w 213750"/>
                  <a:gd name="connsiteY11" fmla="*/ 4200525 h 4506182"/>
                  <a:gd name="connsiteX12" fmla="*/ 81930 w 213750"/>
                  <a:gd name="connsiteY12" fmla="*/ 4484322 h 4506182"/>
                  <a:gd name="connsiteX13" fmla="*/ 5254 w 213750"/>
                  <a:gd name="connsiteY13" fmla="*/ 4488095 h 4506182"/>
                  <a:gd name="connsiteX14" fmla="*/ 0 w 213750"/>
                  <a:gd name="connsiteY14" fmla="*/ 0 h 4506182"/>
                  <a:gd name="connsiteX15" fmla="*/ 70875 w 213750"/>
                  <a:gd name="connsiteY15" fmla="*/ 0 h 4506182"/>
                  <a:gd name="connsiteX0" fmla="*/ 70875 w 213750"/>
                  <a:gd name="connsiteY0" fmla="*/ 159408 h 4506182"/>
                  <a:gd name="connsiteX1" fmla="*/ 70875 w 213750"/>
                  <a:gd name="connsiteY1" fmla="*/ 266700 h 4506182"/>
                  <a:gd name="connsiteX2" fmla="*/ 89925 w 213750"/>
                  <a:gd name="connsiteY2" fmla="*/ 304800 h 4506182"/>
                  <a:gd name="connsiteX3" fmla="*/ 128025 w 213750"/>
                  <a:gd name="connsiteY3" fmla="*/ 352425 h 4506182"/>
                  <a:gd name="connsiteX4" fmla="*/ 166125 w 213750"/>
                  <a:gd name="connsiteY4" fmla="*/ 371475 h 4506182"/>
                  <a:gd name="connsiteX5" fmla="*/ 194700 w 213750"/>
                  <a:gd name="connsiteY5" fmla="*/ 409575 h 4506182"/>
                  <a:gd name="connsiteX6" fmla="*/ 213750 w 213750"/>
                  <a:gd name="connsiteY6" fmla="*/ 485775 h 4506182"/>
                  <a:gd name="connsiteX7" fmla="*/ 213750 w 213750"/>
                  <a:gd name="connsiteY7" fmla="*/ 3971925 h 4506182"/>
                  <a:gd name="connsiteX8" fmla="*/ 197318 w 213750"/>
                  <a:gd name="connsiteY8" fmla="*/ 4068985 h 4506182"/>
                  <a:gd name="connsiteX9" fmla="*/ 162103 w 213750"/>
                  <a:gd name="connsiteY9" fmla="*/ 4114553 h 4506182"/>
                  <a:gd name="connsiteX10" fmla="*/ 118500 w 213750"/>
                  <a:gd name="connsiteY10" fmla="*/ 4144946 h 4506182"/>
                  <a:gd name="connsiteX11" fmla="*/ 85636 w 213750"/>
                  <a:gd name="connsiteY11" fmla="*/ 4200525 h 4506182"/>
                  <a:gd name="connsiteX12" fmla="*/ 81930 w 213750"/>
                  <a:gd name="connsiteY12" fmla="*/ 4484322 h 4506182"/>
                  <a:gd name="connsiteX13" fmla="*/ 5254 w 213750"/>
                  <a:gd name="connsiteY13" fmla="*/ 4488095 h 4506182"/>
                  <a:gd name="connsiteX14" fmla="*/ 0 w 213750"/>
                  <a:gd name="connsiteY14" fmla="*/ 0 h 4506182"/>
                  <a:gd name="connsiteX15" fmla="*/ 70875 w 213750"/>
                  <a:gd name="connsiteY15" fmla="*/ 159408 h 4506182"/>
                  <a:gd name="connsiteX0" fmla="*/ 70875 w 213750"/>
                  <a:gd name="connsiteY0" fmla="*/ 18393 h 4365167"/>
                  <a:gd name="connsiteX1" fmla="*/ 70875 w 213750"/>
                  <a:gd name="connsiteY1" fmla="*/ 125685 h 4365167"/>
                  <a:gd name="connsiteX2" fmla="*/ 89925 w 213750"/>
                  <a:gd name="connsiteY2" fmla="*/ 163785 h 4365167"/>
                  <a:gd name="connsiteX3" fmla="*/ 128025 w 213750"/>
                  <a:gd name="connsiteY3" fmla="*/ 211410 h 4365167"/>
                  <a:gd name="connsiteX4" fmla="*/ 166125 w 213750"/>
                  <a:gd name="connsiteY4" fmla="*/ 230460 h 4365167"/>
                  <a:gd name="connsiteX5" fmla="*/ 194700 w 213750"/>
                  <a:gd name="connsiteY5" fmla="*/ 268560 h 4365167"/>
                  <a:gd name="connsiteX6" fmla="*/ 213750 w 213750"/>
                  <a:gd name="connsiteY6" fmla="*/ 344760 h 4365167"/>
                  <a:gd name="connsiteX7" fmla="*/ 213750 w 213750"/>
                  <a:gd name="connsiteY7" fmla="*/ 3830910 h 4365167"/>
                  <a:gd name="connsiteX8" fmla="*/ 197318 w 213750"/>
                  <a:gd name="connsiteY8" fmla="*/ 3927970 h 4365167"/>
                  <a:gd name="connsiteX9" fmla="*/ 162103 w 213750"/>
                  <a:gd name="connsiteY9" fmla="*/ 3973538 h 4365167"/>
                  <a:gd name="connsiteX10" fmla="*/ 118500 w 213750"/>
                  <a:gd name="connsiteY10" fmla="*/ 4003931 h 4365167"/>
                  <a:gd name="connsiteX11" fmla="*/ 85636 w 213750"/>
                  <a:gd name="connsiteY11" fmla="*/ 4059510 h 4365167"/>
                  <a:gd name="connsiteX12" fmla="*/ 81930 w 213750"/>
                  <a:gd name="connsiteY12" fmla="*/ 4343307 h 4365167"/>
                  <a:gd name="connsiteX13" fmla="*/ 5254 w 213750"/>
                  <a:gd name="connsiteY13" fmla="*/ 4347080 h 4365167"/>
                  <a:gd name="connsiteX14" fmla="*/ 0 w 213750"/>
                  <a:gd name="connsiteY14" fmla="*/ 0 h 4365167"/>
                  <a:gd name="connsiteX15" fmla="*/ 70875 w 213750"/>
                  <a:gd name="connsiteY15" fmla="*/ 18393 h 4365167"/>
                  <a:gd name="connsiteX0" fmla="*/ 70875 w 213750"/>
                  <a:gd name="connsiteY0" fmla="*/ 0 h 4371298"/>
                  <a:gd name="connsiteX1" fmla="*/ 70875 w 213750"/>
                  <a:gd name="connsiteY1" fmla="*/ 131816 h 4371298"/>
                  <a:gd name="connsiteX2" fmla="*/ 89925 w 213750"/>
                  <a:gd name="connsiteY2" fmla="*/ 169916 h 4371298"/>
                  <a:gd name="connsiteX3" fmla="*/ 128025 w 213750"/>
                  <a:gd name="connsiteY3" fmla="*/ 217541 h 4371298"/>
                  <a:gd name="connsiteX4" fmla="*/ 166125 w 213750"/>
                  <a:gd name="connsiteY4" fmla="*/ 236591 h 4371298"/>
                  <a:gd name="connsiteX5" fmla="*/ 194700 w 213750"/>
                  <a:gd name="connsiteY5" fmla="*/ 274691 h 4371298"/>
                  <a:gd name="connsiteX6" fmla="*/ 213750 w 213750"/>
                  <a:gd name="connsiteY6" fmla="*/ 350891 h 4371298"/>
                  <a:gd name="connsiteX7" fmla="*/ 213750 w 213750"/>
                  <a:gd name="connsiteY7" fmla="*/ 3837041 h 4371298"/>
                  <a:gd name="connsiteX8" fmla="*/ 197318 w 213750"/>
                  <a:gd name="connsiteY8" fmla="*/ 3934101 h 4371298"/>
                  <a:gd name="connsiteX9" fmla="*/ 162103 w 213750"/>
                  <a:gd name="connsiteY9" fmla="*/ 3979669 h 4371298"/>
                  <a:gd name="connsiteX10" fmla="*/ 118500 w 213750"/>
                  <a:gd name="connsiteY10" fmla="*/ 4010062 h 4371298"/>
                  <a:gd name="connsiteX11" fmla="*/ 85636 w 213750"/>
                  <a:gd name="connsiteY11" fmla="*/ 4065641 h 4371298"/>
                  <a:gd name="connsiteX12" fmla="*/ 81930 w 213750"/>
                  <a:gd name="connsiteY12" fmla="*/ 4349438 h 4371298"/>
                  <a:gd name="connsiteX13" fmla="*/ 5254 w 213750"/>
                  <a:gd name="connsiteY13" fmla="*/ 4353211 h 4371298"/>
                  <a:gd name="connsiteX14" fmla="*/ 0 w 213750"/>
                  <a:gd name="connsiteY14" fmla="*/ 6131 h 4371298"/>
                  <a:gd name="connsiteX15" fmla="*/ 70875 w 213750"/>
                  <a:gd name="connsiteY15" fmla="*/ 0 h 4371298"/>
                  <a:gd name="connsiteX0" fmla="*/ 70875 w 213750"/>
                  <a:gd name="connsiteY0" fmla="*/ 6131 h 4365167"/>
                  <a:gd name="connsiteX1" fmla="*/ 70875 w 213750"/>
                  <a:gd name="connsiteY1" fmla="*/ 125685 h 4365167"/>
                  <a:gd name="connsiteX2" fmla="*/ 89925 w 213750"/>
                  <a:gd name="connsiteY2" fmla="*/ 163785 h 4365167"/>
                  <a:gd name="connsiteX3" fmla="*/ 128025 w 213750"/>
                  <a:gd name="connsiteY3" fmla="*/ 211410 h 4365167"/>
                  <a:gd name="connsiteX4" fmla="*/ 166125 w 213750"/>
                  <a:gd name="connsiteY4" fmla="*/ 230460 h 4365167"/>
                  <a:gd name="connsiteX5" fmla="*/ 194700 w 213750"/>
                  <a:gd name="connsiteY5" fmla="*/ 268560 h 4365167"/>
                  <a:gd name="connsiteX6" fmla="*/ 213750 w 213750"/>
                  <a:gd name="connsiteY6" fmla="*/ 344760 h 4365167"/>
                  <a:gd name="connsiteX7" fmla="*/ 213750 w 213750"/>
                  <a:gd name="connsiteY7" fmla="*/ 3830910 h 4365167"/>
                  <a:gd name="connsiteX8" fmla="*/ 197318 w 213750"/>
                  <a:gd name="connsiteY8" fmla="*/ 3927970 h 4365167"/>
                  <a:gd name="connsiteX9" fmla="*/ 162103 w 213750"/>
                  <a:gd name="connsiteY9" fmla="*/ 3973538 h 4365167"/>
                  <a:gd name="connsiteX10" fmla="*/ 118500 w 213750"/>
                  <a:gd name="connsiteY10" fmla="*/ 4003931 h 4365167"/>
                  <a:gd name="connsiteX11" fmla="*/ 85636 w 213750"/>
                  <a:gd name="connsiteY11" fmla="*/ 4059510 h 4365167"/>
                  <a:gd name="connsiteX12" fmla="*/ 81930 w 213750"/>
                  <a:gd name="connsiteY12" fmla="*/ 4343307 h 4365167"/>
                  <a:gd name="connsiteX13" fmla="*/ 5254 w 213750"/>
                  <a:gd name="connsiteY13" fmla="*/ 4347080 h 4365167"/>
                  <a:gd name="connsiteX14" fmla="*/ 0 w 213750"/>
                  <a:gd name="connsiteY14" fmla="*/ 0 h 4365167"/>
                  <a:gd name="connsiteX15" fmla="*/ 70875 w 213750"/>
                  <a:gd name="connsiteY15" fmla="*/ 6131 h 4365167"/>
                  <a:gd name="connsiteX0" fmla="*/ 70875 w 213750"/>
                  <a:gd name="connsiteY0" fmla="*/ 6131 h 4347080"/>
                  <a:gd name="connsiteX1" fmla="*/ 70875 w 213750"/>
                  <a:gd name="connsiteY1" fmla="*/ 125685 h 4347080"/>
                  <a:gd name="connsiteX2" fmla="*/ 89925 w 213750"/>
                  <a:gd name="connsiteY2" fmla="*/ 163785 h 4347080"/>
                  <a:gd name="connsiteX3" fmla="*/ 128025 w 213750"/>
                  <a:gd name="connsiteY3" fmla="*/ 211410 h 4347080"/>
                  <a:gd name="connsiteX4" fmla="*/ 166125 w 213750"/>
                  <a:gd name="connsiteY4" fmla="*/ 230460 h 4347080"/>
                  <a:gd name="connsiteX5" fmla="*/ 194700 w 213750"/>
                  <a:gd name="connsiteY5" fmla="*/ 268560 h 4347080"/>
                  <a:gd name="connsiteX6" fmla="*/ 213750 w 213750"/>
                  <a:gd name="connsiteY6" fmla="*/ 344760 h 4347080"/>
                  <a:gd name="connsiteX7" fmla="*/ 213750 w 213750"/>
                  <a:gd name="connsiteY7" fmla="*/ 3830910 h 4347080"/>
                  <a:gd name="connsiteX8" fmla="*/ 197318 w 213750"/>
                  <a:gd name="connsiteY8" fmla="*/ 3927970 h 4347080"/>
                  <a:gd name="connsiteX9" fmla="*/ 162103 w 213750"/>
                  <a:gd name="connsiteY9" fmla="*/ 3973538 h 4347080"/>
                  <a:gd name="connsiteX10" fmla="*/ 118500 w 213750"/>
                  <a:gd name="connsiteY10" fmla="*/ 4003931 h 4347080"/>
                  <a:gd name="connsiteX11" fmla="*/ 85636 w 213750"/>
                  <a:gd name="connsiteY11" fmla="*/ 4059510 h 4347080"/>
                  <a:gd name="connsiteX12" fmla="*/ 75066 w 213750"/>
                  <a:gd name="connsiteY12" fmla="*/ 4177767 h 4347080"/>
                  <a:gd name="connsiteX13" fmla="*/ 5254 w 213750"/>
                  <a:gd name="connsiteY13" fmla="*/ 4347080 h 4347080"/>
                  <a:gd name="connsiteX14" fmla="*/ 0 w 213750"/>
                  <a:gd name="connsiteY14" fmla="*/ 0 h 4347080"/>
                  <a:gd name="connsiteX15" fmla="*/ 70875 w 213750"/>
                  <a:gd name="connsiteY15" fmla="*/ 6131 h 4347080"/>
                  <a:gd name="connsiteX0" fmla="*/ 70875 w 213750"/>
                  <a:gd name="connsiteY0" fmla="*/ 6131 h 4187390"/>
                  <a:gd name="connsiteX1" fmla="*/ 70875 w 213750"/>
                  <a:gd name="connsiteY1" fmla="*/ 125685 h 4187390"/>
                  <a:gd name="connsiteX2" fmla="*/ 89925 w 213750"/>
                  <a:gd name="connsiteY2" fmla="*/ 163785 h 4187390"/>
                  <a:gd name="connsiteX3" fmla="*/ 128025 w 213750"/>
                  <a:gd name="connsiteY3" fmla="*/ 211410 h 4187390"/>
                  <a:gd name="connsiteX4" fmla="*/ 166125 w 213750"/>
                  <a:gd name="connsiteY4" fmla="*/ 230460 h 4187390"/>
                  <a:gd name="connsiteX5" fmla="*/ 194700 w 213750"/>
                  <a:gd name="connsiteY5" fmla="*/ 268560 h 4187390"/>
                  <a:gd name="connsiteX6" fmla="*/ 213750 w 213750"/>
                  <a:gd name="connsiteY6" fmla="*/ 344760 h 4187390"/>
                  <a:gd name="connsiteX7" fmla="*/ 213750 w 213750"/>
                  <a:gd name="connsiteY7" fmla="*/ 3830910 h 4187390"/>
                  <a:gd name="connsiteX8" fmla="*/ 197318 w 213750"/>
                  <a:gd name="connsiteY8" fmla="*/ 3927970 h 4187390"/>
                  <a:gd name="connsiteX9" fmla="*/ 162103 w 213750"/>
                  <a:gd name="connsiteY9" fmla="*/ 3973538 h 4187390"/>
                  <a:gd name="connsiteX10" fmla="*/ 118500 w 213750"/>
                  <a:gd name="connsiteY10" fmla="*/ 4003931 h 4187390"/>
                  <a:gd name="connsiteX11" fmla="*/ 85636 w 213750"/>
                  <a:gd name="connsiteY11" fmla="*/ 4059510 h 4187390"/>
                  <a:gd name="connsiteX12" fmla="*/ 75066 w 213750"/>
                  <a:gd name="connsiteY12" fmla="*/ 4177767 h 4187390"/>
                  <a:gd name="connsiteX13" fmla="*/ 5254 w 213750"/>
                  <a:gd name="connsiteY13" fmla="*/ 4181540 h 4187390"/>
                  <a:gd name="connsiteX14" fmla="*/ 0 w 213750"/>
                  <a:gd name="connsiteY14" fmla="*/ 0 h 4187390"/>
                  <a:gd name="connsiteX15" fmla="*/ 70875 w 213750"/>
                  <a:gd name="connsiteY15" fmla="*/ 6131 h 4187390"/>
                  <a:gd name="connsiteX0" fmla="*/ 70875 w 213750"/>
                  <a:gd name="connsiteY0" fmla="*/ 6131 h 4227397"/>
                  <a:gd name="connsiteX1" fmla="*/ 70875 w 213750"/>
                  <a:gd name="connsiteY1" fmla="*/ 125685 h 4227397"/>
                  <a:gd name="connsiteX2" fmla="*/ 89925 w 213750"/>
                  <a:gd name="connsiteY2" fmla="*/ 163785 h 4227397"/>
                  <a:gd name="connsiteX3" fmla="*/ 128025 w 213750"/>
                  <a:gd name="connsiteY3" fmla="*/ 211410 h 4227397"/>
                  <a:gd name="connsiteX4" fmla="*/ 166125 w 213750"/>
                  <a:gd name="connsiteY4" fmla="*/ 230460 h 4227397"/>
                  <a:gd name="connsiteX5" fmla="*/ 194700 w 213750"/>
                  <a:gd name="connsiteY5" fmla="*/ 268560 h 4227397"/>
                  <a:gd name="connsiteX6" fmla="*/ 213750 w 213750"/>
                  <a:gd name="connsiteY6" fmla="*/ 344760 h 4227397"/>
                  <a:gd name="connsiteX7" fmla="*/ 213750 w 213750"/>
                  <a:gd name="connsiteY7" fmla="*/ 3830910 h 4227397"/>
                  <a:gd name="connsiteX8" fmla="*/ 197318 w 213750"/>
                  <a:gd name="connsiteY8" fmla="*/ 3927970 h 4227397"/>
                  <a:gd name="connsiteX9" fmla="*/ 162103 w 213750"/>
                  <a:gd name="connsiteY9" fmla="*/ 3973538 h 4227397"/>
                  <a:gd name="connsiteX10" fmla="*/ 118500 w 213750"/>
                  <a:gd name="connsiteY10" fmla="*/ 4003931 h 4227397"/>
                  <a:gd name="connsiteX11" fmla="*/ 85636 w 213750"/>
                  <a:gd name="connsiteY11" fmla="*/ 4059510 h 4227397"/>
                  <a:gd name="connsiteX12" fmla="*/ 72698 w 213750"/>
                  <a:gd name="connsiteY12" fmla="*/ 4223410 h 4227397"/>
                  <a:gd name="connsiteX13" fmla="*/ 5254 w 213750"/>
                  <a:gd name="connsiteY13" fmla="*/ 4181540 h 4227397"/>
                  <a:gd name="connsiteX14" fmla="*/ 0 w 213750"/>
                  <a:gd name="connsiteY14" fmla="*/ 0 h 4227397"/>
                  <a:gd name="connsiteX15" fmla="*/ 70875 w 213750"/>
                  <a:gd name="connsiteY15" fmla="*/ 6131 h 4227397"/>
                  <a:gd name="connsiteX0" fmla="*/ 70875 w 213750"/>
                  <a:gd name="connsiteY0" fmla="*/ 6131 h 4235680"/>
                  <a:gd name="connsiteX1" fmla="*/ 70875 w 213750"/>
                  <a:gd name="connsiteY1" fmla="*/ 125685 h 4235680"/>
                  <a:gd name="connsiteX2" fmla="*/ 89925 w 213750"/>
                  <a:gd name="connsiteY2" fmla="*/ 163785 h 4235680"/>
                  <a:gd name="connsiteX3" fmla="*/ 128025 w 213750"/>
                  <a:gd name="connsiteY3" fmla="*/ 211410 h 4235680"/>
                  <a:gd name="connsiteX4" fmla="*/ 166125 w 213750"/>
                  <a:gd name="connsiteY4" fmla="*/ 230460 h 4235680"/>
                  <a:gd name="connsiteX5" fmla="*/ 194700 w 213750"/>
                  <a:gd name="connsiteY5" fmla="*/ 268560 h 4235680"/>
                  <a:gd name="connsiteX6" fmla="*/ 213750 w 213750"/>
                  <a:gd name="connsiteY6" fmla="*/ 344760 h 4235680"/>
                  <a:gd name="connsiteX7" fmla="*/ 213750 w 213750"/>
                  <a:gd name="connsiteY7" fmla="*/ 3830910 h 4235680"/>
                  <a:gd name="connsiteX8" fmla="*/ 197318 w 213750"/>
                  <a:gd name="connsiteY8" fmla="*/ 3927970 h 4235680"/>
                  <a:gd name="connsiteX9" fmla="*/ 162103 w 213750"/>
                  <a:gd name="connsiteY9" fmla="*/ 3973538 h 4235680"/>
                  <a:gd name="connsiteX10" fmla="*/ 118500 w 213750"/>
                  <a:gd name="connsiteY10" fmla="*/ 4003931 h 4235680"/>
                  <a:gd name="connsiteX11" fmla="*/ 85636 w 213750"/>
                  <a:gd name="connsiteY11" fmla="*/ 4059510 h 4235680"/>
                  <a:gd name="connsiteX12" fmla="*/ 72698 w 213750"/>
                  <a:gd name="connsiteY12" fmla="*/ 4223410 h 4235680"/>
                  <a:gd name="connsiteX13" fmla="*/ 5254 w 213750"/>
                  <a:gd name="connsiteY13" fmla="*/ 4225109 h 4235680"/>
                  <a:gd name="connsiteX14" fmla="*/ 0 w 213750"/>
                  <a:gd name="connsiteY14" fmla="*/ 0 h 4235680"/>
                  <a:gd name="connsiteX15" fmla="*/ 70875 w 213750"/>
                  <a:gd name="connsiteY15" fmla="*/ 6131 h 4235680"/>
                  <a:gd name="connsiteX0" fmla="*/ 70875 w 213750"/>
                  <a:gd name="connsiteY0" fmla="*/ 6131 h 4227615"/>
                  <a:gd name="connsiteX1" fmla="*/ 70875 w 213750"/>
                  <a:gd name="connsiteY1" fmla="*/ 125685 h 4227615"/>
                  <a:gd name="connsiteX2" fmla="*/ 89925 w 213750"/>
                  <a:gd name="connsiteY2" fmla="*/ 163785 h 4227615"/>
                  <a:gd name="connsiteX3" fmla="*/ 128025 w 213750"/>
                  <a:gd name="connsiteY3" fmla="*/ 211410 h 4227615"/>
                  <a:gd name="connsiteX4" fmla="*/ 166125 w 213750"/>
                  <a:gd name="connsiteY4" fmla="*/ 230460 h 4227615"/>
                  <a:gd name="connsiteX5" fmla="*/ 194700 w 213750"/>
                  <a:gd name="connsiteY5" fmla="*/ 268560 h 4227615"/>
                  <a:gd name="connsiteX6" fmla="*/ 213750 w 213750"/>
                  <a:gd name="connsiteY6" fmla="*/ 344760 h 4227615"/>
                  <a:gd name="connsiteX7" fmla="*/ 213750 w 213750"/>
                  <a:gd name="connsiteY7" fmla="*/ 3830910 h 4227615"/>
                  <a:gd name="connsiteX8" fmla="*/ 197318 w 213750"/>
                  <a:gd name="connsiteY8" fmla="*/ 3927970 h 4227615"/>
                  <a:gd name="connsiteX9" fmla="*/ 162103 w 213750"/>
                  <a:gd name="connsiteY9" fmla="*/ 3973538 h 4227615"/>
                  <a:gd name="connsiteX10" fmla="*/ 118500 w 213750"/>
                  <a:gd name="connsiteY10" fmla="*/ 4003931 h 4227615"/>
                  <a:gd name="connsiteX11" fmla="*/ 85636 w 213750"/>
                  <a:gd name="connsiteY11" fmla="*/ 4059510 h 4227615"/>
                  <a:gd name="connsiteX12" fmla="*/ 72698 w 213750"/>
                  <a:gd name="connsiteY12" fmla="*/ 4223410 h 4227615"/>
                  <a:gd name="connsiteX13" fmla="*/ 5254 w 213750"/>
                  <a:gd name="connsiteY13" fmla="*/ 4183615 h 4227615"/>
                  <a:gd name="connsiteX14" fmla="*/ 0 w 213750"/>
                  <a:gd name="connsiteY14" fmla="*/ 0 h 4227615"/>
                  <a:gd name="connsiteX15" fmla="*/ 70875 w 213750"/>
                  <a:gd name="connsiteY15" fmla="*/ 6131 h 4227615"/>
                  <a:gd name="connsiteX0" fmla="*/ 70875 w 213750"/>
                  <a:gd name="connsiteY0" fmla="*/ 6131 h 4197649"/>
                  <a:gd name="connsiteX1" fmla="*/ 70875 w 213750"/>
                  <a:gd name="connsiteY1" fmla="*/ 125685 h 4197649"/>
                  <a:gd name="connsiteX2" fmla="*/ 89925 w 213750"/>
                  <a:gd name="connsiteY2" fmla="*/ 163785 h 4197649"/>
                  <a:gd name="connsiteX3" fmla="*/ 128025 w 213750"/>
                  <a:gd name="connsiteY3" fmla="*/ 211410 h 4197649"/>
                  <a:gd name="connsiteX4" fmla="*/ 166125 w 213750"/>
                  <a:gd name="connsiteY4" fmla="*/ 230460 h 4197649"/>
                  <a:gd name="connsiteX5" fmla="*/ 194700 w 213750"/>
                  <a:gd name="connsiteY5" fmla="*/ 268560 h 4197649"/>
                  <a:gd name="connsiteX6" fmla="*/ 213750 w 213750"/>
                  <a:gd name="connsiteY6" fmla="*/ 344760 h 4197649"/>
                  <a:gd name="connsiteX7" fmla="*/ 213750 w 213750"/>
                  <a:gd name="connsiteY7" fmla="*/ 3830910 h 4197649"/>
                  <a:gd name="connsiteX8" fmla="*/ 197318 w 213750"/>
                  <a:gd name="connsiteY8" fmla="*/ 3927970 h 4197649"/>
                  <a:gd name="connsiteX9" fmla="*/ 162103 w 213750"/>
                  <a:gd name="connsiteY9" fmla="*/ 3973538 h 4197649"/>
                  <a:gd name="connsiteX10" fmla="*/ 118500 w 213750"/>
                  <a:gd name="connsiteY10" fmla="*/ 4003931 h 4197649"/>
                  <a:gd name="connsiteX11" fmla="*/ 85636 w 213750"/>
                  <a:gd name="connsiteY11" fmla="*/ 4059510 h 4197649"/>
                  <a:gd name="connsiteX12" fmla="*/ 63228 w 213750"/>
                  <a:gd name="connsiteY12" fmla="*/ 4190215 h 4197649"/>
                  <a:gd name="connsiteX13" fmla="*/ 5254 w 213750"/>
                  <a:gd name="connsiteY13" fmla="*/ 4183615 h 4197649"/>
                  <a:gd name="connsiteX14" fmla="*/ 0 w 213750"/>
                  <a:gd name="connsiteY14" fmla="*/ 0 h 4197649"/>
                  <a:gd name="connsiteX15" fmla="*/ 70875 w 213750"/>
                  <a:gd name="connsiteY15" fmla="*/ 6131 h 4197649"/>
                  <a:gd name="connsiteX0" fmla="*/ 70875 w 213750"/>
                  <a:gd name="connsiteY0" fmla="*/ 6131 h 4191114"/>
                  <a:gd name="connsiteX1" fmla="*/ 70875 w 213750"/>
                  <a:gd name="connsiteY1" fmla="*/ 125685 h 4191114"/>
                  <a:gd name="connsiteX2" fmla="*/ 89925 w 213750"/>
                  <a:gd name="connsiteY2" fmla="*/ 163785 h 4191114"/>
                  <a:gd name="connsiteX3" fmla="*/ 128025 w 213750"/>
                  <a:gd name="connsiteY3" fmla="*/ 211410 h 4191114"/>
                  <a:gd name="connsiteX4" fmla="*/ 166125 w 213750"/>
                  <a:gd name="connsiteY4" fmla="*/ 230460 h 4191114"/>
                  <a:gd name="connsiteX5" fmla="*/ 194700 w 213750"/>
                  <a:gd name="connsiteY5" fmla="*/ 268560 h 4191114"/>
                  <a:gd name="connsiteX6" fmla="*/ 213750 w 213750"/>
                  <a:gd name="connsiteY6" fmla="*/ 344760 h 4191114"/>
                  <a:gd name="connsiteX7" fmla="*/ 213750 w 213750"/>
                  <a:gd name="connsiteY7" fmla="*/ 3830910 h 4191114"/>
                  <a:gd name="connsiteX8" fmla="*/ 197318 w 213750"/>
                  <a:gd name="connsiteY8" fmla="*/ 3927970 h 4191114"/>
                  <a:gd name="connsiteX9" fmla="*/ 162103 w 213750"/>
                  <a:gd name="connsiteY9" fmla="*/ 3973538 h 4191114"/>
                  <a:gd name="connsiteX10" fmla="*/ 118500 w 213750"/>
                  <a:gd name="connsiteY10" fmla="*/ 4003931 h 4191114"/>
                  <a:gd name="connsiteX11" fmla="*/ 85636 w 213750"/>
                  <a:gd name="connsiteY11" fmla="*/ 4059510 h 4191114"/>
                  <a:gd name="connsiteX12" fmla="*/ 101111 w 213750"/>
                  <a:gd name="connsiteY12" fmla="*/ 4181917 h 4191114"/>
                  <a:gd name="connsiteX13" fmla="*/ 5254 w 213750"/>
                  <a:gd name="connsiteY13" fmla="*/ 4183615 h 4191114"/>
                  <a:gd name="connsiteX14" fmla="*/ 0 w 213750"/>
                  <a:gd name="connsiteY14" fmla="*/ 0 h 4191114"/>
                  <a:gd name="connsiteX15" fmla="*/ 70875 w 213750"/>
                  <a:gd name="connsiteY15" fmla="*/ 6131 h 4191114"/>
                  <a:gd name="connsiteX0" fmla="*/ 70875 w 213750"/>
                  <a:gd name="connsiteY0" fmla="*/ 6131 h 4199792"/>
                  <a:gd name="connsiteX1" fmla="*/ 70875 w 213750"/>
                  <a:gd name="connsiteY1" fmla="*/ 125685 h 4199792"/>
                  <a:gd name="connsiteX2" fmla="*/ 89925 w 213750"/>
                  <a:gd name="connsiteY2" fmla="*/ 163785 h 4199792"/>
                  <a:gd name="connsiteX3" fmla="*/ 128025 w 213750"/>
                  <a:gd name="connsiteY3" fmla="*/ 211410 h 4199792"/>
                  <a:gd name="connsiteX4" fmla="*/ 166125 w 213750"/>
                  <a:gd name="connsiteY4" fmla="*/ 230460 h 4199792"/>
                  <a:gd name="connsiteX5" fmla="*/ 194700 w 213750"/>
                  <a:gd name="connsiteY5" fmla="*/ 268560 h 4199792"/>
                  <a:gd name="connsiteX6" fmla="*/ 213750 w 213750"/>
                  <a:gd name="connsiteY6" fmla="*/ 344760 h 4199792"/>
                  <a:gd name="connsiteX7" fmla="*/ 213750 w 213750"/>
                  <a:gd name="connsiteY7" fmla="*/ 3830910 h 4199792"/>
                  <a:gd name="connsiteX8" fmla="*/ 197318 w 213750"/>
                  <a:gd name="connsiteY8" fmla="*/ 3927970 h 4199792"/>
                  <a:gd name="connsiteX9" fmla="*/ 162103 w 213750"/>
                  <a:gd name="connsiteY9" fmla="*/ 3973538 h 4199792"/>
                  <a:gd name="connsiteX10" fmla="*/ 118500 w 213750"/>
                  <a:gd name="connsiteY10" fmla="*/ 4003931 h 4199792"/>
                  <a:gd name="connsiteX11" fmla="*/ 85636 w 213750"/>
                  <a:gd name="connsiteY11" fmla="*/ 4059510 h 4199792"/>
                  <a:gd name="connsiteX12" fmla="*/ 82295 w 213750"/>
                  <a:gd name="connsiteY12" fmla="*/ 4192773 h 4199792"/>
                  <a:gd name="connsiteX13" fmla="*/ 5254 w 213750"/>
                  <a:gd name="connsiteY13" fmla="*/ 4183615 h 4199792"/>
                  <a:gd name="connsiteX14" fmla="*/ 0 w 213750"/>
                  <a:gd name="connsiteY14" fmla="*/ 0 h 4199792"/>
                  <a:gd name="connsiteX15" fmla="*/ 70875 w 213750"/>
                  <a:gd name="connsiteY15" fmla="*/ 6131 h 41997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13750" h="4199792">
                    <a:moveTo>
                      <a:pt x="70875" y="6131"/>
                    </a:moveTo>
                    <a:lnTo>
                      <a:pt x="70875" y="125685"/>
                    </a:lnTo>
                    <a:lnTo>
                      <a:pt x="89925" y="163785"/>
                    </a:lnTo>
                    <a:lnTo>
                      <a:pt x="128025" y="211410"/>
                    </a:lnTo>
                    <a:lnTo>
                      <a:pt x="166125" y="230460"/>
                    </a:lnTo>
                    <a:lnTo>
                      <a:pt x="194700" y="268560"/>
                    </a:lnTo>
                    <a:lnTo>
                      <a:pt x="213750" y="344760"/>
                    </a:lnTo>
                    <a:lnTo>
                      <a:pt x="213750" y="3830910"/>
                    </a:lnTo>
                    <a:lnTo>
                      <a:pt x="197318" y="3927970"/>
                    </a:lnTo>
                    <a:cubicBezTo>
                      <a:pt x="187604" y="3937493"/>
                      <a:pt x="171817" y="3964015"/>
                      <a:pt x="162103" y="3973538"/>
                    </a:cubicBezTo>
                    <a:lnTo>
                      <a:pt x="118500" y="4003931"/>
                    </a:lnTo>
                    <a:lnTo>
                      <a:pt x="85636" y="4059510"/>
                    </a:lnTo>
                    <a:cubicBezTo>
                      <a:pt x="85636" y="4084910"/>
                      <a:pt x="95692" y="4172089"/>
                      <a:pt x="82295" y="4192773"/>
                    </a:cubicBezTo>
                    <a:cubicBezTo>
                      <a:pt x="68898" y="4213457"/>
                      <a:pt x="60086" y="4181651"/>
                      <a:pt x="5254" y="4183615"/>
                    </a:cubicBezTo>
                    <a:cubicBezTo>
                      <a:pt x="1591" y="2688544"/>
                      <a:pt x="3663" y="1495071"/>
                      <a:pt x="0" y="0"/>
                    </a:cubicBezTo>
                    <a:lnTo>
                      <a:pt x="70875" y="6131"/>
                    </a:lnTo>
                    <a:close/>
                  </a:path>
                </a:pathLst>
              </a:custGeom>
              <a:solidFill>
                <a:schemeClr val="bg2">
                  <a:lumMod val="75000"/>
                </a:schemeClr>
              </a:solidFill>
              <a:ln w="12700">
                <a:solidFill>
                  <a:schemeClr val="bg2">
                    <a:lumMod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 name="Straight Connector 24"/>
              <xdr:cNvCxnSpPr>
                <a:endCxn id="12" idx="0"/>
              </xdr:cNvCxnSpPr>
            </xdr:nvCxnSpPr>
            <xdr:spPr>
              <a:xfrm>
                <a:off x="8216656" y="7346237"/>
                <a:ext cx="298694"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365" name="Straight Connector 364"/>
              <xdr:cNvCxnSpPr>
                <a:endCxn id="15" idx="2"/>
              </xdr:cNvCxnSpPr>
            </xdr:nvCxnSpPr>
            <xdr:spPr>
              <a:xfrm>
                <a:off x="8201758" y="11714599"/>
                <a:ext cx="313592" cy="4951"/>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grpSp>
          <xdr:nvGrpSpPr>
            <xdr:cNvPr id="475" name="Group 474"/>
            <xdr:cNvGrpSpPr/>
          </xdr:nvGrpSpPr>
          <xdr:grpSpPr>
            <a:xfrm flipV="1">
              <a:off x="8319239" y="6899455"/>
              <a:ext cx="529486" cy="5248253"/>
              <a:chOff x="7995389" y="6918505"/>
              <a:chExt cx="529486" cy="5248253"/>
            </a:xfrm>
          </xdr:grpSpPr>
          <xdr:sp macro="" textlink="">
            <xdr:nvSpPr>
              <xdr:cNvPr id="476" name="Rectangle 475"/>
              <xdr:cNvSpPr/>
            </xdr:nvSpPr>
            <xdr:spPr>
              <a:xfrm>
                <a:off x="8458689" y="7553687"/>
                <a:ext cx="66186" cy="35577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77" name="Rectangle 476"/>
              <xdr:cNvSpPr/>
            </xdr:nvSpPr>
            <xdr:spPr>
              <a:xfrm>
                <a:off x="8458689" y="8013496"/>
                <a:ext cx="66186" cy="35342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78" name="Rectangle 477"/>
              <xdr:cNvSpPr/>
            </xdr:nvSpPr>
            <xdr:spPr>
              <a:xfrm>
                <a:off x="8458689" y="8460391"/>
                <a:ext cx="66186" cy="35693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79" name="Rectangle 478"/>
              <xdr:cNvSpPr/>
            </xdr:nvSpPr>
            <xdr:spPr>
              <a:xfrm>
                <a:off x="8456308" y="8920199"/>
                <a:ext cx="66186" cy="35342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0" name="Rectangle 479"/>
              <xdr:cNvSpPr/>
            </xdr:nvSpPr>
            <xdr:spPr>
              <a:xfrm>
                <a:off x="8458689" y="9362658"/>
                <a:ext cx="66186" cy="3566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1" name="Rectangle 480"/>
              <xdr:cNvSpPr/>
            </xdr:nvSpPr>
            <xdr:spPr>
              <a:xfrm>
                <a:off x="8458689" y="9824817"/>
                <a:ext cx="66186" cy="353429"/>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2" name="Rectangle 481"/>
              <xdr:cNvSpPr/>
            </xdr:nvSpPr>
            <xdr:spPr>
              <a:xfrm>
                <a:off x="8458689" y="10272871"/>
                <a:ext cx="66186" cy="35577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3" name="Rectangle 482"/>
              <xdr:cNvSpPr/>
            </xdr:nvSpPr>
            <xdr:spPr>
              <a:xfrm>
                <a:off x="8458689" y="10724469"/>
                <a:ext cx="66186" cy="35458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4" name="Rectangle 483"/>
              <xdr:cNvSpPr/>
            </xdr:nvSpPr>
            <xdr:spPr>
              <a:xfrm>
                <a:off x="8453438" y="11174875"/>
                <a:ext cx="71437" cy="353429"/>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5" name="Freeform 484"/>
              <xdr:cNvSpPr/>
            </xdr:nvSpPr>
            <xdr:spPr>
              <a:xfrm flipH="1" flipV="1">
                <a:off x="8262328" y="11872348"/>
                <a:ext cx="257850" cy="294410"/>
              </a:xfrm>
              <a:custGeom>
                <a:avLst/>
                <a:gdLst>
                  <a:gd name="connsiteX0" fmla="*/ 0 w 266700"/>
                  <a:gd name="connsiteY0" fmla="*/ 0 h 295275"/>
                  <a:gd name="connsiteX1" fmla="*/ 266700 w 266700"/>
                  <a:gd name="connsiteY1" fmla="*/ 0 h 295275"/>
                  <a:gd name="connsiteX2" fmla="*/ 266700 w 266700"/>
                  <a:gd name="connsiteY2" fmla="*/ 295275 h 295275"/>
                  <a:gd name="connsiteX0" fmla="*/ 0 w 461372"/>
                  <a:gd name="connsiteY0" fmla="*/ 6046 h 295275"/>
                  <a:gd name="connsiteX1" fmla="*/ 461372 w 461372"/>
                  <a:gd name="connsiteY1" fmla="*/ 0 h 295275"/>
                  <a:gd name="connsiteX2" fmla="*/ 461372 w 461372"/>
                  <a:gd name="connsiteY2" fmla="*/ 295275 h 295275"/>
                </a:gdLst>
                <a:ahLst/>
                <a:cxnLst>
                  <a:cxn ang="0">
                    <a:pos x="connsiteX0" y="connsiteY0"/>
                  </a:cxn>
                  <a:cxn ang="0">
                    <a:pos x="connsiteX1" y="connsiteY1"/>
                  </a:cxn>
                  <a:cxn ang="0">
                    <a:pos x="connsiteX2" y="connsiteY2"/>
                  </a:cxn>
                </a:cxnLst>
                <a:rect l="l" t="t" r="r" b="b"/>
                <a:pathLst>
                  <a:path w="461372" h="295275">
                    <a:moveTo>
                      <a:pt x="0" y="6046"/>
                    </a:moveTo>
                    <a:lnTo>
                      <a:pt x="461372" y="0"/>
                    </a:lnTo>
                    <a:lnTo>
                      <a:pt x="461372" y="295275"/>
                    </a:lnTo>
                  </a:path>
                </a:pathLst>
              </a:cu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6" name="Straight Connector 485"/>
              <xdr:cNvCxnSpPr/>
            </xdr:nvCxnSpPr>
            <xdr:spPr>
              <a:xfrm flipH="1">
                <a:off x="8210550" y="7346237"/>
                <a:ext cx="0" cy="4370968"/>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sp macro="" textlink="">
            <xdr:nvSpPr>
              <xdr:cNvPr id="487" name="Freeform 486"/>
              <xdr:cNvSpPr/>
            </xdr:nvSpPr>
            <xdr:spPr>
              <a:xfrm flipH="1">
                <a:off x="8448675" y="7346237"/>
                <a:ext cx="66675" cy="579683"/>
              </a:xfrm>
              <a:custGeom>
                <a:avLst/>
                <a:gdLst>
                  <a:gd name="connsiteX0" fmla="*/ 0 w 66675"/>
                  <a:gd name="connsiteY0" fmla="*/ 0 h 581025"/>
                  <a:gd name="connsiteX1" fmla="*/ 0 w 66675"/>
                  <a:gd name="connsiteY1" fmla="*/ 200025 h 581025"/>
                  <a:gd name="connsiteX2" fmla="*/ 66675 w 66675"/>
                  <a:gd name="connsiteY2" fmla="*/ 200025 h 581025"/>
                  <a:gd name="connsiteX3" fmla="*/ 66675 w 66675"/>
                  <a:gd name="connsiteY3" fmla="*/ 581025 h 581025"/>
                  <a:gd name="connsiteX4" fmla="*/ 66675 w 66675"/>
                  <a:gd name="connsiteY4" fmla="*/ 581025 h 581025"/>
                  <a:gd name="connsiteX5" fmla="*/ 66675 w 66675"/>
                  <a:gd name="connsiteY5" fmla="*/ 581025 h 581025"/>
                  <a:gd name="connsiteX6" fmla="*/ 66675 w 66675"/>
                  <a:gd name="connsiteY6" fmla="*/ 581025 h 581025"/>
                  <a:gd name="connsiteX7" fmla="*/ 66675 w 66675"/>
                  <a:gd name="connsiteY7" fmla="*/ 581025 h 58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675" h="581025">
                    <a:moveTo>
                      <a:pt x="0" y="0"/>
                    </a:moveTo>
                    <a:lnTo>
                      <a:pt x="0" y="200025"/>
                    </a:lnTo>
                    <a:lnTo>
                      <a:pt x="66675" y="200025"/>
                    </a:lnTo>
                    <a:lnTo>
                      <a:pt x="66675" y="581025"/>
                    </a:lnTo>
                    <a:lnTo>
                      <a:pt x="66675" y="581025"/>
                    </a:lnTo>
                    <a:lnTo>
                      <a:pt x="66675" y="581025"/>
                    </a:lnTo>
                    <a:lnTo>
                      <a:pt x="66675" y="581025"/>
                    </a:lnTo>
                    <a:lnTo>
                      <a:pt x="66675" y="581025"/>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8" name="Freeform 487"/>
              <xdr:cNvSpPr/>
            </xdr:nvSpPr>
            <xdr:spPr>
              <a:xfrm flipH="1">
                <a:off x="8448675" y="7916517"/>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9" name="Freeform 488"/>
              <xdr:cNvSpPr/>
            </xdr:nvSpPr>
            <xdr:spPr>
              <a:xfrm flipH="1">
                <a:off x="8448675" y="8369273"/>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0" name="Freeform 489"/>
              <xdr:cNvSpPr/>
            </xdr:nvSpPr>
            <xdr:spPr>
              <a:xfrm flipH="1">
                <a:off x="8448675" y="8819679"/>
                <a:ext cx="66675" cy="45864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1" name="Freeform 490"/>
              <xdr:cNvSpPr/>
            </xdr:nvSpPr>
            <xdr:spPr>
              <a:xfrm flipH="1">
                <a:off x="8448675" y="9271275"/>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2" name="Freeform 491"/>
              <xdr:cNvSpPr/>
            </xdr:nvSpPr>
            <xdr:spPr>
              <a:xfrm flipH="1">
                <a:off x="8448675" y="9724097"/>
                <a:ext cx="66675" cy="458912"/>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3" name="Freeform 492"/>
              <xdr:cNvSpPr/>
            </xdr:nvSpPr>
            <xdr:spPr>
              <a:xfrm flipH="1">
                <a:off x="8448675" y="10175958"/>
                <a:ext cx="66675" cy="459807"/>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4" name="Freeform 493"/>
              <xdr:cNvSpPr/>
            </xdr:nvSpPr>
            <xdr:spPr>
              <a:xfrm flipH="1">
                <a:off x="8448675" y="10626362"/>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5" name="Freeform 494"/>
              <xdr:cNvSpPr/>
            </xdr:nvSpPr>
            <xdr:spPr>
              <a:xfrm flipH="1">
                <a:off x="8448675" y="11079118"/>
                <a:ext cx="66675" cy="458649"/>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6" name="Freeform 495"/>
              <xdr:cNvSpPr/>
            </xdr:nvSpPr>
            <xdr:spPr>
              <a:xfrm flipH="1">
                <a:off x="8448675" y="11528297"/>
                <a:ext cx="66675" cy="191253"/>
              </a:xfrm>
              <a:custGeom>
                <a:avLst/>
                <a:gdLst>
                  <a:gd name="connsiteX0" fmla="*/ 66675 w 66675"/>
                  <a:gd name="connsiteY0" fmla="*/ 0 h 190500"/>
                  <a:gd name="connsiteX1" fmla="*/ 0 w 66675"/>
                  <a:gd name="connsiteY1" fmla="*/ 2381 h 190500"/>
                  <a:gd name="connsiteX2" fmla="*/ 0 w 66675"/>
                  <a:gd name="connsiteY2" fmla="*/ 190500 h 190500"/>
                  <a:gd name="connsiteX3" fmla="*/ 0 w 66675"/>
                  <a:gd name="connsiteY3" fmla="*/ 190500 h 190500"/>
                </a:gdLst>
                <a:ahLst/>
                <a:cxnLst>
                  <a:cxn ang="0">
                    <a:pos x="connsiteX0" y="connsiteY0"/>
                  </a:cxn>
                  <a:cxn ang="0">
                    <a:pos x="connsiteX1" y="connsiteY1"/>
                  </a:cxn>
                  <a:cxn ang="0">
                    <a:pos x="connsiteX2" y="connsiteY2"/>
                  </a:cxn>
                  <a:cxn ang="0">
                    <a:pos x="connsiteX3" y="connsiteY3"/>
                  </a:cxn>
                </a:cxnLst>
                <a:rect l="l" t="t" r="r" b="b"/>
                <a:pathLst>
                  <a:path w="66675" h="190500">
                    <a:moveTo>
                      <a:pt x="66675" y="0"/>
                    </a:moveTo>
                    <a:lnTo>
                      <a:pt x="0" y="2381"/>
                    </a:lnTo>
                    <a:lnTo>
                      <a:pt x="0" y="190500"/>
                    </a:lnTo>
                    <a:lnTo>
                      <a:pt x="0" y="190500"/>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7" name="Freeform 496"/>
              <xdr:cNvSpPr/>
            </xdr:nvSpPr>
            <xdr:spPr>
              <a:xfrm>
                <a:off x="7995389" y="6918505"/>
                <a:ext cx="266205" cy="292676"/>
              </a:xfrm>
              <a:custGeom>
                <a:avLst/>
                <a:gdLst>
                  <a:gd name="connsiteX0" fmla="*/ 0 w 266700"/>
                  <a:gd name="connsiteY0" fmla="*/ 0 h 295275"/>
                  <a:gd name="connsiteX1" fmla="*/ 266700 w 266700"/>
                  <a:gd name="connsiteY1" fmla="*/ 0 h 295275"/>
                  <a:gd name="connsiteX2" fmla="*/ 266700 w 266700"/>
                  <a:gd name="connsiteY2" fmla="*/ 295275 h 295275"/>
                  <a:gd name="connsiteX0" fmla="*/ 0 w 382286"/>
                  <a:gd name="connsiteY0" fmla="*/ 0 h 295275"/>
                  <a:gd name="connsiteX1" fmla="*/ 382286 w 382286"/>
                  <a:gd name="connsiteY1" fmla="*/ 0 h 295275"/>
                  <a:gd name="connsiteX2" fmla="*/ 382286 w 382286"/>
                  <a:gd name="connsiteY2" fmla="*/ 295275 h 295275"/>
                </a:gdLst>
                <a:ahLst/>
                <a:cxnLst>
                  <a:cxn ang="0">
                    <a:pos x="connsiteX0" y="connsiteY0"/>
                  </a:cxn>
                  <a:cxn ang="0">
                    <a:pos x="connsiteX1" y="connsiteY1"/>
                  </a:cxn>
                  <a:cxn ang="0">
                    <a:pos x="connsiteX2" y="connsiteY2"/>
                  </a:cxn>
                </a:cxnLst>
                <a:rect l="l" t="t" r="r" b="b"/>
                <a:pathLst>
                  <a:path w="382286" h="295275">
                    <a:moveTo>
                      <a:pt x="0" y="0"/>
                    </a:moveTo>
                    <a:lnTo>
                      <a:pt x="382286" y="0"/>
                    </a:lnTo>
                    <a:lnTo>
                      <a:pt x="382286" y="295275"/>
                    </a:lnTo>
                  </a:path>
                </a:pathLst>
              </a:cu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8" name="Freeform 497"/>
              <xdr:cNvSpPr/>
            </xdr:nvSpPr>
            <xdr:spPr>
              <a:xfrm>
                <a:off x="8222697" y="7154468"/>
                <a:ext cx="214972" cy="4817758"/>
              </a:xfrm>
              <a:custGeom>
                <a:avLst/>
                <a:gdLst>
                  <a:gd name="connsiteX0" fmla="*/ 57150 w 200025"/>
                  <a:gd name="connsiteY0" fmla="*/ 0 h 4467225"/>
                  <a:gd name="connsiteX1" fmla="*/ 57150 w 200025"/>
                  <a:gd name="connsiteY1" fmla="*/ 266700 h 4467225"/>
                  <a:gd name="connsiteX2" fmla="*/ 76200 w 200025"/>
                  <a:gd name="connsiteY2" fmla="*/ 304800 h 4467225"/>
                  <a:gd name="connsiteX3" fmla="*/ 114300 w 200025"/>
                  <a:gd name="connsiteY3" fmla="*/ 352425 h 4467225"/>
                  <a:gd name="connsiteX4" fmla="*/ 152400 w 200025"/>
                  <a:gd name="connsiteY4" fmla="*/ 371475 h 4467225"/>
                  <a:gd name="connsiteX5" fmla="*/ 180975 w 200025"/>
                  <a:gd name="connsiteY5" fmla="*/ 409575 h 4467225"/>
                  <a:gd name="connsiteX6" fmla="*/ 200025 w 200025"/>
                  <a:gd name="connsiteY6" fmla="*/ 485775 h 4467225"/>
                  <a:gd name="connsiteX7" fmla="*/ 200025 w 200025"/>
                  <a:gd name="connsiteY7" fmla="*/ 3971925 h 4467225"/>
                  <a:gd name="connsiteX8" fmla="*/ 171450 w 200025"/>
                  <a:gd name="connsiteY8" fmla="*/ 4057650 h 4467225"/>
                  <a:gd name="connsiteX9" fmla="*/ 104775 w 200025"/>
                  <a:gd name="connsiteY9" fmla="*/ 4105275 h 4467225"/>
                  <a:gd name="connsiteX10" fmla="*/ 47625 w 200025"/>
                  <a:gd name="connsiteY10" fmla="*/ 4200525 h 4467225"/>
                  <a:gd name="connsiteX11" fmla="*/ 47625 w 200025"/>
                  <a:gd name="connsiteY11" fmla="*/ 4276725 h 4467225"/>
                  <a:gd name="connsiteX12" fmla="*/ 47625 w 200025"/>
                  <a:gd name="connsiteY12" fmla="*/ 4467225 h 4467225"/>
                  <a:gd name="connsiteX13" fmla="*/ 0 w 200025"/>
                  <a:gd name="connsiteY13" fmla="*/ 0 h 4467225"/>
                  <a:gd name="connsiteX14" fmla="*/ 57150 w 200025"/>
                  <a:gd name="connsiteY14" fmla="*/ 0 h 4467225"/>
                  <a:gd name="connsiteX0" fmla="*/ 57150 w 200025"/>
                  <a:gd name="connsiteY0" fmla="*/ 0 h 4485212"/>
                  <a:gd name="connsiteX1" fmla="*/ 57150 w 200025"/>
                  <a:gd name="connsiteY1" fmla="*/ 266700 h 4485212"/>
                  <a:gd name="connsiteX2" fmla="*/ 76200 w 200025"/>
                  <a:gd name="connsiteY2" fmla="*/ 304800 h 4485212"/>
                  <a:gd name="connsiteX3" fmla="*/ 114300 w 200025"/>
                  <a:gd name="connsiteY3" fmla="*/ 352425 h 4485212"/>
                  <a:gd name="connsiteX4" fmla="*/ 152400 w 200025"/>
                  <a:gd name="connsiteY4" fmla="*/ 371475 h 4485212"/>
                  <a:gd name="connsiteX5" fmla="*/ 180975 w 200025"/>
                  <a:gd name="connsiteY5" fmla="*/ 409575 h 4485212"/>
                  <a:gd name="connsiteX6" fmla="*/ 200025 w 200025"/>
                  <a:gd name="connsiteY6" fmla="*/ 485775 h 4485212"/>
                  <a:gd name="connsiteX7" fmla="*/ 200025 w 200025"/>
                  <a:gd name="connsiteY7" fmla="*/ 3971925 h 4485212"/>
                  <a:gd name="connsiteX8" fmla="*/ 171450 w 200025"/>
                  <a:gd name="connsiteY8" fmla="*/ 4057650 h 4485212"/>
                  <a:gd name="connsiteX9" fmla="*/ 104775 w 200025"/>
                  <a:gd name="connsiteY9" fmla="*/ 4105275 h 4485212"/>
                  <a:gd name="connsiteX10" fmla="*/ 47625 w 200025"/>
                  <a:gd name="connsiteY10" fmla="*/ 4200525 h 4485212"/>
                  <a:gd name="connsiteX11" fmla="*/ 47625 w 200025"/>
                  <a:gd name="connsiteY11" fmla="*/ 4276725 h 4485212"/>
                  <a:gd name="connsiteX12" fmla="*/ 10990 w 200025"/>
                  <a:gd name="connsiteY12" fmla="*/ 4485212 h 4485212"/>
                  <a:gd name="connsiteX13" fmla="*/ 0 w 200025"/>
                  <a:gd name="connsiteY13" fmla="*/ 0 h 4485212"/>
                  <a:gd name="connsiteX14" fmla="*/ 57150 w 200025"/>
                  <a:gd name="connsiteY14" fmla="*/ 0 h 4485212"/>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47625 w 200025"/>
                  <a:gd name="connsiteY10" fmla="*/ 4200525 h 4498149"/>
                  <a:gd name="connsiteX11" fmla="*/ 47625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47625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77980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59767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44946 h 4498149"/>
                  <a:gd name="connsiteX10" fmla="*/ 59767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54449 w 200025"/>
                  <a:gd name="connsiteY9" fmla="*/ 4154223 h 4498149"/>
                  <a:gd name="connsiteX10" fmla="*/ 104775 w 200025"/>
                  <a:gd name="connsiteY10" fmla="*/ 4144946 h 4498149"/>
                  <a:gd name="connsiteX11" fmla="*/ 59767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48378 w 200025"/>
                  <a:gd name="connsiteY9" fmla="*/ 4114553 h 4498149"/>
                  <a:gd name="connsiteX10" fmla="*/ 104775 w 200025"/>
                  <a:gd name="connsiteY10" fmla="*/ 4144946 h 4498149"/>
                  <a:gd name="connsiteX11" fmla="*/ 59767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7810"/>
                  <a:gd name="connsiteX1" fmla="*/ 57150 w 200025"/>
                  <a:gd name="connsiteY1" fmla="*/ 266700 h 4497810"/>
                  <a:gd name="connsiteX2" fmla="*/ 76200 w 200025"/>
                  <a:gd name="connsiteY2" fmla="*/ 304800 h 4497810"/>
                  <a:gd name="connsiteX3" fmla="*/ 114300 w 200025"/>
                  <a:gd name="connsiteY3" fmla="*/ 352425 h 4497810"/>
                  <a:gd name="connsiteX4" fmla="*/ 152400 w 200025"/>
                  <a:gd name="connsiteY4" fmla="*/ 371475 h 4497810"/>
                  <a:gd name="connsiteX5" fmla="*/ 180975 w 200025"/>
                  <a:gd name="connsiteY5" fmla="*/ 409575 h 4497810"/>
                  <a:gd name="connsiteX6" fmla="*/ 200025 w 200025"/>
                  <a:gd name="connsiteY6" fmla="*/ 485775 h 4497810"/>
                  <a:gd name="connsiteX7" fmla="*/ 200025 w 200025"/>
                  <a:gd name="connsiteY7" fmla="*/ 3971925 h 4497810"/>
                  <a:gd name="connsiteX8" fmla="*/ 171450 w 200025"/>
                  <a:gd name="connsiteY8" fmla="*/ 4057650 h 4497810"/>
                  <a:gd name="connsiteX9" fmla="*/ 148378 w 200025"/>
                  <a:gd name="connsiteY9" fmla="*/ 4114553 h 4497810"/>
                  <a:gd name="connsiteX10" fmla="*/ 104775 w 200025"/>
                  <a:gd name="connsiteY10" fmla="*/ 4144946 h 4497810"/>
                  <a:gd name="connsiteX11" fmla="*/ 77981 w 200025"/>
                  <a:gd name="connsiteY11" fmla="*/ 4206192 h 4497810"/>
                  <a:gd name="connsiteX12" fmla="*/ 65838 w 200025"/>
                  <a:gd name="connsiteY12" fmla="*/ 4486572 h 4497810"/>
                  <a:gd name="connsiteX13" fmla="*/ 10990 w 200025"/>
                  <a:gd name="connsiteY13" fmla="*/ 4485212 h 4497810"/>
                  <a:gd name="connsiteX14" fmla="*/ 0 w 200025"/>
                  <a:gd name="connsiteY14" fmla="*/ 0 h 4497810"/>
                  <a:gd name="connsiteX15" fmla="*/ 57150 w 200025"/>
                  <a:gd name="connsiteY15" fmla="*/ 0 h 4497810"/>
                  <a:gd name="connsiteX0" fmla="*/ 57150 w 200025"/>
                  <a:gd name="connsiteY0" fmla="*/ 0 h 4497810"/>
                  <a:gd name="connsiteX1" fmla="*/ 57150 w 200025"/>
                  <a:gd name="connsiteY1" fmla="*/ 266700 h 4497810"/>
                  <a:gd name="connsiteX2" fmla="*/ 76200 w 200025"/>
                  <a:gd name="connsiteY2" fmla="*/ 304800 h 4497810"/>
                  <a:gd name="connsiteX3" fmla="*/ 114300 w 200025"/>
                  <a:gd name="connsiteY3" fmla="*/ 352425 h 4497810"/>
                  <a:gd name="connsiteX4" fmla="*/ 152400 w 200025"/>
                  <a:gd name="connsiteY4" fmla="*/ 371475 h 4497810"/>
                  <a:gd name="connsiteX5" fmla="*/ 180975 w 200025"/>
                  <a:gd name="connsiteY5" fmla="*/ 409575 h 4497810"/>
                  <a:gd name="connsiteX6" fmla="*/ 200025 w 200025"/>
                  <a:gd name="connsiteY6" fmla="*/ 485775 h 4497810"/>
                  <a:gd name="connsiteX7" fmla="*/ 200025 w 200025"/>
                  <a:gd name="connsiteY7" fmla="*/ 3971925 h 4497810"/>
                  <a:gd name="connsiteX8" fmla="*/ 171450 w 200025"/>
                  <a:gd name="connsiteY8" fmla="*/ 4057650 h 4497810"/>
                  <a:gd name="connsiteX9" fmla="*/ 148378 w 200025"/>
                  <a:gd name="connsiteY9" fmla="*/ 4114553 h 4497810"/>
                  <a:gd name="connsiteX10" fmla="*/ 104775 w 200025"/>
                  <a:gd name="connsiteY10" fmla="*/ 4144946 h 4497810"/>
                  <a:gd name="connsiteX11" fmla="*/ 65840 w 200025"/>
                  <a:gd name="connsiteY11" fmla="*/ 4206192 h 4497810"/>
                  <a:gd name="connsiteX12" fmla="*/ 65838 w 200025"/>
                  <a:gd name="connsiteY12" fmla="*/ 4486572 h 4497810"/>
                  <a:gd name="connsiteX13" fmla="*/ 10990 w 200025"/>
                  <a:gd name="connsiteY13" fmla="*/ 4485212 h 4497810"/>
                  <a:gd name="connsiteX14" fmla="*/ 0 w 200025"/>
                  <a:gd name="connsiteY14" fmla="*/ 0 h 4497810"/>
                  <a:gd name="connsiteX15" fmla="*/ 57150 w 200025"/>
                  <a:gd name="connsiteY15" fmla="*/ 0 h 4497810"/>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95735 w 200025"/>
                  <a:gd name="connsiteY8" fmla="*/ 4051983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83593 w 200025"/>
                  <a:gd name="connsiteY8" fmla="*/ 4068985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9506"/>
                  <a:gd name="connsiteX1" fmla="*/ 57150 w 200025"/>
                  <a:gd name="connsiteY1" fmla="*/ 266700 h 4499506"/>
                  <a:gd name="connsiteX2" fmla="*/ 76200 w 200025"/>
                  <a:gd name="connsiteY2" fmla="*/ 304800 h 4499506"/>
                  <a:gd name="connsiteX3" fmla="*/ 114300 w 200025"/>
                  <a:gd name="connsiteY3" fmla="*/ 352425 h 4499506"/>
                  <a:gd name="connsiteX4" fmla="*/ 152400 w 200025"/>
                  <a:gd name="connsiteY4" fmla="*/ 371475 h 4499506"/>
                  <a:gd name="connsiteX5" fmla="*/ 180975 w 200025"/>
                  <a:gd name="connsiteY5" fmla="*/ 409575 h 4499506"/>
                  <a:gd name="connsiteX6" fmla="*/ 200025 w 200025"/>
                  <a:gd name="connsiteY6" fmla="*/ 485775 h 4499506"/>
                  <a:gd name="connsiteX7" fmla="*/ 200025 w 200025"/>
                  <a:gd name="connsiteY7" fmla="*/ 3971925 h 4499506"/>
                  <a:gd name="connsiteX8" fmla="*/ 183593 w 200025"/>
                  <a:gd name="connsiteY8" fmla="*/ 4068985 h 4499506"/>
                  <a:gd name="connsiteX9" fmla="*/ 148378 w 200025"/>
                  <a:gd name="connsiteY9" fmla="*/ 4114553 h 4499506"/>
                  <a:gd name="connsiteX10" fmla="*/ 104775 w 200025"/>
                  <a:gd name="connsiteY10" fmla="*/ 4144946 h 4499506"/>
                  <a:gd name="connsiteX11" fmla="*/ 71911 w 200025"/>
                  <a:gd name="connsiteY11" fmla="*/ 4200525 h 4499506"/>
                  <a:gd name="connsiteX12" fmla="*/ 65838 w 200025"/>
                  <a:gd name="connsiteY12" fmla="*/ 4486572 h 4499506"/>
                  <a:gd name="connsiteX13" fmla="*/ 10990 w 200025"/>
                  <a:gd name="connsiteY13" fmla="*/ 4494217 h 4499506"/>
                  <a:gd name="connsiteX14" fmla="*/ 0 w 200025"/>
                  <a:gd name="connsiteY14" fmla="*/ 0 h 4499506"/>
                  <a:gd name="connsiteX15" fmla="*/ 57150 w 200025"/>
                  <a:gd name="connsiteY15" fmla="*/ 0 h 4499506"/>
                  <a:gd name="connsiteX0" fmla="*/ 57150 w 200025"/>
                  <a:gd name="connsiteY0" fmla="*/ 0 h 4509997"/>
                  <a:gd name="connsiteX1" fmla="*/ 57150 w 200025"/>
                  <a:gd name="connsiteY1" fmla="*/ 266700 h 4509997"/>
                  <a:gd name="connsiteX2" fmla="*/ 76200 w 200025"/>
                  <a:gd name="connsiteY2" fmla="*/ 304800 h 4509997"/>
                  <a:gd name="connsiteX3" fmla="*/ 114300 w 200025"/>
                  <a:gd name="connsiteY3" fmla="*/ 352425 h 4509997"/>
                  <a:gd name="connsiteX4" fmla="*/ 152400 w 200025"/>
                  <a:gd name="connsiteY4" fmla="*/ 371475 h 4509997"/>
                  <a:gd name="connsiteX5" fmla="*/ 180975 w 200025"/>
                  <a:gd name="connsiteY5" fmla="*/ 409575 h 4509997"/>
                  <a:gd name="connsiteX6" fmla="*/ 200025 w 200025"/>
                  <a:gd name="connsiteY6" fmla="*/ 485775 h 4509997"/>
                  <a:gd name="connsiteX7" fmla="*/ 200025 w 200025"/>
                  <a:gd name="connsiteY7" fmla="*/ 3971925 h 4509997"/>
                  <a:gd name="connsiteX8" fmla="*/ 183593 w 200025"/>
                  <a:gd name="connsiteY8" fmla="*/ 4068985 h 4509997"/>
                  <a:gd name="connsiteX9" fmla="*/ 148378 w 200025"/>
                  <a:gd name="connsiteY9" fmla="*/ 4114553 h 4509997"/>
                  <a:gd name="connsiteX10" fmla="*/ 104775 w 200025"/>
                  <a:gd name="connsiteY10" fmla="*/ 4144946 h 4509997"/>
                  <a:gd name="connsiteX11" fmla="*/ 71911 w 200025"/>
                  <a:gd name="connsiteY11" fmla="*/ 4200525 h 4509997"/>
                  <a:gd name="connsiteX12" fmla="*/ 65838 w 200025"/>
                  <a:gd name="connsiteY12" fmla="*/ 4486572 h 4509997"/>
                  <a:gd name="connsiteX13" fmla="*/ 10990 w 200025"/>
                  <a:gd name="connsiteY13" fmla="*/ 4494217 h 4509997"/>
                  <a:gd name="connsiteX14" fmla="*/ 0 w 200025"/>
                  <a:gd name="connsiteY14" fmla="*/ 0 h 4509997"/>
                  <a:gd name="connsiteX15" fmla="*/ 57150 w 200025"/>
                  <a:gd name="connsiteY15" fmla="*/ 0 h 4509997"/>
                  <a:gd name="connsiteX0" fmla="*/ 57150 w 200025"/>
                  <a:gd name="connsiteY0" fmla="*/ 0 h 4509998"/>
                  <a:gd name="connsiteX1" fmla="*/ 57150 w 200025"/>
                  <a:gd name="connsiteY1" fmla="*/ 266700 h 4509998"/>
                  <a:gd name="connsiteX2" fmla="*/ 76200 w 200025"/>
                  <a:gd name="connsiteY2" fmla="*/ 304800 h 4509998"/>
                  <a:gd name="connsiteX3" fmla="*/ 114300 w 200025"/>
                  <a:gd name="connsiteY3" fmla="*/ 352425 h 4509998"/>
                  <a:gd name="connsiteX4" fmla="*/ 152400 w 200025"/>
                  <a:gd name="connsiteY4" fmla="*/ 371475 h 4509998"/>
                  <a:gd name="connsiteX5" fmla="*/ 180975 w 200025"/>
                  <a:gd name="connsiteY5" fmla="*/ 409575 h 4509998"/>
                  <a:gd name="connsiteX6" fmla="*/ 200025 w 200025"/>
                  <a:gd name="connsiteY6" fmla="*/ 485775 h 4509998"/>
                  <a:gd name="connsiteX7" fmla="*/ 200025 w 200025"/>
                  <a:gd name="connsiteY7" fmla="*/ 3971925 h 4509998"/>
                  <a:gd name="connsiteX8" fmla="*/ 183593 w 200025"/>
                  <a:gd name="connsiteY8" fmla="*/ 4068985 h 4509998"/>
                  <a:gd name="connsiteX9" fmla="*/ 148378 w 200025"/>
                  <a:gd name="connsiteY9" fmla="*/ 4114553 h 4509998"/>
                  <a:gd name="connsiteX10" fmla="*/ 104775 w 200025"/>
                  <a:gd name="connsiteY10" fmla="*/ 4144946 h 4509998"/>
                  <a:gd name="connsiteX11" fmla="*/ 71911 w 200025"/>
                  <a:gd name="connsiteY11" fmla="*/ 4200525 h 4509998"/>
                  <a:gd name="connsiteX12" fmla="*/ 65838 w 200025"/>
                  <a:gd name="connsiteY12" fmla="*/ 4486572 h 4509998"/>
                  <a:gd name="connsiteX13" fmla="*/ 10990 w 200025"/>
                  <a:gd name="connsiteY13" fmla="*/ 4494217 h 4509998"/>
                  <a:gd name="connsiteX14" fmla="*/ 0 w 200025"/>
                  <a:gd name="connsiteY14" fmla="*/ 0 h 4509998"/>
                  <a:gd name="connsiteX15" fmla="*/ 57150 w 200025"/>
                  <a:gd name="connsiteY15" fmla="*/ 0 h 4509998"/>
                  <a:gd name="connsiteX0" fmla="*/ 57150 w 200025"/>
                  <a:gd name="connsiteY0" fmla="*/ 0 h 4508446"/>
                  <a:gd name="connsiteX1" fmla="*/ 57150 w 200025"/>
                  <a:gd name="connsiteY1" fmla="*/ 266700 h 4508446"/>
                  <a:gd name="connsiteX2" fmla="*/ 76200 w 200025"/>
                  <a:gd name="connsiteY2" fmla="*/ 304800 h 4508446"/>
                  <a:gd name="connsiteX3" fmla="*/ 114300 w 200025"/>
                  <a:gd name="connsiteY3" fmla="*/ 352425 h 4508446"/>
                  <a:gd name="connsiteX4" fmla="*/ 152400 w 200025"/>
                  <a:gd name="connsiteY4" fmla="*/ 371475 h 4508446"/>
                  <a:gd name="connsiteX5" fmla="*/ 180975 w 200025"/>
                  <a:gd name="connsiteY5" fmla="*/ 409575 h 4508446"/>
                  <a:gd name="connsiteX6" fmla="*/ 200025 w 200025"/>
                  <a:gd name="connsiteY6" fmla="*/ 485775 h 4508446"/>
                  <a:gd name="connsiteX7" fmla="*/ 200025 w 200025"/>
                  <a:gd name="connsiteY7" fmla="*/ 3971925 h 4508446"/>
                  <a:gd name="connsiteX8" fmla="*/ 183593 w 200025"/>
                  <a:gd name="connsiteY8" fmla="*/ 4068985 h 4508446"/>
                  <a:gd name="connsiteX9" fmla="*/ 148378 w 200025"/>
                  <a:gd name="connsiteY9" fmla="*/ 4114553 h 4508446"/>
                  <a:gd name="connsiteX10" fmla="*/ 104775 w 200025"/>
                  <a:gd name="connsiteY10" fmla="*/ 4144946 h 4508446"/>
                  <a:gd name="connsiteX11" fmla="*/ 71911 w 200025"/>
                  <a:gd name="connsiteY11" fmla="*/ 4200525 h 4508446"/>
                  <a:gd name="connsiteX12" fmla="*/ 68205 w 200025"/>
                  <a:gd name="connsiteY12" fmla="*/ 4484322 h 4508446"/>
                  <a:gd name="connsiteX13" fmla="*/ 10990 w 200025"/>
                  <a:gd name="connsiteY13" fmla="*/ 4494217 h 4508446"/>
                  <a:gd name="connsiteX14" fmla="*/ 0 w 200025"/>
                  <a:gd name="connsiteY14" fmla="*/ 0 h 4508446"/>
                  <a:gd name="connsiteX15" fmla="*/ 57150 w 200025"/>
                  <a:gd name="connsiteY15" fmla="*/ 0 h 4508446"/>
                  <a:gd name="connsiteX0" fmla="*/ 57150 w 200025"/>
                  <a:gd name="connsiteY0" fmla="*/ 0 h 4497757"/>
                  <a:gd name="connsiteX1" fmla="*/ 57150 w 200025"/>
                  <a:gd name="connsiteY1" fmla="*/ 266700 h 4497757"/>
                  <a:gd name="connsiteX2" fmla="*/ 76200 w 200025"/>
                  <a:gd name="connsiteY2" fmla="*/ 304800 h 4497757"/>
                  <a:gd name="connsiteX3" fmla="*/ 114300 w 200025"/>
                  <a:gd name="connsiteY3" fmla="*/ 352425 h 4497757"/>
                  <a:gd name="connsiteX4" fmla="*/ 152400 w 200025"/>
                  <a:gd name="connsiteY4" fmla="*/ 371475 h 4497757"/>
                  <a:gd name="connsiteX5" fmla="*/ 180975 w 200025"/>
                  <a:gd name="connsiteY5" fmla="*/ 409575 h 4497757"/>
                  <a:gd name="connsiteX6" fmla="*/ 200025 w 200025"/>
                  <a:gd name="connsiteY6" fmla="*/ 485775 h 4497757"/>
                  <a:gd name="connsiteX7" fmla="*/ 200025 w 200025"/>
                  <a:gd name="connsiteY7" fmla="*/ 3971925 h 4497757"/>
                  <a:gd name="connsiteX8" fmla="*/ 183593 w 200025"/>
                  <a:gd name="connsiteY8" fmla="*/ 4068985 h 4497757"/>
                  <a:gd name="connsiteX9" fmla="*/ 148378 w 200025"/>
                  <a:gd name="connsiteY9" fmla="*/ 4114553 h 4497757"/>
                  <a:gd name="connsiteX10" fmla="*/ 104775 w 200025"/>
                  <a:gd name="connsiteY10" fmla="*/ 4144946 h 4497757"/>
                  <a:gd name="connsiteX11" fmla="*/ 71911 w 200025"/>
                  <a:gd name="connsiteY11" fmla="*/ 4200525 h 4497757"/>
                  <a:gd name="connsiteX12" fmla="*/ 68205 w 200025"/>
                  <a:gd name="connsiteY12" fmla="*/ 4484322 h 4497757"/>
                  <a:gd name="connsiteX13" fmla="*/ 10990 w 200025"/>
                  <a:gd name="connsiteY13" fmla="*/ 4494217 h 4497757"/>
                  <a:gd name="connsiteX14" fmla="*/ 0 w 200025"/>
                  <a:gd name="connsiteY14" fmla="*/ 0 h 4497757"/>
                  <a:gd name="connsiteX15" fmla="*/ 57150 w 200025"/>
                  <a:gd name="connsiteY15" fmla="*/ 0 h 4497757"/>
                  <a:gd name="connsiteX0" fmla="*/ 57150 w 200025"/>
                  <a:gd name="connsiteY0" fmla="*/ 0 h 4498002"/>
                  <a:gd name="connsiteX1" fmla="*/ 57150 w 200025"/>
                  <a:gd name="connsiteY1" fmla="*/ 266700 h 4498002"/>
                  <a:gd name="connsiteX2" fmla="*/ 76200 w 200025"/>
                  <a:gd name="connsiteY2" fmla="*/ 304800 h 4498002"/>
                  <a:gd name="connsiteX3" fmla="*/ 114300 w 200025"/>
                  <a:gd name="connsiteY3" fmla="*/ 352425 h 4498002"/>
                  <a:gd name="connsiteX4" fmla="*/ 152400 w 200025"/>
                  <a:gd name="connsiteY4" fmla="*/ 371475 h 4498002"/>
                  <a:gd name="connsiteX5" fmla="*/ 180975 w 200025"/>
                  <a:gd name="connsiteY5" fmla="*/ 409575 h 4498002"/>
                  <a:gd name="connsiteX6" fmla="*/ 200025 w 200025"/>
                  <a:gd name="connsiteY6" fmla="*/ 485775 h 4498002"/>
                  <a:gd name="connsiteX7" fmla="*/ 200025 w 200025"/>
                  <a:gd name="connsiteY7" fmla="*/ 3971925 h 4498002"/>
                  <a:gd name="connsiteX8" fmla="*/ 183593 w 200025"/>
                  <a:gd name="connsiteY8" fmla="*/ 4068985 h 4498002"/>
                  <a:gd name="connsiteX9" fmla="*/ 148378 w 200025"/>
                  <a:gd name="connsiteY9" fmla="*/ 4114553 h 4498002"/>
                  <a:gd name="connsiteX10" fmla="*/ 104775 w 200025"/>
                  <a:gd name="connsiteY10" fmla="*/ 4144946 h 4498002"/>
                  <a:gd name="connsiteX11" fmla="*/ 71911 w 200025"/>
                  <a:gd name="connsiteY11" fmla="*/ 4200525 h 4498002"/>
                  <a:gd name="connsiteX12" fmla="*/ 68205 w 200025"/>
                  <a:gd name="connsiteY12" fmla="*/ 4484322 h 4498002"/>
                  <a:gd name="connsiteX13" fmla="*/ 10990 w 200025"/>
                  <a:gd name="connsiteY13" fmla="*/ 4494217 h 4498002"/>
                  <a:gd name="connsiteX14" fmla="*/ 0 w 200025"/>
                  <a:gd name="connsiteY14" fmla="*/ 0 h 4498002"/>
                  <a:gd name="connsiteX15" fmla="*/ 57150 w 200025"/>
                  <a:gd name="connsiteY15" fmla="*/ 0 h 4498002"/>
                  <a:gd name="connsiteX0" fmla="*/ 57150 w 200025"/>
                  <a:gd name="connsiteY0" fmla="*/ 0 h 4494217"/>
                  <a:gd name="connsiteX1" fmla="*/ 57150 w 200025"/>
                  <a:gd name="connsiteY1" fmla="*/ 266700 h 4494217"/>
                  <a:gd name="connsiteX2" fmla="*/ 76200 w 200025"/>
                  <a:gd name="connsiteY2" fmla="*/ 304800 h 4494217"/>
                  <a:gd name="connsiteX3" fmla="*/ 114300 w 200025"/>
                  <a:gd name="connsiteY3" fmla="*/ 352425 h 4494217"/>
                  <a:gd name="connsiteX4" fmla="*/ 152400 w 200025"/>
                  <a:gd name="connsiteY4" fmla="*/ 371475 h 4494217"/>
                  <a:gd name="connsiteX5" fmla="*/ 180975 w 200025"/>
                  <a:gd name="connsiteY5" fmla="*/ 409575 h 4494217"/>
                  <a:gd name="connsiteX6" fmla="*/ 200025 w 200025"/>
                  <a:gd name="connsiteY6" fmla="*/ 485775 h 4494217"/>
                  <a:gd name="connsiteX7" fmla="*/ 200025 w 200025"/>
                  <a:gd name="connsiteY7" fmla="*/ 3971925 h 4494217"/>
                  <a:gd name="connsiteX8" fmla="*/ 183593 w 200025"/>
                  <a:gd name="connsiteY8" fmla="*/ 4068985 h 4494217"/>
                  <a:gd name="connsiteX9" fmla="*/ 148378 w 200025"/>
                  <a:gd name="connsiteY9" fmla="*/ 4114553 h 4494217"/>
                  <a:gd name="connsiteX10" fmla="*/ 104775 w 200025"/>
                  <a:gd name="connsiteY10" fmla="*/ 4144946 h 4494217"/>
                  <a:gd name="connsiteX11" fmla="*/ 71911 w 200025"/>
                  <a:gd name="connsiteY11" fmla="*/ 4200525 h 4494217"/>
                  <a:gd name="connsiteX12" fmla="*/ 68205 w 200025"/>
                  <a:gd name="connsiteY12" fmla="*/ 4484322 h 4494217"/>
                  <a:gd name="connsiteX13" fmla="*/ 10990 w 200025"/>
                  <a:gd name="connsiteY13" fmla="*/ 4494217 h 4494217"/>
                  <a:gd name="connsiteX14" fmla="*/ 0 w 200025"/>
                  <a:gd name="connsiteY14" fmla="*/ 0 h 4494217"/>
                  <a:gd name="connsiteX15" fmla="*/ 57150 w 200025"/>
                  <a:gd name="connsiteY15" fmla="*/ 0 h 4494217"/>
                  <a:gd name="connsiteX0" fmla="*/ 57150 w 200025"/>
                  <a:gd name="connsiteY0" fmla="*/ 0 h 4494217"/>
                  <a:gd name="connsiteX1" fmla="*/ 57150 w 200025"/>
                  <a:gd name="connsiteY1" fmla="*/ 266700 h 4494217"/>
                  <a:gd name="connsiteX2" fmla="*/ 76200 w 200025"/>
                  <a:gd name="connsiteY2" fmla="*/ 304800 h 4494217"/>
                  <a:gd name="connsiteX3" fmla="*/ 114300 w 200025"/>
                  <a:gd name="connsiteY3" fmla="*/ 352425 h 4494217"/>
                  <a:gd name="connsiteX4" fmla="*/ 152400 w 200025"/>
                  <a:gd name="connsiteY4" fmla="*/ 371475 h 4494217"/>
                  <a:gd name="connsiteX5" fmla="*/ 180975 w 200025"/>
                  <a:gd name="connsiteY5" fmla="*/ 409575 h 4494217"/>
                  <a:gd name="connsiteX6" fmla="*/ 200025 w 200025"/>
                  <a:gd name="connsiteY6" fmla="*/ 485775 h 4494217"/>
                  <a:gd name="connsiteX7" fmla="*/ 200025 w 200025"/>
                  <a:gd name="connsiteY7" fmla="*/ 3971925 h 4494217"/>
                  <a:gd name="connsiteX8" fmla="*/ 183593 w 200025"/>
                  <a:gd name="connsiteY8" fmla="*/ 4068985 h 4494217"/>
                  <a:gd name="connsiteX9" fmla="*/ 148378 w 200025"/>
                  <a:gd name="connsiteY9" fmla="*/ 4114553 h 4494217"/>
                  <a:gd name="connsiteX10" fmla="*/ 104775 w 200025"/>
                  <a:gd name="connsiteY10" fmla="*/ 4144946 h 4494217"/>
                  <a:gd name="connsiteX11" fmla="*/ 71911 w 200025"/>
                  <a:gd name="connsiteY11" fmla="*/ 4200525 h 4494217"/>
                  <a:gd name="connsiteX12" fmla="*/ 68205 w 200025"/>
                  <a:gd name="connsiteY12" fmla="*/ 4484322 h 4494217"/>
                  <a:gd name="connsiteX13" fmla="*/ 10990 w 200025"/>
                  <a:gd name="connsiteY13" fmla="*/ 4494217 h 4494217"/>
                  <a:gd name="connsiteX14" fmla="*/ 0 w 200025"/>
                  <a:gd name="connsiteY14" fmla="*/ 0 h 4494217"/>
                  <a:gd name="connsiteX15" fmla="*/ 57150 w 200025"/>
                  <a:gd name="connsiteY15" fmla="*/ 0 h 4494217"/>
                  <a:gd name="connsiteX0" fmla="*/ 66176 w 209051"/>
                  <a:gd name="connsiteY0" fmla="*/ 0 h 4506182"/>
                  <a:gd name="connsiteX1" fmla="*/ 66176 w 209051"/>
                  <a:gd name="connsiteY1" fmla="*/ 266700 h 4506182"/>
                  <a:gd name="connsiteX2" fmla="*/ 85226 w 209051"/>
                  <a:gd name="connsiteY2" fmla="*/ 304800 h 4506182"/>
                  <a:gd name="connsiteX3" fmla="*/ 123326 w 209051"/>
                  <a:gd name="connsiteY3" fmla="*/ 352425 h 4506182"/>
                  <a:gd name="connsiteX4" fmla="*/ 161426 w 209051"/>
                  <a:gd name="connsiteY4" fmla="*/ 371475 h 4506182"/>
                  <a:gd name="connsiteX5" fmla="*/ 190001 w 209051"/>
                  <a:gd name="connsiteY5" fmla="*/ 409575 h 4506182"/>
                  <a:gd name="connsiteX6" fmla="*/ 209051 w 209051"/>
                  <a:gd name="connsiteY6" fmla="*/ 485775 h 4506182"/>
                  <a:gd name="connsiteX7" fmla="*/ 209051 w 209051"/>
                  <a:gd name="connsiteY7" fmla="*/ 3971925 h 4506182"/>
                  <a:gd name="connsiteX8" fmla="*/ 192619 w 209051"/>
                  <a:gd name="connsiteY8" fmla="*/ 4068985 h 4506182"/>
                  <a:gd name="connsiteX9" fmla="*/ 157404 w 209051"/>
                  <a:gd name="connsiteY9" fmla="*/ 4114553 h 4506182"/>
                  <a:gd name="connsiteX10" fmla="*/ 113801 w 209051"/>
                  <a:gd name="connsiteY10" fmla="*/ 4144946 h 4506182"/>
                  <a:gd name="connsiteX11" fmla="*/ 80937 w 209051"/>
                  <a:gd name="connsiteY11" fmla="*/ 4200525 h 4506182"/>
                  <a:gd name="connsiteX12" fmla="*/ 77231 w 209051"/>
                  <a:gd name="connsiteY12" fmla="*/ 4484322 h 4506182"/>
                  <a:gd name="connsiteX13" fmla="*/ 555 w 209051"/>
                  <a:gd name="connsiteY13" fmla="*/ 4488095 h 4506182"/>
                  <a:gd name="connsiteX14" fmla="*/ 9026 w 209051"/>
                  <a:gd name="connsiteY14" fmla="*/ 0 h 4506182"/>
                  <a:gd name="connsiteX15" fmla="*/ 66176 w 209051"/>
                  <a:gd name="connsiteY15" fmla="*/ 0 h 4506182"/>
                  <a:gd name="connsiteX0" fmla="*/ 70875 w 213750"/>
                  <a:gd name="connsiteY0" fmla="*/ 0 h 4506182"/>
                  <a:gd name="connsiteX1" fmla="*/ 70875 w 213750"/>
                  <a:gd name="connsiteY1" fmla="*/ 266700 h 4506182"/>
                  <a:gd name="connsiteX2" fmla="*/ 89925 w 213750"/>
                  <a:gd name="connsiteY2" fmla="*/ 304800 h 4506182"/>
                  <a:gd name="connsiteX3" fmla="*/ 128025 w 213750"/>
                  <a:gd name="connsiteY3" fmla="*/ 352425 h 4506182"/>
                  <a:gd name="connsiteX4" fmla="*/ 166125 w 213750"/>
                  <a:gd name="connsiteY4" fmla="*/ 371475 h 4506182"/>
                  <a:gd name="connsiteX5" fmla="*/ 194700 w 213750"/>
                  <a:gd name="connsiteY5" fmla="*/ 409575 h 4506182"/>
                  <a:gd name="connsiteX6" fmla="*/ 213750 w 213750"/>
                  <a:gd name="connsiteY6" fmla="*/ 485775 h 4506182"/>
                  <a:gd name="connsiteX7" fmla="*/ 213750 w 213750"/>
                  <a:gd name="connsiteY7" fmla="*/ 3971925 h 4506182"/>
                  <a:gd name="connsiteX8" fmla="*/ 197318 w 213750"/>
                  <a:gd name="connsiteY8" fmla="*/ 4068985 h 4506182"/>
                  <a:gd name="connsiteX9" fmla="*/ 162103 w 213750"/>
                  <a:gd name="connsiteY9" fmla="*/ 4114553 h 4506182"/>
                  <a:gd name="connsiteX10" fmla="*/ 118500 w 213750"/>
                  <a:gd name="connsiteY10" fmla="*/ 4144946 h 4506182"/>
                  <a:gd name="connsiteX11" fmla="*/ 85636 w 213750"/>
                  <a:gd name="connsiteY11" fmla="*/ 4200525 h 4506182"/>
                  <a:gd name="connsiteX12" fmla="*/ 81930 w 213750"/>
                  <a:gd name="connsiteY12" fmla="*/ 4484322 h 4506182"/>
                  <a:gd name="connsiteX13" fmla="*/ 5254 w 213750"/>
                  <a:gd name="connsiteY13" fmla="*/ 4488095 h 4506182"/>
                  <a:gd name="connsiteX14" fmla="*/ 0 w 213750"/>
                  <a:gd name="connsiteY14" fmla="*/ 0 h 4506182"/>
                  <a:gd name="connsiteX15" fmla="*/ 70875 w 213750"/>
                  <a:gd name="connsiteY15" fmla="*/ 0 h 4506182"/>
                  <a:gd name="connsiteX0" fmla="*/ 70875 w 213750"/>
                  <a:gd name="connsiteY0" fmla="*/ 159408 h 4506182"/>
                  <a:gd name="connsiteX1" fmla="*/ 70875 w 213750"/>
                  <a:gd name="connsiteY1" fmla="*/ 266700 h 4506182"/>
                  <a:gd name="connsiteX2" fmla="*/ 89925 w 213750"/>
                  <a:gd name="connsiteY2" fmla="*/ 304800 h 4506182"/>
                  <a:gd name="connsiteX3" fmla="*/ 128025 w 213750"/>
                  <a:gd name="connsiteY3" fmla="*/ 352425 h 4506182"/>
                  <a:gd name="connsiteX4" fmla="*/ 166125 w 213750"/>
                  <a:gd name="connsiteY4" fmla="*/ 371475 h 4506182"/>
                  <a:gd name="connsiteX5" fmla="*/ 194700 w 213750"/>
                  <a:gd name="connsiteY5" fmla="*/ 409575 h 4506182"/>
                  <a:gd name="connsiteX6" fmla="*/ 213750 w 213750"/>
                  <a:gd name="connsiteY6" fmla="*/ 485775 h 4506182"/>
                  <a:gd name="connsiteX7" fmla="*/ 213750 w 213750"/>
                  <a:gd name="connsiteY7" fmla="*/ 3971925 h 4506182"/>
                  <a:gd name="connsiteX8" fmla="*/ 197318 w 213750"/>
                  <a:gd name="connsiteY8" fmla="*/ 4068985 h 4506182"/>
                  <a:gd name="connsiteX9" fmla="*/ 162103 w 213750"/>
                  <a:gd name="connsiteY9" fmla="*/ 4114553 h 4506182"/>
                  <a:gd name="connsiteX10" fmla="*/ 118500 w 213750"/>
                  <a:gd name="connsiteY10" fmla="*/ 4144946 h 4506182"/>
                  <a:gd name="connsiteX11" fmla="*/ 85636 w 213750"/>
                  <a:gd name="connsiteY11" fmla="*/ 4200525 h 4506182"/>
                  <a:gd name="connsiteX12" fmla="*/ 81930 w 213750"/>
                  <a:gd name="connsiteY12" fmla="*/ 4484322 h 4506182"/>
                  <a:gd name="connsiteX13" fmla="*/ 5254 w 213750"/>
                  <a:gd name="connsiteY13" fmla="*/ 4488095 h 4506182"/>
                  <a:gd name="connsiteX14" fmla="*/ 0 w 213750"/>
                  <a:gd name="connsiteY14" fmla="*/ 0 h 4506182"/>
                  <a:gd name="connsiteX15" fmla="*/ 70875 w 213750"/>
                  <a:gd name="connsiteY15" fmla="*/ 159408 h 4506182"/>
                  <a:gd name="connsiteX0" fmla="*/ 70875 w 213750"/>
                  <a:gd name="connsiteY0" fmla="*/ 18393 h 4365167"/>
                  <a:gd name="connsiteX1" fmla="*/ 70875 w 213750"/>
                  <a:gd name="connsiteY1" fmla="*/ 125685 h 4365167"/>
                  <a:gd name="connsiteX2" fmla="*/ 89925 w 213750"/>
                  <a:gd name="connsiteY2" fmla="*/ 163785 h 4365167"/>
                  <a:gd name="connsiteX3" fmla="*/ 128025 w 213750"/>
                  <a:gd name="connsiteY3" fmla="*/ 211410 h 4365167"/>
                  <a:gd name="connsiteX4" fmla="*/ 166125 w 213750"/>
                  <a:gd name="connsiteY4" fmla="*/ 230460 h 4365167"/>
                  <a:gd name="connsiteX5" fmla="*/ 194700 w 213750"/>
                  <a:gd name="connsiteY5" fmla="*/ 268560 h 4365167"/>
                  <a:gd name="connsiteX6" fmla="*/ 213750 w 213750"/>
                  <a:gd name="connsiteY6" fmla="*/ 344760 h 4365167"/>
                  <a:gd name="connsiteX7" fmla="*/ 213750 w 213750"/>
                  <a:gd name="connsiteY7" fmla="*/ 3830910 h 4365167"/>
                  <a:gd name="connsiteX8" fmla="*/ 197318 w 213750"/>
                  <a:gd name="connsiteY8" fmla="*/ 3927970 h 4365167"/>
                  <a:gd name="connsiteX9" fmla="*/ 162103 w 213750"/>
                  <a:gd name="connsiteY9" fmla="*/ 3973538 h 4365167"/>
                  <a:gd name="connsiteX10" fmla="*/ 118500 w 213750"/>
                  <a:gd name="connsiteY10" fmla="*/ 4003931 h 4365167"/>
                  <a:gd name="connsiteX11" fmla="*/ 85636 w 213750"/>
                  <a:gd name="connsiteY11" fmla="*/ 4059510 h 4365167"/>
                  <a:gd name="connsiteX12" fmla="*/ 81930 w 213750"/>
                  <a:gd name="connsiteY12" fmla="*/ 4343307 h 4365167"/>
                  <a:gd name="connsiteX13" fmla="*/ 5254 w 213750"/>
                  <a:gd name="connsiteY13" fmla="*/ 4347080 h 4365167"/>
                  <a:gd name="connsiteX14" fmla="*/ 0 w 213750"/>
                  <a:gd name="connsiteY14" fmla="*/ 0 h 4365167"/>
                  <a:gd name="connsiteX15" fmla="*/ 70875 w 213750"/>
                  <a:gd name="connsiteY15" fmla="*/ 18393 h 4365167"/>
                  <a:gd name="connsiteX0" fmla="*/ 70875 w 213750"/>
                  <a:gd name="connsiteY0" fmla="*/ 0 h 4371298"/>
                  <a:gd name="connsiteX1" fmla="*/ 70875 w 213750"/>
                  <a:gd name="connsiteY1" fmla="*/ 131816 h 4371298"/>
                  <a:gd name="connsiteX2" fmla="*/ 89925 w 213750"/>
                  <a:gd name="connsiteY2" fmla="*/ 169916 h 4371298"/>
                  <a:gd name="connsiteX3" fmla="*/ 128025 w 213750"/>
                  <a:gd name="connsiteY3" fmla="*/ 217541 h 4371298"/>
                  <a:gd name="connsiteX4" fmla="*/ 166125 w 213750"/>
                  <a:gd name="connsiteY4" fmla="*/ 236591 h 4371298"/>
                  <a:gd name="connsiteX5" fmla="*/ 194700 w 213750"/>
                  <a:gd name="connsiteY5" fmla="*/ 274691 h 4371298"/>
                  <a:gd name="connsiteX6" fmla="*/ 213750 w 213750"/>
                  <a:gd name="connsiteY6" fmla="*/ 350891 h 4371298"/>
                  <a:gd name="connsiteX7" fmla="*/ 213750 w 213750"/>
                  <a:gd name="connsiteY7" fmla="*/ 3837041 h 4371298"/>
                  <a:gd name="connsiteX8" fmla="*/ 197318 w 213750"/>
                  <a:gd name="connsiteY8" fmla="*/ 3934101 h 4371298"/>
                  <a:gd name="connsiteX9" fmla="*/ 162103 w 213750"/>
                  <a:gd name="connsiteY9" fmla="*/ 3979669 h 4371298"/>
                  <a:gd name="connsiteX10" fmla="*/ 118500 w 213750"/>
                  <a:gd name="connsiteY10" fmla="*/ 4010062 h 4371298"/>
                  <a:gd name="connsiteX11" fmla="*/ 85636 w 213750"/>
                  <a:gd name="connsiteY11" fmla="*/ 4065641 h 4371298"/>
                  <a:gd name="connsiteX12" fmla="*/ 81930 w 213750"/>
                  <a:gd name="connsiteY12" fmla="*/ 4349438 h 4371298"/>
                  <a:gd name="connsiteX13" fmla="*/ 5254 w 213750"/>
                  <a:gd name="connsiteY13" fmla="*/ 4353211 h 4371298"/>
                  <a:gd name="connsiteX14" fmla="*/ 0 w 213750"/>
                  <a:gd name="connsiteY14" fmla="*/ 6131 h 4371298"/>
                  <a:gd name="connsiteX15" fmla="*/ 70875 w 213750"/>
                  <a:gd name="connsiteY15" fmla="*/ 0 h 4371298"/>
                  <a:gd name="connsiteX0" fmla="*/ 70875 w 213750"/>
                  <a:gd name="connsiteY0" fmla="*/ 6131 h 4365167"/>
                  <a:gd name="connsiteX1" fmla="*/ 70875 w 213750"/>
                  <a:gd name="connsiteY1" fmla="*/ 125685 h 4365167"/>
                  <a:gd name="connsiteX2" fmla="*/ 89925 w 213750"/>
                  <a:gd name="connsiteY2" fmla="*/ 163785 h 4365167"/>
                  <a:gd name="connsiteX3" fmla="*/ 128025 w 213750"/>
                  <a:gd name="connsiteY3" fmla="*/ 211410 h 4365167"/>
                  <a:gd name="connsiteX4" fmla="*/ 166125 w 213750"/>
                  <a:gd name="connsiteY4" fmla="*/ 230460 h 4365167"/>
                  <a:gd name="connsiteX5" fmla="*/ 194700 w 213750"/>
                  <a:gd name="connsiteY5" fmla="*/ 268560 h 4365167"/>
                  <a:gd name="connsiteX6" fmla="*/ 213750 w 213750"/>
                  <a:gd name="connsiteY6" fmla="*/ 344760 h 4365167"/>
                  <a:gd name="connsiteX7" fmla="*/ 213750 w 213750"/>
                  <a:gd name="connsiteY7" fmla="*/ 3830910 h 4365167"/>
                  <a:gd name="connsiteX8" fmla="*/ 197318 w 213750"/>
                  <a:gd name="connsiteY8" fmla="*/ 3927970 h 4365167"/>
                  <a:gd name="connsiteX9" fmla="*/ 162103 w 213750"/>
                  <a:gd name="connsiteY9" fmla="*/ 3973538 h 4365167"/>
                  <a:gd name="connsiteX10" fmla="*/ 118500 w 213750"/>
                  <a:gd name="connsiteY10" fmla="*/ 4003931 h 4365167"/>
                  <a:gd name="connsiteX11" fmla="*/ 85636 w 213750"/>
                  <a:gd name="connsiteY11" fmla="*/ 4059510 h 4365167"/>
                  <a:gd name="connsiteX12" fmla="*/ 81930 w 213750"/>
                  <a:gd name="connsiteY12" fmla="*/ 4343307 h 4365167"/>
                  <a:gd name="connsiteX13" fmla="*/ 5254 w 213750"/>
                  <a:gd name="connsiteY13" fmla="*/ 4347080 h 4365167"/>
                  <a:gd name="connsiteX14" fmla="*/ 0 w 213750"/>
                  <a:gd name="connsiteY14" fmla="*/ 0 h 4365167"/>
                  <a:gd name="connsiteX15" fmla="*/ 70875 w 213750"/>
                  <a:gd name="connsiteY15" fmla="*/ 6131 h 4365167"/>
                  <a:gd name="connsiteX0" fmla="*/ 70875 w 213750"/>
                  <a:gd name="connsiteY0" fmla="*/ 6131 h 4347080"/>
                  <a:gd name="connsiteX1" fmla="*/ 70875 w 213750"/>
                  <a:gd name="connsiteY1" fmla="*/ 125685 h 4347080"/>
                  <a:gd name="connsiteX2" fmla="*/ 89925 w 213750"/>
                  <a:gd name="connsiteY2" fmla="*/ 163785 h 4347080"/>
                  <a:gd name="connsiteX3" fmla="*/ 128025 w 213750"/>
                  <a:gd name="connsiteY3" fmla="*/ 211410 h 4347080"/>
                  <a:gd name="connsiteX4" fmla="*/ 166125 w 213750"/>
                  <a:gd name="connsiteY4" fmla="*/ 230460 h 4347080"/>
                  <a:gd name="connsiteX5" fmla="*/ 194700 w 213750"/>
                  <a:gd name="connsiteY5" fmla="*/ 268560 h 4347080"/>
                  <a:gd name="connsiteX6" fmla="*/ 213750 w 213750"/>
                  <a:gd name="connsiteY6" fmla="*/ 344760 h 4347080"/>
                  <a:gd name="connsiteX7" fmla="*/ 213750 w 213750"/>
                  <a:gd name="connsiteY7" fmla="*/ 3830910 h 4347080"/>
                  <a:gd name="connsiteX8" fmla="*/ 197318 w 213750"/>
                  <a:gd name="connsiteY8" fmla="*/ 3927970 h 4347080"/>
                  <a:gd name="connsiteX9" fmla="*/ 162103 w 213750"/>
                  <a:gd name="connsiteY9" fmla="*/ 3973538 h 4347080"/>
                  <a:gd name="connsiteX10" fmla="*/ 118500 w 213750"/>
                  <a:gd name="connsiteY10" fmla="*/ 4003931 h 4347080"/>
                  <a:gd name="connsiteX11" fmla="*/ 85636 w 213750"/>
                  <a:gd name="connsiteY11" fmla="*/ 4059510 h 4347080"/>
                  <a:gd name="connsiteX12" fmla="*/ 75066 w 213750"/>
                  <a:gd name="connsiteY12" fmla="*/ 4177767 h 4347080"/>
                  <a:gd name="connsiteX13" fmla="*/ 5254 w 213750"/>
                  <a:gd name="connsiteY13" fmla="*/ 4347080 h 4347080"/>
                  <a:gd name="connsiteX14" fmla="*/ 0 w 213750"/>
                  <a:gd name="connsiteY14" fmla="*/ 0 h 4347080"/>
                  <a:gd name="connsiteX15" fmla="*/ 70875 w 213750"/>
                  <a:gd name="connsiteY15" fmla="*/ 6131 h 4347080"/>
                  <a:gd name="connsiteX0" fmla="*/ 70875 w 213750"/>
                  <a:gd name="connsiteY0" fmla="*/ 6131 h 4187390"/>
                  <a:gd name="connsiteX1" fmla="*/ 70875 w 213750"/>
                  <a:gd name="connsiteY1" fmla="*/ 125685 h 4187390"/>
                  <a:gd name="connsiteX2" fmla="*/ 89925 w 213750"/>
                  <a:gd name="connsiteY2" fmla="*/ 163785 h 4187390"/>
                  <a:gd name="connsiteX3" fmla="*/ 128025 w 213750"/>
                  <a:gd name="connsiteY3" fmla="*/ 211410 h 4187390"/>
                  <a:gd name="connsiteX4" fmla="*/ 166125 w 213750"/>
                  <a:gd name="connsiteY4" fmla="*/ 230460 h 4187390"/>
                  <a:gd name="connsiteX5" fmla="*/ 194700 w 213750"/>
                  <a:gd name="connsiteY5" fmla="*/ 268560 h 4187390"/>
                  <a:gd name="connsiteX6" fmla="*/ 213750 w 213750"/>
                  <a:gd name="connsiteY6" fmla="*/ 344760 h 4187390"/>
                  <a:gd name="connsiteX7" fmla="*/ 213750 w 213750"/>
                  <a:gd name="connsiteY7" fmla="*/ 3830910 h 4187390"/>
                  <a:gd name="connsiteX8" fmla="*/ 197318 w 213750"/>
                  <a:gd name="connsiteY8" fmla="*/ 3927970 h 4187390"/>
                  <a:gd name="connsiteX9" fmla="*/ 162103 w 213750"/>
                  <a:gd name="connsiteY9" fmla="*/ 3973538 h 4187390"/>
                  <a:gd name="connsiteX10" fmla="*/ 118500 w 213750"/>
                  <a:gd name="connsiteY10" fmla="*/ 4003931 h 4187390"/>
                  <a:gd name="connsiteX11" fmla="*/ 85636 w 213750"/>
                  <a:gd name="connsiteY11" fmla="*/ 4059510 h 4187390"/>
                  <a:gd name="connsiteX12" fmla="*/ 75066 w 213750"/>
                  <a:gd name="connsiteY12" fmla="*/ 4177767 h 4187390"/>
                  <a:gd name="connsiteX13" fmla="*/ 5254 w 213750"/>
                  <a:gd name="connsiteY13" fmla="*/ 4181540 h 4187390"/>
                  <a:gd name="connsiteX14" fmla="*/ 0 w 213750"/>
                  <a:gd name="connsiteY14" fmla="*/ 0 h 4187390"/>
                  <a:gd name="connsiteX15" fmla="*/ 70875 w 213750"/>
                  <a:gd name="connsiteY15" fmla="*/ 6131 h 4187390"/>
                  <a:gd name="connsiteX0" fmla="*/ 70875 w 213750"/>
                  <a:gd name="connsiteY0" fmla="*/ 6131 h 4227397"/>
                  <a:gd name="connsiteX1" fmla="*/ 70875 w 213750"/>
                  <a:gd name="connsiteY1" fmla="*/ 125685 h 4227397"/>
                  <a:gd name="connsiteX2" fmla="*/ 89925 w 213750"/>
                  <a:gd name="connsiteY2" fmla="*/ 163785 h 4227397"/>
                  <a:gd name="connsiteX3" fmla="*/ 128025 w 213750"/>
                  <a:gd name="connsiteY3" fmla="*/ 211410 h 4227397"/>
                  <a:gd name="connsiteX4" fmla="*/ 166125 w 213750"/>
                  <a:gd name="connsiteY4" fmla="*/ 230460 h 4227397"/>
                  <a:gd name="connsiteX5" fmla="*/ 194700 w 213750"/>
                  <a:gd name="connsiteY5" fmla="*/ 268560 h 4227397"/>
                  <a:gd name="connsiteX6" fmla="*/ 213750 w 213750"/>
                  <a:gd name="connsiteY6" fmla="*/ 344760 h 4227397"/>
                  <a:gd name="connsiteX7" fmla="*/ 213750 w 213750"/>
                  <a:gd name="connsiteY7" fmla="*/ 3830910 h 4227397"/>
                  <a:gd name="connsiteX8" fmla="*/ 197318 w 213750"/>
                  <a:gd name="connsiteY8" fmla="*/ 3927970 h 4227397"/>
                  <a:gd name="connsiteX9" fmla="*/ 162103 w 213750"/>
                  <a:gd name="connsiteY9" fmla="*/ 3973538 h 4227397"/>
                  <a:gd name="connsiteX10" fmla="*/ 118500 w 213750"/>
                  <a:gd name="connsiteY10" fmla="*/ 4003931 h 4227397"/>
                  <a:gd name="connsiteX11" fmla="*/ 85636 w 213750"/>
                  <a:gd name="connsiteY11" fmla="*/ 4059510 h 4227397"/>
                  <a:gd name="connsiteX12" fmla="*/ 72698 w 213750"/>
                  <a:gd name="connsiteY12" fmla="*/ 4223410 h 4227397"/>
                  <a:gd name="connsiteX13" fmla="*/ 5254 w 213750"/>
                  <a:gd name="connsiteY13" fmla="*/ 4181540 h 4227397"/>
                  <a:gd name="connsiteX14" fmla="*/ 0 w 213750"/>
                  <a:gd name="connsiteY14" fmla="*/ 0 h 4227397"/>
                  <a:gd name="connsiteX15" fmla="*/ 70875 w 213750"/>
                  <a:gd name="connsiteY15" fmla="*/ 6131 h 4227397"/>
                  <a:gd name="connsiteX0" fmla="*/ 70875 w 213750"/>
                  <a:gd name="connsiteY0" fmla="*/ 6131 h 4235680"/>
                  <a:gd name="connsiteX1" fmla="*/ 70875 w 213750"/>
                  <a:gd name="connsiteY1" fmla="*/ 125685 h 4235680"/>
                  <a:gd name="connsiteX2" fmla="*/ 89925 w 213750"/>
                  <a:gd name="connsiteY2" fmla="*/ 163785 h 4235680"/>
                  <a:gd name="connsiteX3" fmla="*/ 128025 w 213750"/>
                  <a:gd name="connsiteY3" fmla="*/ 211410 h 4235680"/>
                  <a:gd name="connsiteX4" fmla="*/ 166125 w 213750"/>
                  <a:gd name="connsiteY4" fmla="*/ 230460 h 4235680"/>
                  <a:gd name="connsiteX5" fmla="*/ 194700 w 213750"/>
                  <a:gd name="connsiteY5" fmla="*/ 268560 h 4235680"/>
                  <a:gd name="connsiteX6" fmla="*/ 213750 w 213750"/>
                  <a:gd name="connsiteY6" fmla="*/ 344760 h 4235680"/>
                  <a:gd name="connsiteX7" fmla="*/ 213750 w 213750"/>
                  <a:gd name="connsiteY7" fmla="*/ 3830910 h 4235680"/>
                  <a:gd name="connsiteX8" fmla="*/ 197318 w 213750"/>
                  <a:gd name="connsiteY8" fmla="*/ 3927970 h 4235680"/>
                  <a:gd name="connsiteX9" fmla="*/ 162103 w 213750"/>
                  <a:gd name="connsiteY9" fmla="*/ 3973538 h 4235680"/>
                  <a:gd name="connsiteX10" fmla="*/ 118500 w 213750"/>
                  <a:gd name="connsiteY10" fmla="*/ 4003931 h 4235680"/>
                  <a:gd name="connsiteX11" fmla="*/ 85636 w 213750"/>
                  <a:gd name="connsiteY11" fmla="*/ 4059510 h 4235680"/>
                  <a:gd name="connsiteX12" fmla="*/ 72698 w 213750"/>
                  <a:gd name="connsiteY12" fmla="*/ 4223410 h 4235680"/>
                  <a:gd name="connsiteX13" fmla="*/ 5254 w 213750"/>
                  <a:gd name="connsiteY13" fmla="*/ 4225109 h 4235680"/>
                  <a:gd name="connsiteX14" fmla="*/ 0 w 213750"/>
                  <a:gd name="connsiteY14" fmla="*/ 0 h 4235680"/>
                  <a:gd name="connsiteX15" fmla="*/ 70875 w 213750"/>
                  <a:gd name="connsiteY15" fmla="*/ 6131 h 4235680"/>
                  <a:gd name="connsiteX0" fmla="*/ 70875 w 213750"/>
                  <a:gd name="connsiteY0" fmla="*/ 6131 h 4227615"/>
                  <a:gd name="connsiteX1" fmla="*/ 70875 w 213750"/>
                  <a:gd name="connsiteY1" fmla="*/ 125685 h 4227615"/>
                  <a:gd name="connsiteX2" fmla="*/ 89925 w 213750"/>
                  <a:gd name="connsiteY2" fmla="*/ 163785 h 4227615"/>
                  <a:gd name="connsiteX3" fmla="*/ 128025 w 213750"/>
                  <a:gd name="connsiteY3" fmla="*/ 211410 h 4227615"/>
                  <a:gd name="connsiteX4" fmla="*/ 166125 w 213750"/>
                  <a:gd name="connsiteY4" fmla="*/ 230460 h 4227615"/>
                  <a:gd name="connsiteX5" fmla="*/ 194700 w 213750"/>
                  <a:gd name="connsiteY5" fmla="*/ 268560 h 4227615"/>
                  <a:gd name="connsiteX6" fmla="*/ 213750 w 213750"/>
                  <a:gd name="connsiteY6" fmla="*/ 344760 h 4227615"/>
                  <a:gd name="connsiteX7" fmla="*/ 213750 w 213750"/>
                  <a:gd name="connsiteY7" fmla="*/ 3830910 h 4227615"/>
                  <a:gd name="connsiteX8" fmla="*/ 197318 w 213750"/>
                  <a:gd name="connsiteY8" fmla="*/ 3927970 h 4227615"/>
                  <a:gd name="connsiteX9" fmla="*/ 162103 w 213750"/>
                  <a:gd name="connsiteY9" fmla="*/ 3973538 h 4227615"/>
                  <a:gd name="connsiteX10" fmla="*/ 118500 w 213750"/>
                  <a:gd name="connsiteY10" fmla="*/ 4003931 h 4227615"/>
                  <a:gd name="connsiteX11" fmla="*/ 85636 w 213750"/>
                  <a:gd name="connsiteY11" fmla="*/ 4059510 h 4227615"/>
                  <a:gd name="connsiteX12" fmla="*/ 72698 w 213750"/>
                  <a:gd name="connsiteY12" fmla="*/ 4223410 h 4227615"/>
                  <a:gd name="connsiteX13" fmla="*/ 5254 w 213750"/>
                  <a:gd name="connsiteY13" fmla="*/ 4183615 h 4227615"/>
                  <a:gd name="connsiteX14" fmla="*/ 0 w 213750"/>
                  <a:gd name="connsiteY14" fmla="*/ 0 h 4227615"/>
                  <a:gd name="connsiteX15" fmla="*/ 70875 w 213750"/>
                  <a:gd name="connsiteY15" fmla="*/ 6131 h 4227615"/>
                  <a:gd name="connsiteX0" fmla="*/ 70875 w 213750"/>
                  <a:gd name="connsiteY0" fmla="*/ 6131 h 4197649"/>
                  <a:gd name="connsiteX1" fmla="*/ 70875 w 213750"/>
                  <a:gd name="connsiteY1" fmla="*/ 125685 h 4197649"/>
                  <a:gd name="connsiteX2" fmla="*/ 89925 w 213750"/>
                  <a:gd name="connsiteY2" fmla="*/ 163785 h 4197649"/>
                  <a:gd name="connsiteX3" fmla="*/ 128025 w 213750"/>
                  <a:gd name="connsiteY3" fmla="*/ 211410 h 4197649"/>
                  <a:gd name="connsiteX4" fmla="*/ 166125 w 213750"/>
                  <a:gd name="connsiteY4" fmla="*/ 230460 h 4197649"/>
                  <a:gd name="connsiteX5" fmla="*/ 194700 w 213750"/>
                  <a:gd name="connsiteY5" fmla="*/ 268560 h 4197649"/>
                  <a:gd name="connsiteX6" fmla="*/ 213750 w 213750"/>
                  <a:gd name="connsiteY6" fmla="*/ 344760 h 4197649"/>
                  <a:gd name="connsiteX7" fmla="*/ 213750 w 213750"/>
                  <a:gd name="connsiteY7" fmla="*/ 3830910 h 4197649"/>
                  <a:gd name="connsiteX8" fmla="*/ 197318 w 213750"/>
                  <a:gd name="connsiteY8" fmla="*/ 3927970 h 4197649"/>
                  <a:gd name="connsiteX9" fmla="*/ 162103 w 213750"/>
                  <a:gd name="connsiteY9" fmla="*/ 3973538 h 4197649"/>
                  <a:gd name="connsiteX10" fmla="*/ 118500 w 213750"/>
                  <a:gd name="connsiteY10" fmla="*/ 4003931 h 4197649"/>
                  <a:gd name="connsiteX11" fmla="*/ 85636 w 213750"/>
                  <a:gd name="connsiteY11" fmla="*/ 4059510 h 4197649"/>
                  <a:gd name="connsiteX12" fmla="*/ 63228 w 213750"/>
                  <a:gd name="connsiteY12" fmla="*/ 4190215 h 4197649"/>
                  <a:gd name="connsiteX13" fmla="*/ 5254 w 213750"/>
                  <a:gd name="connsiteY13" fmla="*/ 4183615 h 4197649"/>
                  <a:gd name="connsiteX14" fmla="*/ 0 w 213750"/>
                  <a:gd name="connsiteY14" fmla="*/ 0 h 4197649"/>
                  <a:gd name="connsiteX15" fmla="*/ 70875 w 213750"/>
                  <a:gd name="connsiteY15" fmla="*/ 6131 h 4197649"/>
                  <a:gd name="connsiteX0" fmla="*/ 70875 w 213750"/>
                  <a:gd name="connsiteY0" fmla="*/ 6131 h 4191114"/>
                  <a:gd name="connsiteX1" fmla="*/ 70875 w 213750"/>
                  <a:gd name="connsiteY1" fmla="*/ 125685 h 4191114"/>
                  <a:gd name="connsiteX2" fmla="*/ 89925 w 213750"/>
                  <a:gd name="connsiteY2" fmla="*/ 163785 h 4191114"/>
                  <a:gd name="connsiteX3" fmla="*/ 128025 w 213750"/>
                  <a:gd name="connsiteY3" fmla="*/ 211410 h 4191114"/>
                  <a:gd name="connsiteX4" fmla="*/ 166125 w 213750"/>
                  <a:gd name="connsiteY4" fmla="*/ 230460 h 4191114"/>
                  <a:gd name="connsiteX5" fmla="*/ 194700 w 213750"/>
                  <a:gd name="connsiteY5" fmla="*/ 268560 h 4191114"/>
                  <a:gd name="connsiteX6" fmla="*/ 213750 w 213750"/>
                  <a:gd name="connsiteY6" fmla="*/ 344760 h 4191114"/>
                  <a:gd name="connsiteX7" fmla="*/ 213750 w 213750"/>
                  <a:gd name="connsiteY7" fmla="*/ 3830910 h 4191114"/>
                  <a:gd name="connsiteX8" fmla="*/ 197318 w 213750"/>
                  <a:gd name="connsiteY8" fmla="*/ 3927970 h 4191114"/>
                  <a:gd name="connsiteX9" fmla="*/ 162103 w 213750"/>
                  <a:gd name="connsiteY9" fmla="*/ 3973538 h 4191114"/>
                  <a:gd name="connsiteX10" fmla="*/ 118500 w 213750"/>
                  <a:gd name="connsiteY10" fmla="*/ 4003931 h 4191114"/>
                  <a:gd name="connsiteX11" fmla="*/ 85636 w 213750"/>
                  <a:gd name="connsiteY11" fmla="*/ 4059510 h 4191114"/>
                  <a:gd name="connsiteX12" fmla="*/ 101111 w 213750"/>
                  <a:gd name="connsiteY12" fmla="*/ 4181917 h 4191114"/>
                  <a:gd name="connsiteX13" fmla="*/ 5254 w 213750"/>
                  <a:gd name="connsiteY13" fmla="*/ 4183615 h 4191114"/>
                  <a:gd name="connsiteX14" fmla="*/ 0 w 213750"/>
                  <a:gd name="connsiteY14" fmla="*/ 0 h 4191114"/>
                  <a:gd name="connsiteX15" fmla="*/ 70875 w 213750"/>
                  <a:gd name="connsiteY15" fmla="*/ 6131 h 4191114"/>
                  <a:gd name="connsiteX0" fmla="*/ 70875 w 213750"/>
                  <a:gd name="connsiteY0" fmla="*/ 6131 h 4199792"/>
                  <a:gd name="connsiteX1" fmla="*/ 70875 w 213750"/>
                  <a:gd name="connsiteY1" fmla="*/ 125685 h 4199792"/>
                  <a:gd name="connsiteX2" fmla="*/ 89925 w 213750"/>
                  <a:gd name="connsiteY2" fmla="*/ 163785 h 4199792"/>
                  <a:gd name="connsiteX3" fmla="*/ 128025 w 213750"/>
                  <a:gd name="connsiteY3" fmla="*/ 211410 h 4199792"/>
                  <a:gd name="connsiteX4" fmla="*/ 166125 w 213750"/>
                  <a:gd name="connsiteY4" fmla="*/ 230460 h 4199792"/>
                  <a:gd name="connsiteX5" fmla="*/ 194700 w 213750"/>
                  <a:gd name="connsiteY5" fmla="*/ 268560 h 4199792"/>
                  <a:gd name="connsiteX6" fmla="*/ 213750 w 213750"/>
                  <a:gd name="connsiteY6" fmla="*/ 344760 h 4199792"/>
                  <a:gd name="connsiteX7" fmla="*/ 213750 w 213750"/>
                  <a:gd name="connsiteY7" fmla="*/ 3830910 h 4199792"/>
                  <a:gd name="connsiteX8" fmla="*/ 197318 w 213750"/>
                  <a:gd name="connsiteY8" fmla="*/ 3927970 h 4199792"/>
                  <a:gd name="connsiteX9" fmla="*/ 162103 w 213750"/>
                  <a:gd name="connsiteY9" fmla="*/ 3973538 h 4199792"/>
                  <a:gd name="connsiteX10" fmla="*/ 118500 w 213750"/>
                  <a:gd name="connsiteY10" fmla="*/ 4003931 h 4199792"/>
                  <a:gd name="connsiteX11" fmla="*/ 85636 w 213750"/>
                  <a:gd name="connsiteY11" fmla="*/ 4059510 h 4199792"/>
                  <a:gd name="connsiteX12" fmla="*/ 82295 w 213750"/>
                  <a:gd name="connsiteY12" fmla="*/ 4192773 h 4199792"/>
                  <a:gd name="connsiteX13" fmla="*/ 5254 w 213750"/>
                  <a:gd name="connsiteY13" fmla="*/ 4183615 h 4199792"/>
                  <a:gd name="connsiteX14" fmla="*/ 0 w 213750"/>
                  <a:gd name="connsiteY14" fmla="*/ 0 h 4199792"/>
                  <a:gd name="connsiteX15" fmla="*/ 70875 w 213750"/>
                  <a:gd name="connsiteY15" fmla="*/ 6131 h 41997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13750" h="4199792">
                    <a:moveTo>
                      <a:pt x="70875" y="6131"/>
                    </a:moveTo>
                    <a:lnTo>
                      <a:pt x="70875" y="125685"/>
                    </a:lnTo>
                    <a:lnTo>
                      <a:pt x="89925" y="163785"/>
                    </a:lnTo>
                    <a:lnTo>
                      <a:pt x="128025" y="211410"/>
                    </a:lnTo>
                    <a:lnTo>
                      <a:pt x="166125" y="230460"/>
                    </a:lnTo>
                    <a:lnTo>
                      <a:pt x="194700" y="268560"/>
                    </a:lnTo>
                    <a:lnTo>
                      <a:pt x="213750" y="344760"/>
                    </a:lnTo>
                    <a:lnTo>
                      <a:pt x="213750" y="3830910"/>
                    </a:lnTo>
                    <a:lnTo>
                      <a:pt x="197318" y="3927970"/>
                    </a:lnTo>
                    <a:cubicBezTo>
                      <a:pt x="187604" y="3937493"/>
                      <a:pt x="171817" y="3964015"/>
                      <a:pt x="162103" y="3973538"/>
                    </a:cubicBezTo>
                    <a:lnTo>
                      <a:pt x="118500" y="4003931"/>
                    </a:lnTo>
                    <a:lnTo>
                      <a:pt x="85636" y="4059510"/>
                    </a:lnTo>
                    <a:cubicBezTo>
                      <a:pt x="85636" y="4084910"/>
                      <a:pt x="95692" y="4172089"/>
                      <a:pt x="82295" y="4192773"/>
                    </a:cubicBezTo>
                    <a:cubicBezTo>
                      <a:pt x="68898" y="4213457"/>
                      <a:pt x="60086" y="4181651"/>
                      <a:pt x="5254" y="4183615"/>
                    </a:cubicBezTo>
                    <a:cubicBezTo>
                      <a:pt x="1591" y="2688544"/>
                      <a:pt x="3663" y="1495071"/>
                      <a:pt x="0" y="0"/>
                    </a:cubicBezTo>
                    <a:lnTo>
                      <a:pt x="70875" y="6131"/>
                    </a:lnTo>
                    <a:close/>
                  </a:path>
                </a:pathLst>
              </a:custGeom>
              <a:solidFill>
                <a:schemeClr val="bg2">
                  <a:lumMod val="75000"/>
                </a:schemeClr>
              </a:solidFill>
              <a:ln w="12700">
                <a:solidFill>
                  <a:schemeClr val="bg2">
                    <a:lumMod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99" name="Straight Connector 498"/>
              <xdr:cNvCxnSpPr>
                <a:endCxn id="487" idx="0"/>
              </xdr:cNvCxnSpPr>
            </xdr:nvCxnSpPr>
            <xdr:spPr>
              <a:xfrm>
                <a:off x="8216656" y="7346237"/>
                <a:ext cx="298694"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500" name="Straight Connector 499"/>
              <xdr:cNvCxnSpPr>
                <a:endCxn id="496" idx="2"/>
              </xdr:cNvCxnSpPr>
            </xdr:nvCxnSpPr>
            <xdr:spPr>
              <a:xfrm>
                <a:off x="8201758" y="11714599"/>
                <a:ext cx="313592" cy="4951"/>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grpSp>
      <xdr:grpSp>
        <xdr:nvGrpSpPr>
          <xdr:cNvPr id="501" name="Group 500"/>
          <xdr:cNvGrpSpPr/>
        </xdr:nvGrpSpPr>
        <xdr:grpSpPr>
          <a:xfrm>
            <a:off x="8881214" y="6908980"/>
            <a:ext cx="853336" cy="5267303"/>
            <a:chOff x="7995389" y="6899455"/>
            <a:chExt cx="853336" cy="5267303"/>
          </a:xfrm>
        </xdr:grpSpPr>
        <xdr:grpSp>
          <xdr:nvGrpSpPr>
            <xdr:cNvPr id="502" name="Group 501"/>
            <xdr:cNvGrpSpPr/>
          </xdr:nvGrpSpPr>
          <xdr:grpSpPr>
            <a:xfrm>
              <a:off x="7995389" y="6918505"/>
              <a:ext cx="529486" cy="5248253"/>
              <a:chOff x="7995389" y="6918505"/>
              <a:chExt cx="529486" cy="5248253"/>
            </a:xfrm>
          </xdr:grpSpPr>
          <xdr:sp macro="" textlink="">
            <xdr:nvSpPr>
              <xdr:cNvPr id="529" name="Rectangle 528"/>
              <xdr:cNvSpPr/>
            </xdr:nvSpPr>
            <xdr:spPr>
              <a:xfrm>
                <a:off x="8458689" y="7553687"/>
                <a:ext cx="66186" cy="35577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0" name="Rectangle 529"/>
              <xdr:cNvSpPr/>
            </xdr:nvSpPr>
            <xdr:spPr>
              <a:xfrm>
                <a:off x="8458689" y="8013496"/>
                <a:ext cx="66186" cy="35342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1" name="Rectangle 530"/>
              <xdr:cNvSpPr/>
            </xdr:nvSpPr>
            <xdr:spPr>
              <a:xfrm>
                <a:off x="8458689" y="8460391"/>
                <a:ext cx="66186" cy="35693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2" name="Rectangle 531"/>
              <xdr:cNvSpPr/>
            </xdr:nvSpPr>
            <xdr:spPr>
              <a:xfrm>
                <a:off x="8456308" y="8920199"/>
                <a:ext cx="66186" cy="35342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3" name="Rectangle 532"/>
              <xdr:cNvSpPr/>
            </xdr:nvSpPr>
            <xdr:spPr>
              <a:xfrm>
                <a:off x="8458689" y="9362658"/>
                <a:ext cx="66186" cy="3566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4" name="Rectangle 533"/>
              <xdr:cNvSpPr/>
            </xdr:nvSpPr>
            <xdr:spPr>
              <a:xfrm>
                <a:off x="8458689" y="9824817"/>
                <a:ext cx="66186" cy="353429"/>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5" name="Rectangle 534"/>
              <xdr:cNvSpPr/>
            </xdr:nvSpPr>
            <xdr:spPr>
              <a:xfrm>
                <a:off x="8458689" y="10272871"/>
                <a:ext cx="66186" cy="35577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6" name="Rectangle 535"/>
              <xdr:cNvSpPr/>
            </xdr:nvSpPr>
            <xdr:spPr>
              <a:xfrm>
                <a:off x="8458689" y="10724469"/>
                <a:ext cx="66186" cy="35458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7" name="Rectangle 536"/>
              <xdr:cNvSpPr/>
            </xdr:nvSpPr>
            <xdr:spPr>
              <a:xfrm>
                <a:off x="8453438" y="11174875"/>
                <a:ext cx="71437" cy="353429"/>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8" name="Freeform 537"/>
              <xdr:cNvSpPr/>
            </xdr:nvSpPr>
            <xdr:spPr>
              <a:xfrm flipH="1" flipV="1">
                <a:off x="8262328" y="11872348"/>
                <a:ext cx="257850" cy="294410"/>
              </a:xfrm>
              <a:custGeom>
                <a:avLst/>
                <a:gdLst>
                  <a:gd name="connsiteX0" fmla="*/ 0 w 266700"/>
                  <a:gd name="connsiteY0" fmla="*/ 0 h 295275"/>
                  <a:gd name="connsiteX1" fmla="*/ 266700 w 266700"/>
                  <a:gd name="connsiteY1" fmla="*/ 0 h 295275"/>
                  <a:gd name="connsiteX2" fmla="*/ 266700 w 266700"/>
                  <a:gd name="connsiteY2" fmla="*/ 295275 h 295275"/>
                  <a:gd name="connsiteX0" fmla="*/ 0 w 461372"/>
                  <a:gd name="connsiteY0" fmla="*/ 6046 h 295275"/>
                  <a:gd name="connsiteX1" fmla="*/ 461372 w 461372"/>
                  <a:gd name="connsiteY1" fmla="*/ 0 h 295275"/>
                  <a:gd name="connsiteX2" fmla="*/ 461372 w 461372"/>
                  <a:gd name="connsiteY2" fmla="*/ 295275 h 295275"/>
                </a:gdLst>
                <a:ahLst/>
                <a:cxnLst>
                  <a:cxn ang="0">
                    <a:pos x="connsiteX0" y="connsiteY0"/>
                  </a:cxn>
                  <a:cxn ang="0">
                    <a:pos x="connsiteX1" y="connsiteY1"/>
                  </a:cxn>
                  <a:cxn ang="0">
                    <a:pos x="connsiteX2" y="connsiteY2"/>
                  </a:cxn>
                </a:cxnLst>
                <a:rect l="l" t="t" r="r" b="b"/>
                <a:pathLst>
                  <a:path w="461372" h="295275">
                    <a:moveTo>
                      <a:pt x="0" y="6046"/>
                    </a:moveTo>
                    <a:lnTo>
                      <a:pt x="461372" y="0"/>
                    </a:lnTo>
                    <a:lnTo>
                      <a:pt x="461372" y="295275"/>
                    </a:lnTo>
                  </a:path>
                </a:pathLst>
              </a:cu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39" name="Straight Connector 538"/>
              <xdr:cNvCxnSpPr/>
            </xdr:nvCxnSpPr>
            <xdr:spPr>
              <a:xfrm flipH="1">
                <a:off x="8210550" y="7346237"/>
                <a:ext cx="0" cy="4370968"/>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sp macro="" textlink="">
            <xdr:nvSpPr>
              <xdr:cNvPr id="540" name="Freeform 539"/>
              <xdr:cNvSpPr/>
            </xdr:nvSpPr>
            <xdr:spPr>
              <a:xfrm flipH="1">
                <a:off x="8448675" y="7346237"/>
                <a:ext cx="66675" cy="579683"/>
              </a:xfrm>
              <a:custGeom>
                <a:avLst/>
                <a:gdLst>
                  <a:gd name="connsiteX0" fmla="*/ 0 w 66675"/>
                  <a:gd name="connsiteY0" fmla="*/ 0 h 581025"/>
                  <a:gd name="connsiteX1" fmla="*/ 0 w 66675"/>
                  <a:gd name="connsiteY1" fmla="*/ 200025 h 581025"/>
                  <a:gd name="connsiteX2" fmla="*/ 66675 w 66675"/>
                  <a:gd name="connsiteY2" fmla="*/ 200025 h 581025"/>
                  <a:gd name="connsiteX3" fmla="*/ 66675 w 66675"/>
                  <a:gd name="connsiteY3" fmla="*/ 581025 h 581025"/>
                  <a:gd name="connsiteX4" fmla="*/ 66675 w 66675"/>
                  <a:gd name="connsiteY4" fmla="*/ 581025 h 581025"/>
                  <a:gd name="connsiteX5" fmla="*/ 66675 w 66675"/>
                  <a:gd name="connsiteY5" fmla="*/ 581025 h 581025"/>
                  <a:gd name="connsiteX6" fmla="*/ 66675 w 66675"/>
                  <a:gd name="connsiteY6" fmla="*/ 581025 h 581025"/>
                  <a:gd name="connsiteX7" fmla="*/ 66675 w 66675"/>
                  <a:gd name="connsiteY7" fmla="*/ 581025 h 58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675" h="581025">
                    <a:moveTo>
                      <a:pt x="0" y="0"/>
                    </a:moveTo>
                    <a:lnTo>
                      <a:pt x="0" y="200025"/>
                    </a:lnTo>
                    <a:lnTo>
                      <a:pt x="66675" y="200025"/>
                    </a:lnTo>
                    <a:lnTo>
                      <a:pt x="66675" y="581025"/>
                    </a:lnTo>
                    <a:lnTo>
                      <a:pt x="66675" y="581025"/>
                    </a:lnTo>
                    <a:lnTo>
                      <a:pt x="66675" y="581025"/>
                    </a:lnTo>
                    <a:lnTo>
                      <a:pt x="66675" y="581025"/>
                    </a:lnTo>
                    <a:lnTo>
                      <a:pt x="66675" y="581025"/>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1" name="Freeform 540"/>
              <xdr:cNvSpPr/>
            </xdr:nvSpPr>
            <xdr:spPr>
              <a:xfrm flipH="1">
                <a:off x="8448675" y="7916517"/>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2" name="Freeform 541"/>
              <xdr:cNvSpPr/>
            </xdr:nvSpPr>
            <xdr:spPr>
              <a:xfrm flipH="1">
                <a:off x="8448675" y="8369273"/>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3" name="Freeform 542"/>
              <xdr:cNvSpPr/>
            </xdr:nvSpPr>
            <xdr:spPr>
              <a:xfrm flipH="1">
                <a:off x="8448675" y="8819679"/>
                <a:ext cx="66675" cy="45864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4" name="Freeform 543"/>
              <xdr:cNvSpPr/>
            </xdr:nvSpPr>
            <xdr:spPr>
              <a:xfrm flipH="1">
                <a:off x="8448675" y="9271275"/>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5" name="Freeform 544"/>
              <xdr:cNvSpPr/>
            </xdr:nvSpPr>
            <xdr:spPr>
              <a:xfrm flipH="1">
                <a:off x="8448675" y="9724097"/>
                <a:ext cx="66675" cy="458912"/>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6" name="Freeform 545"/>
              <xdr:cNvSpPr/>
            </xdr:nvSpPr>
            <xdr:spPr>
              <a:xfrm flipH="1">
                <a:off x="8448675" y="10175958"/>
                <a:ext cx="66675" cy="459807"/>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7" name="Freeform 546"/>
              <xdr:cNvSpPr/>
            </xdr:nvSpPr>
            <xdr:spPr>
              <a:xfrm flipH="1">
                <a:off x="8448675" y="10626362"/>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50" name="Freeform 549"/>
              <xdr:cNvSpPr/>
            </xdr:nvSpPr>
            <xdr:spPr>
              <a:xfrm flipH="1">
                <a:off x="8448675" y="11079118"/>
                <a:ext cx="66675" cy="458649"/>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51" name="Freeform 550"/>
              <xdr:cNvSpPr/>
            </xdr:nvSpPr>
            <xdr:spPr>
              <a:xfrm flipH="1">
                <a:off x="8448675" y="11528297"/>
                <a:ext cx="66675" cy="191253"/>
              </a:xfrm>
              <a:custGeom>
                <a:avLst/>
                <a:gdLst>
                  <a:gd name="connsiteX0" fmla="*/ 66675 w 66675"/>
                  <a:gd name="connsiteY0" fmla="*/ 0 h 190500"/>
                  <a:gd name="connsiteX1" fmla="*/ 0 w 66675"/>
                  <a:gd name="connsiteY1" fmla="*/ 2381 h 190500"/>
                  <a:gd name="connsiteX2" fmla="*/ 0 w 66675"/>
                  <a:gd name="connsiteY2" fmla="*/ 190500 h 190500"/>
                  <a:gd name="connsiteX3" fmla="*/ 0 w 66675"/>
                  <a:gd name="connsiteY3" fmla="*/ 190500 h 190500"/>
                </a:gdLst>
                <a:ahLst/>
                <a:cxnLst>
                  <a:cxn ang="0">
                    <a:pos x="connsiteX0" y="connsiteY0"/>
                  </a:cxn>
                  <a:cxn ang="0">
                    <a:pos x="connsiteX1" y="connsiteY1"/>
                  </a:cxn>
                  <a:cxn ang="0">
                    <a:pos x="connsiteX2" y="connsiteY2"/>
                  </a:cxn>
                  <a:cxn ang="0">
                    <a:pos x="connsiteX3" y="connsiteY3"/>
                  </a:cxn>
                </a:cxnLst>
                <a:rect l="l" t="t" r="r" b="b"/>
                <a:pathLst>
                  <a:path w="66675" h="190500">
                    <a:moveTo>
                      <a:pt x="66675" y="0"/>
                    </a:moveTo>
                    <a:lnTo>
                      <a:pt x="0" y="2381"/>
                    </a:lnTo>
                    <a:lnTo>
                      <a:pt x="0" y="190500"/>
                    </a:lnTo>
                    <a:lnTo>
                      <a:pt x="0" y="190500"/>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52" name="Freeform 551"/>
              <xdr:cNvSpPr/>
            </xdr:nvSpPr>
            <xdr:spPr>
              <a:xfrm>
                <a:off x="7995389" y="6918505"/>
                <a:ext cx="266205" cy="292676"/>
              </a:xfrm>
              <a:custGeom>
                <a:avLst/>
                <a:gdLst>
                  <a:gd name="connsiteX0" fmla="*/ 0 w 266700"/>
                  <a:gd name="connsiteY0" fmla="*/ 0 h 295275"/>
                  <a:gd name="connsiteX1" fmla="*/ 266700 w 266700"/>
                  <a:gd name="connsiteY1" fmla="*/ 0 h 295275"/>
                  <a:gd name="connsiteX2" fmla="*/ 266700 w 266700"/>
                  <a:gd name="connsiteY2" fmla="*/ 295275 h 295275"/>
                  <a:gd name="connsiteX0" fmla="*/ 0 w 382286"/>
                  <a:gd name="connsiteY0" fmla="*/ 0 h 295275"/>
                  <a:gd name="connsiteX1" fmla="*/ 382286 w 382286"/>
                  <a:gd name="connsiteY1" fmla="*/ 0 h 295275"/>
                  <a:gd name="connsiteX2" fmla="*/ 382286 w 382286"/>
                  <a:gd name="connsiteY2" fmla="*/ 295275 h 295275"/>
                </a:gdLst>
                <a:ahLst/>
                <a:cxnLst>
                  <a:cxn ang="0">
                    <a:pos x="connsiteX0" y="connsiteY0"/>
                  </a:cxn>
                  <a:cxn ang="0">
                    <a:pos x="connsiteX1" y="connsiteY1"/>
                  </a:cxn>
                  <a:cxn ang="0">
                    <a:pos x="connsiteX2" y="connsiteY2"/>
                  </a:cxn>
                </a:cxnLst>
                <a:rect l="l" t="t" r="r" b="b"/>
                <a:pathLst>
                  <a:path w="382286" h="295275">
                    <a:moveTo>
                      <a:pt x="0" y="0"/>
                    </a:moveTo>
                    <a:lnTo>
                      <a:pt x="382286" y="0"/>
                    </a:lnTo>
                    <a:lnTo>
                      <a:pt x="382286" y="295275"/>
                    </a:lnTo>
                  </a:path>
                </a:pathLst>
              </a:cu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53" name="Freeform 552"/>
              <xdr:cNvSpPr/>
            </xdr:nvSpPr>
            <xdr:spPr>
              <a:xfrm>
                <a:off x="8222697" y="7154468"/>
                <a:ext cx="214972" cy="4817758"/>
              </a:xfrm>
              <a:custGeom>
                <a:avLst/>
                <a:gdLst>
                  <a:gd name="connsiteX0" fmla="*/ 57150 w 200025"/>
                  <a:gd name="connsiteY0" fmla="*/ 0 h 4467225"/>
                  <a:gd name="connsiteX1" fmla="*/ 57150 w 200025"/>
                  <a:gd name="connsiteY1" fmla="*/ 266700 h 4467225"/>
                  <a:gd name="connsiteX2" fmla="*/ 76200 w 200025"/>
                  <a:gd name="connsiteY2" fmla="*/ 304800 h 4467225"/>
                  <a:gd name="connsiteX3" fmla="*/ 114300 w 200025"/>
                  <a:gd name="connsiteY3" fmla="*/ 352425 h 4467225"/>
                  <a:gd name="connsiteX4" fmla="*/ 152400 w 200025"/>
                  <a:gd name="connsiteY4" fmla="*/ 371475 h 4467225"/>
                  <a:gd name="connsiteX5" fmla="*/ 180975 w 200025"/>
                  <a:gd name="connsiteY5" fmla="*/ 409575 h 4467225"/>
                  <a:gd name="connsiteX6" fmla="*/ 200025 w 200025"/>
                  <a:gd name="connsiteY6" fmla="*/ 485775 h 4467225"/>
                  <a:gd name="connsiteX7" fmla="*/ 200025 w 200025"/>
                  <a:gd name="connsiteY7" fmla="*/ 3971925 h 4467225"/>
                  <a:gd name="connsiteX8" fmla="*/ 171450 w 200025"/>
                  <a:gd name="connsiteY8" fmla="*/ 4057650 h 4467225"/>
                  <a:gd name="connsiteX9" fmla="*/ 104775 w 200025"/>
                  <a:gd name="connsiteY9" fmla="*/ 4105275 h 4467225"/>
                  <a:gd name="connsiteX10" fmla="*/ 47625 w 200025"/>
                  <a:gd name="connsiteY10" fmla="*/ 4200525 h 4467225"/>
                  <a:gd name="connsiteX11" fmla="*/ 47625 w 200025"/>
                  <a:gd name="connsiteY11" fmla="*/ 4276725 h 4467225"/>
                  <a:gd name="connsiteX12" fmla="*/ 47625 w 200025"/>
                  <a:gd name="connsiteY12" fmla="*/ 4467225 h 4467225"/>
                  <a:gd name="connsiteX13" fmla="*/ 0 w 200025"/>
                  <a:gd name="connsiteY13" fmla="*/ 0 h 4467225"/>
                  <a:gd name="connsiteX14" fmla="*/ 57150 w 200025"/>
                  <a:gd name="connsiteY14" fmla="*/ 0 h 4467225"/>
                  <a:gd name="connsiteX0" fmla="*/ 57150 w 200025"/>
                  <a:gd name="connsiteY0" fmla="*/ 0 h 4485212"/>
                  <a:gd name="connsiteX1" fmla="*/ 57150 w 200025"/>
                  <a:gd name="connsiteY1" fmla="*/ 266700 h 4485212"/>
                  <a:gd name="connsiteX2" fmla="*/ 76200 w 200025"/>
                  <a:gd name="connsiteY2" fmla="*/ 304800 h 4485212"/>
                  <a:gd name="connsiteX3" fmla="*/ 114300 w 200025"/>
                  <a:gd name="connsiteY3" fmla="*/ 352425 h 4485212"/>
                  <a:gd name="connsiteX4" fmla="*/ 152400 w 200025"/>
                  <a:gd name="connsiteY4" fmla="*/ 371475 h 4485212"/>
                  <a:gd name="connsiteX5" fmla="*/ 180975 w 200025"/>
                  <a:gd name="connsiteY5" fmla="*/ 409575 h 4485212"/>
                  <a:gd name="connsiteX6" fmla="*/ 200025 w 200025"/>
                  <a:gd name="connsiteY6" fmla="*/ 485775 h 4485212"/>
                  <a:gd name="connsiteX7" fmla="*/ 200025 w 200025"/>
                  <a:gd name="connsiteY7" fmla="*/ 3971925 h 4485212"/>
                  <a:gd name="connsiteX8" fmla="*/ 171450 w 200025"/>
                  <a:gd name="connsiteY8" fmla="*/ 4057650 h 4485212"/>
                  <a:gd name="connsiteX9" fmla="*/ 104775 w 200025"/>
                  <a:gd name="connsiteY9" fmla="*/ 4105275 h 4485212"/>
                  <a:gd name="connsiteX10" fmla="*/ 47625 w 200025"/>
                  <a:gd name="connsiteY10" fmla="*/ 4200525 h 4485212"/>
                  <a:gd name="connsiteX11" fmla="*/ 47625 w 200025"/>
                  <a:gd name="connsiteY11" fmla="*/ 4276725 h 4485212"/>
                  <a:gd name="connsiteX12" fmla="*/ 10990 w 200025"/>
                  <a:gd name="connsiteY12" fmla="*/ 4485212 h 4485212"/>
                  <a:gd name="connsiteX13" fmla="*/ 0 w 200025"/>
                  <a:gd name="connsiteY13" fmla="*/ 0 h 4485212"/>
                  <a:gd name="connsiteX14" fmla="*/ 57150 w 200025"/>
                  <a:gd name="connsiteY14" fmla="*/ 0 h 4485212"/>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47625 w 200025"/>
                  <a:gd name="connsiteY10" fmla="*/ 4200525 h 4498149"/>
                  <a:gd name="connsiteX11" fmla="*/ 47625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47625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77980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59767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44946 h 4498149"/>
                  <a:gd name="connsiteX10" fmla="*/ 59767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54449 w 200025"/>
                  <a:gd name="connsiteY9" fmla="*/ 4154223 h 4498149"/>
                  <a:gd name="connsiteX10" fmla="*/ 104775 w 200025"/>
                  <a:gd name="connsiteY10" fmla="*/ 4144946 h 4498149"/>
                  <a:gd name="connsiteX11" fmla="*/ 59767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48378 w 200025"/>
                  <a:gd name="connsiteY9" fmla="*/ 4114553 h 4498149"/>
                  <a:gd name="connsiteX10" fmla="*/ 104775 w 200025"/>
                  <a:gd name="connsiteY10" fmla="*/ 4144946 h 4498149"/>
                  <a:gd name="connsiteX11" fmla="*/ 59767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7810"/>
                  <a:gd name="connsiteX1" fmla="*/ 57150 w 200025"/>
                  <a:gd name="connsiteY1" fmla="*/ 266700 h 4497810"/>
                  <a:gd name="connsiteX2" fmla="*/ 76200 w 200025"/>
                  <a:gd name="connsiteY2" fmla="*/ 304800 h 4497810"/>
                  <a:gd name="connsiteX3" fmla="*/ 114300 w 200025"/>
                  <a:gd name="connsiteY3" fmla="*/ 352425 h 4497810"/>
                  <a:gd name="connsiteX4" fmla="*/ 152400 w 200025"/>
                  <a:gd name="connsiteY4" fmla="*/ 371475 h 4497810"/>
                  <a:gd name="connsiteX5" fmla="*/ 180975 w 200025"/>
                  <a:gd name="connsiteY5" fmla="*/ 409575 h 4497810"/>
                  <a:gd name="connsiteX6" fmla="*/ 200025 w 200025"/>
                  <a:gd name="connsiteY6" fmla="*/ 485775 h 4497810"/>
                  <a:gd name="connsiteX7" fmla="*/ 200025 w 200025"/>
                  <a:gd name="connsiteY7" fmla="*/ 3971925 h 4497810"/>
                  <a:gd name="connsiteX8" fmla="*/ 171450 w 200025"/>
                  <a:gd name="connsiteY8" fmla="*/ 4057650 h 4497810"/>
                  <a:gd name="connsiteX9" fmla="*/ 148378 w 200025"/>
                  <a:gd name="connsiteY9" fmla="*/ 4114553 h 4497810"/>
                  <a:gd name="connsiteX10" fmla="*/ 104775 w 200025"/>
                  <a:gd name="connsiteY10" fmla="*/ 4144946 h 4497810"/>
                  <a:gd name="connsiteX11" fmla="*/ 77981 w 200025"/>
                  <a:gd name="connsiteY11" fmla="*/ 4206192 h 4497810"/>
                  <a:gd name="connsiteX12" fmla="*/ 65838 w 200025"/>
                  <a:gd name="connsiteY12" fmla="*/ 4486572 h 4497810"/>
                  <a:gd name="connsiteX13" fmla="*/ 10990 w 200025"/>
                  <a:gd name="connsiteY13" fmla="*/ 4485212 h 4497810"/>
                  <a:gd name="connsiteX14" fmla="*/ 0 w 200025"/>
                  <a:gd name="connsiteY14" fmla="*/ 0 h 4497810"/>
                  <a:gd name="connsiteX15" fmla="*/ 57150 w 200025"/>
                  <a:gd name="connsiteY15" fmla="*/ 0 h 4497810"/>
                  <a:gd name="connsiteX0" fmla="*/ 57150 w 200025"/>
                  <a:gd name="connsiteY0" fmla="*/ 0 h 4497810"/>
                  <a:gd name="connsiteX1" fmla="*/ 57150 w 200025"/>
                  <a:gd name="connsiteY1" fmla="*/ 266700 h 4497810"/>
                  <a:gd name="connsiteX2" fmla="*/ 76200 w 200025"/>
                  <a:gd name="connsiteY2" fmla="*/ 304800 h 4497810"/>
                  <a:gd name="connsiteX3" fmla="*/ 114300 w 200025"/>
                  <a:gd name="connsiteY3" fmla="*/ 352425 h 4497810"/>
                  <a:gd name="connsiteX4" fmla="*/ 152400 w 200025"/>
                  <a:gd name="connsiteY4" fmla="*/ 371475 h 4497810"/>
                  <a:gd name="connsiteX5" fmla="*/ 180975 w 200025"/>
                  <a:gd name="connsiteY5" fmla="*/ 409575 h 4497810"/>
                  <a:gd name="connsiteX6" fmla="*/ 200025 w 200025"/>
                  <a:gd name="connsiteY6" fmla="*/ 485775 h 4497810"/>
                  <a:gd name="connsiteX7" fmla="*/ 200025 w 200025"/>
                  <a:gd name="connsiteY7" fmla="*/ 3971925 h 4497810"/>
                  <a:gd name="connsiteX8" fmla="*/ 171450 w 200025"/>
                  <a:gd name="connsiteY8" fmla="*/ 4057650 h 4497810"/>
                  <a:gd name="connsiteX9" fmla="*/ 148378 w 200025"/>
                  <a:gd name="connsiteY9" fmla="*/ 4114553 h 4497810"/>
                  <a:gd name="connsiteX10" fmla="*/ 104775 w 200025"/>
                  <a:gd name="connsiteY10" fmla="*/ 4144946 h 4497810"/>
                  <a:gd name="connsiteX11" fmla="*/ 65840 w 200025"/>
                  <a:gd name="connsiteY11" fmla="*/ 4206192 h 4497810"/>
                  <a:gd name="connsiteX12" fmla="*/ 65838 w 200025"/>
                  <a:gd name="connsiteY12" fmla="*/ 4486572 h 4497810"/>
                  <a:gd name="connsiteX13" fmla="*/ 10990 w 200025"/>
                  <a:gd name="connsiteY13" fmla="*/ 4485212 h 4497810"/>
                  <a:gd name="connsiteX14" fmla="*/ 0 w 200025"/>
                  <a:gd name="connsiteY14" fmla="*/ 0 h 4497810"/>
                  <a:gd name="connsiteX15" fmla="*/ 57150 w 200025"/>
                  <a:gd name="connsiteY15" fmla="*/ 0 h 4497810"/>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95735 w 200025"/>
                  <a:gd name="connsiteY8" fmla="*/ 4051983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83593 w 200025"/>
                  <a:gd name="connsiteY8" fmla="*/ 4068985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9506"/>
                  <a:gd name="connsiteX1" fmla="*/ 57150 w 200025"/>
                  <a:gd name="connsiteY1" fmla="*/ 266700 h 4499506"/>
                  <a:gd name="connsiteX2" fmla="*/ 76200 w 200025"/>
                  <a:gd name="connsiteY2" fmla="*/ 304800 h 4499506"/>
                  <a:gd name="connsiteX3" fmla="*/ 114300 w 200025"/>
                  <a:gd name="connsiteY3" fmla="*/ 352425 h 4499506"/>
                  <a:gd name="connsiteX4" fmla="*/ 152400 w 200025"/>
                  <a:gd name="connsiteY4" fmla="*/ 371475 h 4499506"/>
                  <a:gd name="connsiteX5" fmla="*/ 180975 w 200025"/>
                  <a:gd name="connsiteY5" fmla="*/ 409575 h 4499506"/>
                  <a:gd name="connsiteX6" fmla="*/ 200025 w 200025"/>
                  <a:gd name="connsiteY6" fmla="*/ 485775 h 4499506"/>
                  <a:gd name="connsiteX7" fmla="*/ 200025 w 200025"/>
                  <a:gd name="connsiteY7" fmla="*/ 3971925 h 4499506"/>
                  <a:gd name="connsiteX8" fmla="*/ 183593 w 200025"/>
                  <a:gd name="connsiteY8" fmla="*/ 4068985 h 4499506"/>
                  <a:gd name="connsiteX9" fmla="*/ 148378 w 200025"/>
                  <a:gd name="connsiteY9" fmla="*/ 4114553 h 4499506"/>
                  <a:gd name="connsiteX10" fmla="*/ 104775 w 200025"/>
                  <a:gd name="connsiteY10" fmla="*/ 4144946 h 4499506"/>
                  <a:gd name="connsiteX11" fmla="*/ 71911 w 200025"/>
                  <a:gd name="connsiteY11" fmla="*/ 4200525 h 4499506"/>
                  <a:gd name="connsiteX12" fmla="*/ 65838 w 200025"/>
                  <a:gd name="connsiteY12" fmla="*/ 4486572 h 4499506"/>
                  <a:gd name="connsiteX13" fmla="*/ 10990 w 200025"/>
                  <a:gd name="connsiteY13" fmla="*/ 4494217 h 4499506"/>
                  <a:gd name="connsiteX14" fmla="*/ 0 w 200025"/>
                  <a:gd name="connsiteY14" fmla="*/ 0 h 4499506"/>
                  <a:gd name="connsiteX15" fmla="*/ 57150 w 200025"/>
                  <a:gd name="connsiteY15" fmla="*/ 0 h 4499506"/>
                  <a:gd name="connsiteX0" fmla="*/ 57150 w 200025"/>
                  <a:gd name="connsiteY0" fmla="*/ 0 h 4509997"/>
                  <a:gd name="connsiteX1" fmla="*/ 57150 w 200025"/>
                  <a:gd name="connsiteY1" fmla="*/ 266700 h 4509997"/>
                  <a:gd name="connsiteX2" fmla="*/ 76200 w 200025"/>
                  <a:gd name="connsiteY2" fmla="*/ 304800 h 4509997"/>
                  <a:gd name="connsiteX3" fmla="*/ 114300 w 200025"/>
                  <a:gd name="connsiteY3" fmla="*/ 352425 h 4509997"/>
                  <a:gd name="connsiteX4" fmla="*/ 152400 w 200025"/>
                  <a:gd name="connsiteY4" fmla="*/ 371475 h 4509997"/>
                  <a:gd name="connsiteX5" fmla="*/ 180975 w 200025"/>
                  <a:gd name="connsiteY5" fmla="*/ 409575 h 4509997"/>
                  <a:gd name="connsiteX6" fmla="*/ 200025 w 200025"/>
                  <a:gd name="connsiteY6" fmla="*/ 485775 h 4509997"/>
                  <a:gd name="connsiteX7" fmla="*/ 200025 w 200025"/>
                  <a:gd name="connsiteY7" fmla="*/ 3971925 h 4509997"/>
                  <a:gd name="connsiteX8" fmla="*/ 183593 w 200025"/>
                  <a:gd name="connsiteY8" fmla="*/ 4068985 h 4509997"/>
                  <a:gd name="connsiteX9" fmla="*/ 148378 w 200025"/>
                  <a:gd name="connsiteY9" fmla="*/ 4114553 h 4509997"/>
                  <a:gd name="connsiteX10" fmla="*/ 104775 w 200025"/>
                  <a:gd name="connsiteY10" fmla="*/ 4144946 h 4509997"/>
                  <a:gd name="connsiteX11" fmla="*/ 71911 w 200025"/>
                  <a:gd name="connsiteY11" fmla="*/ 4200525 h 4509997"/>
                  <a:gd name="connsiteX12" fmla="*/ 65838 w 200025"/>
                  <a:gd name="connsiteY12" fmla="*/ 4486572 h 4509997"/>
                  <a:gd name="connsiteX13" fmla="*/ 10990 w 200025"/>
                  <a:gd name="connsiteY13" fmla="*/ 4494217 h 4509997"/>
                  <a:gd name="connsiteX14" fmla="*/ 0 w 200025"/>
                  <a:gd name="connsiteY14" fmla="*/ 0 h 4509997"/>
                  <a:gd name="connsiteX15" fmla="*/ 57150 w 200025"/>
                  <a:gd name="connsiteY15" fmla="*/ 0 h 4509997"/>
                  <a:gd name="connsiteX0" fmla="*/ 57150 w 200025"/>
                  <a:gd name="connsiteY0" fmla="*/ 0 h 4509998"/>
                  <a:gd name="connsiteX1" fmla="*/ 57150 w 200025"/>
                  <a:gd name="connsiteY1" fmla="*/ 266700 h 4509998"/>
                  <a:gd name="connsiteX2" fmla="*/ 76200 w 200025"/>
                  <a:gd name="connsiteY2" fmla="*/ 304800 h 4509998"/>
                  <a:gd name="connsiteX3" fmla="*/ 114300 w 200025"/>
                  <a:gd name="connsiteY3" fmla="*/ 352425 h 4509998"/>
                  <a:gd name="connsiteX4" fmla="*/ 152400 w 200025"/>
                  <a:gd name="connsiteY4" fmla="*/ 371475 h 4509998"/>
                  <a:gd name="connsiteX5" fmla="*/ 180975 w 200025"/>
                  <a:gd name="connsiteY5" fmla="*/ 409575 h 4509998"/>
                  <a:gd name="connsiteX6" fmla="*/ 200025 w 200025"/>
                  <a:gd name="connsiteY6" fmla="*/ 485775 h 4509998"/>
                  <a:gd name="connsiteX7" fmla="*/ 200025 w 200025"/>
                  <a:gd name="connsiteY7" fmla="*/ 3971925 h 4509998"/>
                  <a:gd name="connsiteX8" fmla="*/ 183593 w 200025"/>
                  <a:gd name="connsiteY8" fmla="*/ 4068985 h 4509998"/>
                  <a:gd name="connsiteX9" fmla="*/ 148378 w 200025"/>
                  <a:gd name="connsiteY9" fmla="*/ 4114553 h 4509998"/>
                  <a:gd name="connsiteX10" fmla="*/ 104775 w 200025"/>
                  <a:gd name="connsiteY10" fmla="*/ 4144946 h 4509998"/>
                  <a:gd name="connsiteX11" fmla="*/ 71911 w 200025"/>
                  <a:gd name="connsiteY11" fmla="*/ 4200525 h 4509998"/>
                  <a:gd name="connsiteX12" fmla="*/ 65838 w 200025"/>
                  <a:gd name="connsiteY12" fmla="*/ 4486572 h 4509998"/>
                  <a:gd name="connsiteX13" fmla="*/ 10990 w 200025"/>
                  <a:gd name="connsiteY13" fmla="*/ 4494217 h 4509998"/>
                  <a:gd name="connsiteX14" fmla="*/ 0 w 200025"/>
                  <a:gd name="connsiteY14" fmla="*/ 0 h 4509998"/>
                  <a:gd name="connsiteX15" fmla="*/ 57150 w 200025"/>
                  <a:gd name="connsiteY15" fmla="*/ 0 h 4509998"/>
                  <a:gd name="connsiteX0" fmla="*/ 57150 w 200025"/>
                  <a:gd name="connsiteY0" fmla="*/ 0 h 4508446"/>
                  <a:gd name="connsiteX1" fmla="*/ 57150 w 200025"/>
                  <a:gd name="connsiteY1" fmla="*/ 266700 h 4508446"/>
                  <a:gd name="connsiteX2" fmla="*/ 76200 w 200025"/>
                  <a:gd name="connsiteY2" fmla="*/ 304800 h 4508446"/>
                  <a:gd name="connsiteX3" fmla="*/ 114300 w 200025"/>
                  <a:gd name="connsiteY3" fmla="*/ 352425 h 4508446"/>
                  <a:gd name="connsiteX4" fmla="*/ 152400 w 200025"/>
                  <a:gd name="connsiteY4" fmla="*/ 371475 h 4508446"/>
                  <a:gd name="connsiteX5" fmla="*/ 180975 w 200025"/>
                  <a:gd name="connsiteY5" fmla="*/ 409575 h 4508446"/>
                  <a:gd name="connsiteX6" fmla="*/ 200025 w 200025"/>
                  <a:gd name="connsiteY6" fmla="*/ 485775 h 4508446"/>
                  <a:gd name="connsiteX7" fmla="*/ 200025 w 200025"/>
                  <a:gd name="connsiteY7" fmla="*/ 3971925 h 4508446"/>
                  <a:gd name="connsiteX8" fmla="*/ 183593 w 200025"/>
                  <a:gd name="connsiteY8" fmla="*/ 4068985 h 4508446"/>
                  <a:gd name="connsiteX9" fmla="*/ 148378 w 200025"/>
                  <a:gd name="connsiteY9" fmla="*/ 4114553 h 4508446"/>
                  <a:gd name="connsiteX10" fmla="*/ 104775 w 200025"/>
                  <a:gd name="connsiteY10" fmla="*/ 4144946 h 4508446"/>
                  <a:gd name="connsiteX11" fmla="*/ 71911 w 200025"/>
                  <a:gd name="connsiteY11" fmla="*/ 4200525 h 4508446"/>
                  <a:gd name="connsiteX12" fmla="*/ 68205 w 200025"/>
                  <a:gd name="connsiteY12" fmla="*/ 4484322 h 4508446"/>
                  <a:gd name="connsiteX13" fmla="*/ 10990 w 200025"/>
                  <a:gd name="connsiteY13" fmla="*/ 4494217 h 4508446"/>
                  <a:gd name="connsiteX14" fmla="*/ 0 w 200025"/>
                  <a:gd name="connsiteY14" fmla="*/ 0 h 4508446"/>
                  <a:gd name="connsiteX15" fmla="*/ 57150 w 200025"/>
                  <a:gd name="connsiteY15" fmla="*/ 0 h 4508446"/>
                  <a:gd name="connsiteX0" fmla="*/ 57150 w 200025"/>
                  <a:gd name="connsiteY0" fmla="*/ 0 h 4497757"/>
                  <a:gd name="connsiteX1" fmla="*/ 57150 w 200025"/>
                  <a:gd name="connsiteY1" fmla="*/ 266700 h 4497757"/>
                  <a:gd name="connsiteX2" fmla="*/ 76200 w 200025"/>
                  <a:gd name="connsiteY2" fmla="*/ 304800 h 4497757"/>
                  <a:gd name="connsiteX3" fmla="*/ 114300 w 200025"/>
                  <a:gd name="connsiteY3" fmla="*/ 352425 h 4497757"/>
                  <a:gd name="connsiteX4" fmla="*/ 152400 w 200025"/>
                  <a:gd name="connsiteY4" fmla="*/ 371475 h 4497757"/>
                  <a:gd name="connsiteX5" fmla="*/ 180975 w 200025"/>
                  <a:gd name="connsiteY5" fmla="*/ 409575 h 4497757"/>
                  <a:gd name="connsiteX6" fmla="*/ 200025 w 200025"/>
                  <a:gd name="connsiteY6" fmla="*/ 485775 h 4497757"/>
                  <a:gd name="connsiteX7" fmla="*/ 200025 w 200025"/>
                  <a:gd name="connsiteY7" fmla="*/ 3971925 h 4497757"/>
                  <a:gd name="connsiteX8" fmla="*/ 183593 w 200025"/>
                  <a:gd name="connsiteY8" fmla="*/ 4068985 h 4497757"/>
                  <a:gd name="connsiteX9" fmla="*/ 148378 w 200025"/>
                  <a:gd name="connsiteY9" fmla="*/ 4114553 h 4497757"/>
                  <a:gd name="connsiteX10" fmla="*/ 104775 w 200025"/>
                  <a:gd name="connsiteY10" fmla="*/ 4144946 h 4497757"/>
                  <a:gd name="connsiteX11" fmla="*/ 71911 w 200025"/>
                  <a:gd name="connsiteY11" fmla="*/ 4200525 h 4497757"/>
                  <a:gd name="connsiteX12" fmla="*/ 68205 w 200025"/>
                  <a:gd name="connsiteY12" fmla="*/ 4484322 h 4497757"/>
                  <a:gd name="connsiteX13" fmla="*/ 10990 w 200025"/>
                  <a:gd name="connsiteY13" fmla="*/ 4494217 h 4497757"/>
                  <a:gd name="connsiteX14" fmla="*/ 0 w 200025"/>
                  <a:gd name="connsiteY14" fmla="*/ 0 h 4497757"/>
                  <a:gd name="connsiteX15" fmla="*/ 57150 w 200025"/>
                  <a:gd name="connsiteY15" fmla="*/ 0 h 4497757"/>
                  <a:gd name="connsiteX0" fmla="*/ 57150 w 200025"/>
                  <a:gd name="connsiteY0" fmla="*/ 0 h 4498002"/>
                  <a:gd name="connsiteX1" fmla="*/ 57150 w 200025"/>
                  <a:gd name="connsiteY1" fmla="*/ 266700 h 4498002"/>
                  <a:gd name="connsiteX2" fmla="*/ 76200 w 200025"/>
                  <a:gd name="connsiteY2" fmla="*/ 304800 h 4498002"/>
                  <a:gd name="connsiteX3" fmla="*/ 114300 w 200025"/>
                  <a:gd name="connsiteY3" fmla="*/ 352425 h 4498002"/>
                  <a:gd name="connsiteX4" fmla="*/ 152400 w 200025"/>
                  <a:gd name="connsiteY4" fmla="*/ 371475 h 4498002"/>
                  <a:gd name="connsiteX5" fmla="*/ 180975 w 200025"/>
                  <a:gd name="connsiteY5" fmla="*/ 409575 h 4498002"/>
                  <a:gd name="connsiteX6" fmla="*/ 200025 w 200025"/>
                  <a:gd name="connsiteY6" fmla="*/ 485775 h 4498002"/>
                  <a:gd name="connsiteX7" fmla="*/ 200025 w 200025"/>
                  <a:gd name="connsiteY7" fmla="*/ 3971925 h 4498002"/>
                  <a:gd name="connsiteX8" fmla="*/ 183593 w 200025"/>
                  <a:gd name="connsiteY8" fmla="*/ 4068985 h 4498002"/>
                  <a:gd name="connsiteX9" fmla="*/ 148378 w 200025"/>
                  <a:gd name="connsiteY9" fmla="*/ 4114553 h 4498002"/>
                  <a:gd name="connsiteX10" fmla="*/ 104775 w 200025"/>
                  <a:gd name="connsiteY10" fmla="*/ 4144946 h 4498002"/>
                  <a:gd name="connsiteX11" fmla="*/ 71911 w 200025"/>
                  <a:gd name="connsiteY11" fmla="*/ 4200525 h 4498002"/>
                  <a:gd name="connsiteX12" fmla="*/ 68205 w 200025"/>
                  <a:gd name="connsiteY12" fmla="*/ 4484322 h 4498002"/>
                  <a:gd name="connsiteX13" fmla="*/ 10990 w 200025"/>
                  <a:gd name="connsiteY13" fmla="*/ 4494217 h 4498002"/>
                  <a:gd name="connsiteX14" fmla="*/ 0 w 200025"/>
                  <a:gd name="connsiteY14" fmla="*/ 0 h 4498002"/>
                  <a:gd name="connsiteX15" fmla="*/ 57150 w 200025"/>
                  <a:gd name="connsiteY15" fmla="*/ 0 h 4498002"/>
                  <a:gd name="connsiteX0" fmla="*/ 57150 w 200025"/>
                  <a:gd name="connsiteY0" fmla="*/ 0 h 4494217"/>
                  <a:gd name="connsiteX1" fmla="*/ 57150 w 200025"/>
                  <a:gd name="connsiteY1" fmla="*/ 266700 h 4494217"/>
                  <a:gd name="connsiteX2" fmla="*/ 76200 w 200025"/>
                  <a:gd name="connsiteY2" fmla="*/ 304800 h 4494217"/>
                  <a:gd name="connsiteX3" fmla="*/ 114300 w 200025"/>
                  <a:gd name="connsiteY3" fmla="*/ 352425 h 4494217"/>
                  <a:gd name="connsiteX4" fmla="*/ 152400 w 200025"/>
                  <a:gd name="connsiteY4" fmla="*/ 371475 h 4494217"/>
                  <a:gd name="connsiteX5" fmla="*/ 180975 w 200025"/>
                  <a:gd name="connsiteY5" fmla="*/ 409575 h 4494217"/>
                  <a:gd name="connsiteX6" fmla="*/ 200025 w 200025"/>
                  <a:gd name="connsiteY6" fmla="*/ 485775 h 4494217"/>
                  <a:gd name="connsiteX7" fmla="*/ 200025 w 200025"/>
                  <a:gd name="connsiteY7" fmla="*/ 3971925 h 4494217"/>
                  <a:gd name="connsiteX8" fmla="*/ 183593 w 200025"/>
                  <a:gd name="connsiteY8" fmla="*/ 4068985 h 4494217"/>
                  <a:gd name="connsiteX9" fmla="*/ 148378 w 200025"/>
                  <a:gd name="connsiteY9" fmla="*/ 4114553 h 4494217"/>
                  <a:gd name="connsiteX10" fmla="*/ 104775 w 200025"/>
                  <a:gd name="connsiteY10" fmla="*/ 4144946 h 4494217"/>
                  <a:gd name="connsiteX11" fmla="*/ 71911 w 200025"/>
                  <a:gd name="connsiteY11" fmla="*/ 4200525 h 4494217"/>
                  <a:gd name="connsiteX12" fmla="*/ 68205 w 200025"/>
                  <a:gd name="connsiteY12" fmla="*/ 4484322 h 4494217"/>
                  <a:gd name="connsiteX13" fmla="*/ 10990 w 200025"/>
                  <a:gd name="connsiteY13" fmla="*/ 4494217 h 4494217"/>
                  <a:gd name="connsiteX14" fmla="*/ 0 w 200025"/>
                  <a:gd name="connsiteY14" fmla="*/ 0 h 4494217"/>
                  <a:gd name="connsiteX15" fmla="*/ 57150 w 200025"/>
                  <a:gd name="connsiteY15" fmla="*/ 0 h 4494217"/>
                  <a:gd name="connsiteX0" fmla="*/ 57150 w 200025"/>
                  <a:gd name="connsiteY0" fmla="*/ 0 h 4494217"/>
                  <a:gd name="connsiteX1" fmla="*/ 57150 w 200025"/>
                  <a:gd name="connsiteY1" fmla="*/ 266700 h 4494217"/>
                  <a:gd name="connsiteX2" fmla="*/ 76200 w 200025"/>
                  <a:gd name="connsiteY2" fmla="*/ 304800 h 4494217"/>
                  <a:gd name="connsiteX3" fmla="*/ 114300 w 200025"/>
                  <a:gd name="connsiteY3" fmla="*/ 352425 h 4494217"/>
                  <a:gd name="connsiteX4" fmla="*/ 152400 w 200025"/>
                  <a:gd name="connsiteY4" fmla="*/ 371475 h 4494217"/>
                  <a:gd name="connsiteX5" fmla="*/ 180975 w 200025"/>
                  <a:gd name="connsiteY5" fmla="*/ 409575 h 4494217"/>
                  <a:gd name="connsiteX6" fmla="*/ 200025 w 200025"/>
                  <a:gd name="connsiteY6" fmla="*/ 485775 h 4494217"/>
                  <a:gd name="connsiteX7" fmla="*/ 200025 w 200025"/>
                  <a:gd name="connsiteY7" fmla="*/ 3971925 h 4494217"/>
                  <a:gd name="connsiteX8" fmla="*/ 183593 w 200025"/>
                  <a:gd name="connsiteY8" fmla="*/ 4068985 h 4494217"/>
                  <a:gd name="connsiteX9" fmla="*/ 148378 w 200025"/>
                  <a:gd name="connsiteY9" fmla="*/ 4114553 h 4494217"/>
                  <a:gd name="connsiteX10" fmla="*/ 104775 w 200025"/>
                  <a:gd name="connsiteY10" fmla="*/ 4144946 h 4494217"/>
                  <a:gd name="connsiteX11" fmla="*/ 71911 w 200025"/>
                  <a:gd name="connsiteY11" fmla="*/ 4200525 h 4494217"/>
                  <a:gd name="connsiteX12" fmla="*/ 68205 w 200025"/>
                  <a:gd name="connsiteY12" fmla="*/ 4484322 h 4494217"/>
                  <a:gd name="connsiteX13" fmla="*/ 10990 w 200025"/>
                  <a:gd name="connsiteY13" fmla="*/ 4494217 h 4494217"/>
                  <a:gd name="connsiteX14" fmla="*/ 0 w 200025"/>
                  <a:gd name="connsiteY14" fmla="*/ 0 h 4494217"/>
                  <a:gd name="connsiteX15" fmla="*/ 57150 w 200025"/>
                  <a:gd name="connsiteY15" fmla="*/ 0 h 4494217"/>
                  <a:gd name="connsiteX0" fmla="*/ 66176 w 209051"/>
                  <a:gd name="connsiteY0" fmla="*/ 0 h 4506182"/>
                  <a:gd name="connsiteX1" fmla="*/ 66176 w 209051"/>
                  <a:gd name="connsiteY1" fmla="*/ 266700 h 4506182"/>
                  <a:gd name="connsiteX2" fmla="*/ 85226 w 209051"/>
                  <a:gd name="connsiteY2" fmla="*/ 304800 h 4506182"/>
                  <a:gd name="connsiteX3" fmla="*/ 123326 w 209051"/>
                  <a:gd name="connsiteY3" fmla="*/ 352425 h 4506182"/>
                  <a:gd name="connsiteX4" fmla="*/ 161426 w 209051"/>
                  <a:gd name="connsiteY4" fmla="*/ 371475 h 4506182"/>
                  <a:gd name="connsiteX5" fmla="*/ 190001 w 209051"/>
                  <a:gd name="connsiteY5" fmla="*/ 409575 h 4506182"/>
                  <a:gd name="connsiteX6" fmla="*/ 209051 w 209051"/>
                  <a:gd name="connsiteY6" fmla="*/ 485775 h 4506182"/>
                  <a:gd name="connsiteX7" fmla="*/ 209051 w 209051"/>
                  <a:gd name="connsiteY7" fmla="*/ 3971925 h 4506182"/>
                  <a:gd name="connsiteX8" fmla="*/ 192619 w 209051"/>
                  <a:gd name="connsiteY8" fmla="*/ 4068985 h 4506182"/>
                  <a:gd name="connsiteX9" fmla="*/ 157404 w 209051"/>
                  <a:gd name="connsiteY9" fmla="*/ 4114553 h 4506182"/>
                  <a:gd name="connsiteX10" fmla="*/ 113801 w 209051"/>
                  <a:gd name="connsiteY10" fmla="*/ 4144946 h 4506182"/>
                  <a:gd name="connsiteX11" fmla="*/ 80937 w 209051"/>
                  <a:gd name="connsiteY11" fmla="*/ 4200525 h 4506182"/>
                  <a:gd name="connsiteX12" fmla="*/ 77231 w 209051"/>
                  <a:gd name="connsiteY12" fmla="*/ 4484322 h 4506182"/>
                  <a:gd name="connsiteX13" fmla="*/ 555 w 209051"/>
                  <a:gd name="connsiteY13" fmla="*/ 4488095 h 4506182"/>
                  <a:gd name="connsiteX14" fmla="*/ 9026 w 209051"/>
                  <a:gd name="connsiteY14" fmla="*/ 0 h 4506182"/>
                  <a:gd name="connsiteX15" fmla="*/ 66176 w 209051"/>
                  <a:gd name="connsiteY15" fmla="*/ 0 h 4506182"/>
                  <a:gd name="connsiteX0" fmla="*/ 70875 w 213750"/>
                  <a:gd name="connsiteY0" fmla="*/ 0 h 4506182"/>
                  <a:gd name="connsiteX1" fmla="*/ 70875 w 213750"/>
                  <a:gd name="connsiteY1" fmla="*/ 266700 h 4506182"/>
                  <a:gd name="connsiteX2" fmla="*/ 89925 w 213750"/>
                  <a:gd name="connsiteY2" fmla="*/ 304800 h 4506182"/>
                  <a:gd name="connsiteX3" fmla="*/ 128025 w 213750"/>
                  <a:gd name="connsiteY3" fmla="*/ 352425 h 4506182"/>
                  <a:gd name="connsiteX4" fmla="*/ 166125 w 213750"/>
                  <a:gd name="connsiteY4" fmla="*/ 371475 h 4506182"/>
                  <a:gd name="connsiteX5" fmla="*/ 194700 w 213750"/>
                  <a:gd name="connsiteY5" fmla="*/ 409575 h 4506182"/>
                  <a:gd name="connsiteX6" fmla="*/ 213750 w 213750"/>
                  <a:gd name="connsiteY6" fmla="*/ 485775 h 4506182"/>
                  <a:gd name="connsiteX7" fmla="*/ 213750 w 213750"/>
                  <a:gd name="connsiteY7" fmla="*/ 3971925 h 4506182"/>
                  <a:gd name="connsiteX8" fmla="*/ 197318 w 213750"/>
                  <a:gd name="connsiteY8" fmla="*/ 4068985 h 4506182"/>
                  <a:gd name="connsiteX9" fmla="*/ 162103 w 213750"/>
                  <a:gd name="connsiteY9" fmla="*/ 4114553 h 4506182"/>
                  <a:gd name="connsiteX10" fmla="*/ 118500 w 213750"/>
                  <a:gd name="connsiteY10" fmla="*/ 4144946 h 4506182"/>
                  <a:gd name="connsiteX11" fmla="*/ 85636 w 213750"/>
                  <a:gd name="connsiteY11" fmla="*/ 4200525 h 4506182"/>
                  <a:gd name="connsiteX12" fmla="*/ 81930 w 213750"/>
                  <a:gd name="connsiteY12" fmla="*/ 4484322 h 4506182"/>
                  <a:gd name="connsiteX13" fmla="*/ 5254 w 213750"/>
                  <a:gd name="connsiteY13" fmla="*/ 4488095 h 4506182"/>
                  <a:gd name="connsiteX14" fmla="*/ 0 w 213750"/>
                  <a:gd name="connsiteY14" fmla="*/ 0 h 4506182"/>
                  <a:gd name="connsiteX15" fmla="*/ 70875 w 213750"/>
                  <a:gd name="connsiteY15" fmla="*/ 0 h 4506182"/>
                  <a:gd name="connsiteX0" fmla="*/ 70875 w 213750"/>
                  <a:gd name="connsiteY0" fmla="*/ 159408 h 4506182"/>
                  <a:gd name="connsiteX1" fmla="*/ 70875 w 213750"/>
                  <a:gd name="connsiteY1" fmla="*/ 266700 h 4506182"/>
                  <a:gd name="connsiteX2" fmla="*/ 89925 w 213750"/>
                  <a:gd name="connsiteY2" fmla="*/ 304800 h 4506182"/>
                  <a:gd name="connsiteX3" fmla="*/ 128025 w 213750"/>
                  <a:gd name="connsiteY3" fmla="*/ 352425 h 4506182"/>
                  <a:gd name="connsiteX4" fmla="*/ 166125 w 213750"/>
                  <a:gd name="connsiteY4" fmla="*/ 371475 h 4506182"/>
                  <a:gd name="connsiteX5" fmla="*/ 194700 w 213750"/>
                  <a:gd name="connsiteY5" fmla="*/ 409575 h 4506182"/>
                  <a:gd name="connsiteX6" fmla="*/ 213750 w 213750"/>
                  <a:gd name="connsiteY6" fmla="*/ 485775 h 4506182"/>
                  <a:gd name="connsiteX7" fmla="*/ 213750 w 213750"/>
                  <a:gd name="connsiteY7" fmla="*/ 3971925 h 4506182"/>
                  <a:gd name="connsiteX8" fmla="*/ 197318 w 213750"/>
                  <a:gd name="connsiteY8" fmla="*/ 4068985 h 4506182"/>
                  <a:gd name="connsiteX9" fmla="*/ 162103 w 213750"/>
                  <a:gd name="connsiteY9" fmla="*/ 4114553 h 4506182"/>
                  <a:gd name="connsiteX10" fmla="*/ 118500 w 213750"/>
                  <a:gd name="connsiteY10" fmla="*/ 4144946 h 4506182"/>
                  <a:gd name="connsiteX11" fmla="*/ 85636 w 213750"/>
                  <a:gd name="connsiteY11" fmla="*/ 4200525 h 4506182"/>
                  <a:gd name="connsiteX12" fmla="*/ 81930 w 213750"/>
                  <a:gd name="connsiteY12" fmla="*/ 4484322 h 4506182"/>
                  <a:gd name="connsiteX13" fmla="*/ 5254 w 213750"/>
                  <a:gd name="connsiteY13" fmla="*/ 4488095 h 4506182"/>
                  <a:gd name="connsiteX14" fmla="*/ 0 w 213750"/>
                  <a:gd name="connsiteY14" fmla="*/ 0 h 4506182"/>
                  <a:gd name="connsiteX15" fmla="*/ 70875 w 213750"/>
                  <a:gd name="connsiteY15" fmla="*/ 159408 h 4506182"/>
                  <a:gd name="connsiteX0" fmla="*/ 70875 w 213750"/>
                  <a:gd name="connsiteY0" fmla="*/ 18393 h 4365167"/>
                  <a:gd name="connsiteX1" fmla="*/ 70875 w 213750"/>
                  <a:gd name="connsiteY1" fmla="*/ 125685 h 4365167"/>
                  <a:gd name="connsiteX2" fmla="*/ 89925 w 213750"/>
                  <a:gd name="connsiteY2" fmla="*/ 163785 h 4365167"/>
                  <a:gd name="connsiteX3" fmla="*/ 128025 w 213750"/>
                  <a:gd name="connsiteY3" fmla="*/ 211410 h 4365167"/>
                  <a:gd name="connsiteX4" fmla="*/ 166125 w 213750"/>
                  <a:gd name="connsiteY4" fmla="*/ 230460 h 4365167"/>
                  <a:gd name="connsiteX5" fmla="*/ 194700 w 213750"/>
                  <a:gd name="connsiteY5" fmla="*/ 268560 h 4365167"/>
                  <a:gd name="connsiteX6" fmla="*/ 213750 w 213750"/>
                  <a:gd name="connsiteY6" fmla="*/ 344760 h 4365167"/>
                  <a:gd name="connsiteX7" fmla="*/ 213750 w 213750"/>
                  <a:gd name="connsiteY7" fmla="*/ 3830910 h 4365167"/>
                  <a:gd name="connsiteX8" fmla="*/ 197318 w 213750"/>
                  <a:gd name="connsiteY8" fmla="*/ 3927970 h 4365167"/>
                  <a:gd name="connsiteX9" fmla="*/ 162103 w 213750"/>
                  <a:gd name="connsiteY9" fmla="*/ 3973538 h 4365167"/>
                  <a:gd name="connsiteX10" fmla="*/ 118500 w 213750"/>
                  <a:gd name="connsiteY10" fmla="*/ 4003931 h 4365167"/>
                  <a:gd name="connsiteX11" fmla="*/ 85636 w 213750"/>
                  <a:gd name="connsiteY11" fmla="*/ 4059510 h 4365167"/>
                  <a:gd name="connsiteX12" fmla="*/ 81930 w 213750"/>
                  <a:gd name="connsiteY12" fmla="*/ 4343307 h 4365167"/>
                  <a:gd name="connsiteX13" fmla="*/ 5254 w 213750"/>
                  <a:gd name="connsiteY13" fmla="*/ 4347080 h 4365167"/>
                  <a:gd name="connsiteX14" fmla="*/ 0 w 213750"/>
                  <a:gd name="connsiteY14" fmla="*/ 0 h 4365167"/>
                  <a:gd name="connsiteX15" fmla="*/ 70875 w 213750"/>
                  <a:gd name="connsiteY15" fmla="*/ 18393 h 4365167"/>
                  <a:gd name="connsiteX0" fmla="*/ 70875 w 213750"/>
                  <a:gd name="connsiteY0" fmla="*/ 0 h 4371298"/>
                  <a:gd name="connsiteX1" fmla="*/ 70875 w 213750"/>
                  <a:gd name="connsiteY1" fmla="*/ 131816 h 4371298"/>
                  <a:gd name="connsiteX2" fmla="*/ 89925 w 213750"/>
                  <a:gd name="connsiteY2" fmla="*/ 169916 h 4371298"/>
                  <a:gd name="connsiteX3" fmla="*/ 128025 w 213750"/>
                  <a:gd name="connsiteY3" fmla="*/ 217541 h 4371298"/>
                  <a:gd name="connsiteX4" fmla="*/ 166125 w 213750"/>
                  <a:gd name="connsiteY4" fmla="*/ 236591 h 4371298"/>
                  <a:gd name="connsiteX5" fmla="*/ 194700 w 213750"/>
                  <a:gd name="connsiteY5" fmla="*/ 274691 h 4371298"/>
                  <a:gd name="connsiteX6" fmla="*/ 213750 w 213750"/>
                  <a:gd name="connsiteY6" fmla="*/ 350891 h 4371298"/>
                  <a:gd name="connsiteX7" fmla="*/ 213750 w 213750"/>
                  <a:gd name="connsiteY7" fmla="*/ 3837041 h 4371298"/>
                  <a:gd name="connsiteX8" fmla="*/ 197318 w 213750"/>
                  <a:gd name="connsiteY8" fmla="*/ 3934101 h 4371298"/>
                  <a:gd name="connsiteX9" fmla="*/ 162103 w 213750"/>
                  <a:gd name="connsiteY9" fmla="*/ 3979669 h 4371298"/>
                  <a:gd name="connsiteX10" fmla="*/ 118500 w 213750"/>
                  <a:gd name="connsiteY10" fmla="*/ 4010062 h 4371298"/>
                  <a:gd name="connsiteX11" fmla="*/ 85636 w 213750"/>
                  <a:gd name="connsiteY11" fmla="*/ 4065641 h 4371298"/>
                  <a:gd name="connsiteX12" fmla="*/ 81930 w 213750"/>
                  <a:gd name="connsiteY12" fmla="*/ 4349438 h 4371298"/>
                  <a:gd name="connsiteX13" fmla="*/ 5254 w 213750"/>
                  <a:gd name="connsiteY13" fmla="*/ 4353211 h 4371298"/>
                  <a:gd name="connsiteX14" fmla="*/ 0 w 213750"/>
                  <a:gd name="connsiteY14" fmla="*/ 6131 h 4371298"/>
                  <a:gd name="connsiteX15" fmla="*/ 70875 w 213750"/>
                  <a:gd name="connsiteY15" fmla="*/ 0 h 4371298"/>
                  <a:gd name="connsiteX0" fmla="*/ 70875 w 213750"/>
                  <a:gd name="connsiteY0" fmla="*/ 6131 h 4365167"/>
                  <a:gd name="connsiteX1" fmla="*/ 70875 w 213750"/>
                  <a:gd name="connsiteY1" fmla="*/ 125685 h 4365167"/>
                  <a:gd name="connsiteX2" fmla="*/ 89925 w 213750"/>
                  <a:gd name="connsiteY2" fmla="*/ 163785 h 4365167"/>
                  <a:gd name="connsiteX3" fmla="*/ 128025 w 213750"/>
                  <a:gd name="connsiteY3" fmla="*/ 211410 h 4365167"/>
                  <a:gd name="connsiteX4" fmla="*/ 166125 w 213750"/>
                  <a:gd name="connsiteY4" fmla="*/ 230460 h 4365167"/>
                  <a:gd name="connsiteX5" fmla="*/ 194700 w 213750"/>
                  <a:gd name="connsiteY5" fmla="*/ 268560 h 4365167"/>
                  <a:gd name="connsiteX6" fmla="*/ 213750 w 213750"/>
                  <a:gd name="connsiteY6" fmla="*/ 344760 h 4365167"/>
                  <a:gd name="connsiteX7" fmla="*/ 213750 w 213750"/>
                  <a:gd name="connsiteY7" fmla="*/ 3830910 h 4365167"/>
                  <a:gd name="connsiteX8" fmla="*/ 197318 w 213750"/>
                  <a:gd name="connsiteY8" fmla="*/ 3927970 h 4365167"/>
                  <a:gd name="connsiteX9" fmla="*/ 162103 w 213750"/>
                  <a:gd name="connsiteY9" fmla="*/ 3973538 h 4365167"/>
                  <a:gd name="connsiteX10" fmla="*/ 118500 w 213750"/>
                  <a:gd name="connsiteY10" fmla="*/ 4003931 h 4365167"/>
                  <a:gd name="connsiteX11" fmla="*/ 85636 w 213750"/>
                  <a:gd name="connsiteY11" fmla="*/ 4059510 h 4365167"/>
                  <a:gd name="connsiteX12" fmla="*/ 81930 w 213750"/>
                  <a:gd name="connsiteY12" fmla="*/ 4343307 h 4365167"/>
                  <a:gd name="connsiteX13" fmla="*/ 5254 w 213750"/>
                  <a:gd name="connsiteY13" fmla="*/ 4347080 h 4365167"/>
                  <a:gd name="connsiteX14" fmla="*/ 0 w 213750"/>
                  <a:gd name="connsiteY14" fmla="*/ 0 h 4365167"/>
                  <a:gd name="connsiteX15" fmla="*/ 70875 w 213750"/>
                  <a:gd name="connsiteY15" fmla="*/ 6131 h 4365167"/>
                  <a:gd name="connsiteX0" fmla="*/ 70875 w 213750"/>
                  <a:gd name="connsiteY0" fmla="*/ 6131 h 4347080"/>
                  <a:gd name="connsiteX1" fmla="*/ 70875 w 213750"/>
                  <a:gd name="connsiteY1" fmla="*/ 125685 h 4347080"/>
                  <a:gd name="connsiteX2" fmla="*/ 89925 w 213750"/>
                  <a:gd name="connsiteY2" fmla="*/ 163785 h 4347080"/>
                  <a:gd name="connsiteX3" fmla="*/ 128025 w 213750"/>
                  <a:gd name="connsiteY3" fmla="*/ 211410 h 4347080"/>
                  <a:gd name="connsiteX4" fmla="*/ 166125 w 213750"/>
                  <a:gd name="connsiteY4" fmla="*/ 230460 h 4347080"/>
                  <a:gd name="connsiteX5" fmla="*/ 194700 w 213750"/>
                  <a:gd name="connsiteY5" fmla="*/ 268560 h 4347080"/>
                  <a:gd name="connsiteX6" fmla="*/ 213750 w 213750"/>
                  <a:gd name="connsiteY6" fmla="*/ 344760 h 4347080"/>
                  <a:gd name="connsiteX7" fmla="*/ 213750 w 213750"/>
                  <a:gd name="connsiteY7" fmla="*/ 3830910 h 4347080"/>
                  <a:gd name="connsiteX8" fmla="*/ 197318 w 213750"/>
                  <a:gd name="connsiteY8" fmla="*/ 3927970 h 4347080"/>
                  <a:gd name="connsiteX9" fmla="*/ 162103 w 213750"/>
                  <a:gd name="connsiteY9" fmla="*/ 3973538 h 4347080"/>
                  <a:gd name="connsiteX10" fmla="*/ 118500 w 213750"/>
                  <a:gd name="connsiteY10" fmla="*/ 4003931 h 4347080"/>
                  <a:gd name="connsiteX11" fmla="*/ 85636 w 213750"/>
                  <a:gd name="connsiteY11" fmla="*/ 4059510 h 4347080"/>
                  <a:gd name="connsiteX12" fmla="*/ 75066 w 213750"/>
                  <a:gd name="connsiteY12" fmla="*/ 4177767 h 4347080"/>
                  <a:gd name="connsiteX13" fmla="*/ 5254 w 213750"/>
                  <a:gd name="connsiteY13" fmla="*/ 4347080 h 4347080"/>
                  <a:gd name="connsiteX14" fmla="*/ 0 w 213750"/>
                  <a:gd name="connsiteY14" fmla="*/ 0 h 4347080"/>
                  <a:gd name="connsiteX15" fmla="*/ 70875 w 213750"/>
                  <a:gd name="connsiteY15" fmla="*/ 6131 h 4347080"/>
                  <a:gd name="connsiteX0" fmla="*/ 70875 w 213750"/>
                  <a:gd name="connsiteY0" fmla="*/ 6131 h 4187390"/>
                  <a:gd name="connsiteX1" fmla="*/ 70875 w 213750"/>
                  <a:gd name="connsiteY1" fmla="*/ 125685 h 4187390"/>
                  <a:gd name="connsiteX2" fmla="*/ 89925 w 213750"/>
                  <a:gd name="connsiteY2" fmla="*/ 163785 h 4187390"/>
                  <a:gd name="connsiteX3" fmla="*/ 128025 w 213750"/>
                  <a:gd name="connsiteY3" fmla="*/ 211410 h 4187390"/>
                  <a:gd name="connsiteX4" fmla="*/ 166125 w 213750"/>
                  <a:gd name="connsiteY4" fmla="*/ 230460 h 4187390"/>
                  <a:gd name="connsiteX5" fmla="*/ 194700 w 213750"/>
                  <a:gd name="connsiteY5" fmla="*/ 268560 h 4187390"/>
                  <a:gd name="connsiteX6" fmla="*/ 213750 w 213750"/>
                  <a:gd name="connsiteY6" fmla="*/ 344760 h 4187390"/>
                  <a:gd name="connsiteX7" fmla="*/ 213750 w 213750"/>
                  <a:gd name="connsiteY7" fmla="*/ 3830910 h 4187390"/>
                  <a:gd name="connsiteX8" fmla="*/ 197318 w 213750"/>
                  <a:gd name="connsiteY8" fmla="*/ 3927970 h 4187390"/>
                  <a:gd name="connsiteX9" fmla="*/ 162103 w 213750"/>
                  <a:gd name="connsiteY9" fmla="*/ 3973538 h 4187390"/>
                  <a:gd name="connsiteX10" fmla="*/ 118500 w 213750"/>
                  <a:gd name="connsiteY10" fmla="*/ 4003931 h 4187390"/>
                  <a:gd name="connsiteX11" fmla="*/ 85636 w 213750"/>
                  <a:gd name="connsiteY11" fmla="*/ 4059510 h 4187390"/>
                  <a:gd name="connsiteX12" fmla="*/ 75066 w 213750"/>
                  <a:gd name="connsiteY12" fmla="*/ 4177767 h 4187390"/>
                  <a:gd name="connsiteX13" fmla="*/ 5254 w 213750"/>
                  <a:gd name="connsiteY13" fmla="*/ 4181540 h 4187390"/>
                  <a:gd name="connsiteX14" fmla="*/ 0 w 213750"/>
                  <a:gd name="connsiteY14" fmla="*/ 0 h 4187390"/>
                  <a:gd name="connsiteX15" fmla="*/ 70875 w 213750"/>
                  <a:gd name="connsiteY15" fmla="*/ 6131 h 4187390"/>
                  <a:gd name="connsiteX0" fmla="*/ 70875 w 213750"/>
                  <a:gd name="connsiteY0" fmla="*/ 6131 h 4227397"/>
                  <a:gd name="connsiteX1" fmla="*/ 70875 w 213750"/>
                  <a:gd name="connsiteY1" fmla="*/ 125685 h 4227397"/>
                  <a:gd name="connsiteX2" fmla="*/ 89925 w 213750"/>
                  <a:gd name="connsiteY2" fmla="*/ 163785 h 4227397"/>
                  <a:gd name="connsiteX3" fmla="*/ 128025 w 213750"/>
                  <a:gd name="connsiteY3" fmla="*/ 211410 h 4227397"/>
                  <a:gd name="connsiteX4" fmla="*/ 166125 w 213750"/>
                  <a:gd name="connsiteY4" fmla="*/ 230460 h 4227397"/>
                  <a:gd name="connsiteX5" fmla="*/ 194700 w 213750"/>
                  <a:gd name="connsiteY5" fmla="*/ 268560 h 4227397"/>
                  <a:gd name="connsiteX6" fmla="*/ 213750 w 213750"/>
                  <a:gd name="connsiteY6" fmla="*/ 344760 h 4227397"/>
                  <a:gd name="connsiteX7" fmla="*/ 213750 w 213750"/>
                  <a:gd name="connsiteY7" fmla="*/ 3830910 h 4227397"/>
                  <a:gd name="connsiteX8" fmla="*/ 197318 w 213750"/>
                  <a:gd name="connsiteY8" fmla="*/ 3927970 h 4227397"/>
                  <a:gd name="connsiteX9" fmla="*/ 162103 w 213750"/>
                  <a:gd name="connsiteY9" fmla="*/ 3973538 h 4227397"/>
                  <a:gd name="connsiteX10" fmla="*/ 118500 w 213750"/>
                  <a:gd name="connsiteY10" fmla="*/ 4003931 h 4227397"/>
                  <a:gd name="connsiteX11" fmla="*/ 85636 w 213750"/>
                  <a:gd name="connsiteY11" fmla="*/ 4059510 h 4227397"/>
                  <a:gd name="connsiteX12" fmla="*/ 72698 w 213750"/>
                  <a:gd name="connsiteY12" fmla="*/ 4223410 h 4227397"/>
                  <a:gd name="connsiteX13" fmla="*/ 5254 w 213750"/>
                  <a:gd name="connsiteY13" fmla="*/ 4181540 h 4227397"/>
                  <a:gd name="connsiteX14" fmla="*/ 0 w 213750"/>
                  <a:gd name="connsiteY14" fmla="*/ 0 h 4227397"/>
                  <a:gd name="connsiteX15" fmla="*/ 70875 w 213750"/>
                  <a:gd name="connsiteY15" fmla="*/ 6131 h 4227397"/>
                  <a:gd name="connsiteX0" fmla="*/ 70875 w 213750"/>
                  <a:gd name="connsiteY0" fmla="*/ 6131 h 4235680"/>
                  <a:gd name="connsiteX1" fmla="*/ 70875 w 213750"/>
                  <a:gd name="connsiteY1" fmla="*/ 125685 h 4235680"/>
                  <a:gd name="connsiteX2" fmla="*/ 89925 w 213750"/>
                  <a:gd name="connsiteY2" fmla="*/ 163785 h 4235680"/>
                  <a:gd name="connsiteX3" fmla="*/ 128025 w 213750"/>
                  <a:gd name="connsiteY3" fmla="*/ 211410 h 4235680"/>
                  <a:gd name="connsiteX4" fmla="*/ 166125 w 213750"/>
                  <a:gd name="connsiteY4" fmla="*/ 230460 h 4235680"/>
                  <a:gd name="connsiteX5" fmla="*/ 194700 w 213750"/>
                  <a:gd name="connsiteY5" fmla="*/ 268560 h 4235680"/>
                  <a:gd name="connsiteX6" fmla="*/ 213750 w 213750"/>
                  <a:gd name="connsiteY6" fmla="*/ 344760 h 4235680"/>
                  <a:gd name="connsiteX7" fmla="*/ 213750 w 213750"/>
                  <a:gd name="connsiteY7" fmla="*/ 3830910 h 4235680"/>
                  <a:gd name="connsiteX8" fmla="*/ 197318 w 213750"/>
                  <a:gd name="connsiteY8" fmla="*/ 3927970 h 4235680"/>
                  <a:gd name="connsiteX9" fmla="*/ 162103 w 213750"/>
                  <a:gd name="connsiteY9" fmla="*/ 3973538 h 4235680"/>
                  <a:gd name="connsiteX10" fmla="*/ 118500 w 213750"/>
                  <a:gd name="connsiteY10" fmla="*/ 4003931 h 4235680"/>
                  <a:gd name="connsiteX11" fmla="*/ 85636 w 213750"/>
                  <a:gd name="connsiteY11" fmla="*/ 4059510 h 4235680"/>
                  <a:gd name="connsiteX12" fmla="*/ 72698 w 213750"/>
                  <a:gd name="connsiteY12" fmla="*/ 4223410 h 4235680"/>
                  <a:gd name="connsiteX13" fmla="*/ 5254 w 213750"/>
                  <a:gd name="connsiteY13" fmla="*/ 4225109 h 4235680"/>
                  <a:gd name="connsiteX14" fmla="*/ 0 w 213750"/>
                  <a:gd name="connsiteY14" fmla="*/ 0 h 4235680"/>
                  <a:gd name="connsiteX15" fmla="*/ 70875 w 213750"/>
                  <a:gd name="connsiteY15" fmla="*/ 6131 h 4235680"/>
                  <a:gd name="connsiteX0" fmla="*/ 70875 w 213750"/>
                  <a:gd name="connsiteY0" fmla="*/ 6131 h 4227615"/>
                  <a:gd name="connsiteX1" fmla="*/ 70875 w 213750"/>
                  <a:gd name="connsiteY1" fmla="*/ 125685 h 4227615"/>
                  <a:gd name="connsiteX2" fmla="*/ 89925 w 213750"/>
                  <a:gd name="connsiteY2" fmla="*/ 163785 h 4227615"/>
                  <a:gd name="connsiteX3" fmla="*/ 128025 w 213750"/>
                  <a:gd name="connsiteY3" fmla="*/ 211410 h 4227615"/>
                  <a:gd name="connsiteX4" fmla="*/ 166125 w 213750"/>
                  <a:gd name="connsiteY4" fmla="*/ 230460 h 4227615"/>
                  <a:gd name="connsiteX5" fmla="*/ 194700 w 213750"/>
                  <a:gd name="connsiteY5" fmla="*/ 268560 h 4227615"/>
                  <a:gd name="connsiteX6" fmla="*/ 213750 w 213750"/>
                  <a:gd name="connsiteY6" fmla="*/ 344760 h 4227615"/>
                  <a:gd name="connsiteX7" fmla="*/ 213750 w 213750"/>
                  <a:gd name="connsiteY7" fmla="*/ 3830910 h 4227615"/>
                  <a:gd name="connsiteX8" fmla="*/ 197318 w 213750"/>
                  <a:gd name="connsiteY8" fmla="*/ 3927970 h 4227615"/>
                  <a:gd name="connsiteX9" fmla="*/ 162103 w 213750"/>
                  <a:gd name="connsiteY9" fmla="*/ 3973538 h 4227615"/>
                  <a:gd name="connsiteX10" fmla="*/ 118500 w 213750"/>
                  <a:gd name="connsiteY10" fmla="*/ 4003931 h 4227615"/>
                  <a:gd name="connsiteX11" fmla="*/ 85636 w 213750"/>
                  <a:gd name="connsiteY11" fmla="*/ 4059510 h 4227615"/>
                  <a:gd name="connsiteX12" fmla="*/ 72698 w 213750"/>
                  <a:gd name="connsiteY12" fmla="*/ 4223410 h 4227615"/>
                  <a:gd name="connsiteX13" fmla="*/ 5254 w 213750"/>
                  <a:gd name="connsiteY13" fmla="*/ 4183615 h 4227615"/>
                  <a:gd name="connsiteX14" fmla="*/ 0 w 213750"/>
                  <a:gd name="connsiteY14" fmla="*/ 0 h 4227615"/>
                  <a:gd name="connsiteX15" fmla="*/ 70875 w 213750"/>
                  <a:gd name="connsiteY15" fmla="*/ 6131 h 4227615"/>
                  <a:gd name="connsiteX0" fmla="*/ 70875 w 213750"/>
                  <a:gd name="connsiteY0" fmla="*/ 6131 h 4197649"/>
                  <a:gd name="connsiteX1" fmla="*/ 70875 w 213750"/>
                  <a:gd name="connsiteY1" fmla="*/ 125685 h 4197649"/>
                  <a:gd name="connsiteX2" fmla="*/ 89925 w 213750"/>
                  <a:gd name="connsiteY2" fmla="*/ 163785 h 4197649"/>
                  <a:gd name="connsiteX3" fmla="*/ 128025 w 213750"/>
                  <a:gd name="connsiteY3" fmla="*/ 211410 h 4197649"/>
                  <a:gd name="connsiteX4" fmla="*/ 166125 w 213750"/>
                  <a:gd name="connsiteY4" fmla="*/ 230460 h 4197649"/>
                  <a:gd name="connsiteX5" fmla="*/ 194700 w 213750"/>
                  <a:gd name="connsiteY5" fmla="*/ 268560 h 4197649"/>
                  <a:gd name="connsiteX6" fmla="*/ 213750 w 213750"/>
                  <a:gd name="connsiteY6" fmla="*/ 344760 h 4197649"/>
                  <a:gd name="connsiteX7" fmla="*/ 213750 w 213750"/>
                  <a:gd name="connsiteY7" fmla="*/ 3830910 h 4197649"/>
                  <a:gd name="connsiteX8" fmla="*/ 197318 w 213750"/>
                  <a:gd name="connsiteY8" fmla="*/ 3927970 h 4197649"/>
                  <a:gd name="connsiteX9" fmla="*/ 162103 w 213750"/>
                  <a:gd name="connsiteY9" fmla="*/ 3973538 h 4197649"/>
                  <a:gd name="connsiteX10" fmla="*/ 118500 w 213750"/>
                  <a:gd name="connsiteY10" fmla="*/ 4003931 h 4197649"/>
                  <a:gd name="connsiteX11" fmla="*/ 85636 w 213750"/>
                  <a:gd name="connsiteY11" fmla="*/ 4059510 h 4197649"/>
                  <a:gd name="connsiteX12" fmla="*/ 63228 w 213750"/>
                  <a:gd name="connsiteY12" fmla="*/ 4190215 h 4197649"/>
                  <a:gd name="connsiteX13" fmla="*/ 5254 w 213750"/>
                  <a:gd name="connsiteY13" fmla="*/ 4183615 h 4197649"/>
                  <a:gd name="connsiteX14" fmla="*/ 0 w 213750"/>
                  <a:gd name="connsiteY14" fmla="*/ 0 h 4197649"/>
                  <a:gd name="connsiteX15" fmla="*/ 70875 w 213750"/>
                  <a:gd name="connsiteY15" fmla="*/ 6131 h 4197649"/>
                  <a:gd name="connsiteX0" fmla="*/ 70875 w 213750"/>
                  <a:gd name="connsiteY0" fmla="*/ 6131 h 4191114"/>
                  <a:gd name="connsiteX1" fmla="*/ 70875 w 213750"/>
                  <a:gd name="connsiteY1" fmla="*/ 125685 h 4191114"/>
                  <a:gd name="connsiteX2" fmla="*/ 89925 w 213750"/>
                  <a:gd name="connsiteY2" fmla="*/ 163785 h 4191114"/>
                  <a:gd name="connsiteX3" fmla="*/ 128025 w 213750"/>
                  <a:gd name="connsiteY3" fmla="*/ 211410 h 4191114"/>
                  <a:gd name="connsiteX4" fmla="*/ 166125 w 213750"/>
                  <a:gd name="connsiteY4" fmla="*/ 230460 h 4191114"/>
                  <a:gd name="connsiteX5" fmla="*/ 194700 w 213750"/>
                  <a:gd name="connsiteY5" fmla="*/ 268560 h 4191114"/>
                  <a:gd name="connsiteX6" fmla="*/ 213750 w 213750"/>
                  <a:gd name="connsiteY6" fmla="*/ 344760 h 4191114"/>
                  <a:gd name="connsiteX7" fmla="*/ 213750 w 213750"/>
                  <a:gd name="connsiteY7" fmla="*/ 3830910 h 4191114"/>
                  <a:gd name="connsiteX8" fmla="*/ 197318 w 213750"/>
                  <a:gd name="connsiteY8" fmla="*/ 3927970 h 4191114"/>
                  <a:gd name="connsiteX9" fmla="*/ 162103 w 213750"/>
                  <a:gd name="connsiteY9" fmla="*/ 3973538 h 4191114"/>
                  <a:gd name="connsiteX10" fmla="*/ 118500 w 213750"/>
                  <a:gd name="connsiteY10" fmla="*/ 4003931 h 4191114"/>
                  <a:gd name="connsiteX11" fmla="*/ 85636 w 213750"/>
                  <a:gd name="connsiteY11" fmla="*/ 4059510 h 4191114"/>
                  <a:gd name="connsiteX12" fmla="*/ 101111 w 213750"/>
                  <a:gd name="connsiteY12" fmla="*/ 4181917 h 4191114"/>
                  <a:gd name="connsiteX13" fmla="*/ 5254 w 213750"/>
                  <a:gd name="connsiteY13" fmla="*/ 4183615 h 4191114"/>
                  <a:gd name="connsiteX14" fmla="*/ 0 w 213750"/>
                  <a:gd name="connsiteY14" fmla="*/ 0 h 4191114"/>
                  <a:gd name="connsiteX15" fmla="*/ 70875 w 213750"/>
                  <a:gd name="connsiteY15" fmla="*/ 6131 h 4191114"/>
                  <a:gd name="connsiteX0" fmla="*/ 70875 w 213750"/>
                  <a:gd name="connsiteY0" fmla="*/ 6131 h 4199792"/>
                  <a:gd name="connsiteX1" fmla="*/ 70875 w 213750"/>
                  <a:gd name="connsiteY1" fmla="*/ 125685 h 4199792"/>
                  <a:gd name="connsiteX2" fmla="*/ 89925 w 213750"/>
                  <a:gd name="connsiteY2" fmla="*/ 163785 h 4199792"/>
                  <a:gd name="connsiteX3" fmla="*/ 128025 w 213750"/>
                  <a:gd name="connsiteY3" fmla="*/ 211410 h 4199792"/>
                  <a:gd name="connsiteX4" fmla="*/ 166125 w 213750"/>
                  <a:gd name="connsiteY4" fmla="*/ 230460 h 4199792"/>
                  <a:gd name="connsiteX5" fmla="*/ 194700 w 213750"/>
                  <a:gd name="connsiteY5" fmla="*/ 268560 h 4199792"/>
                  <a:gd name="connsiteX6" fmla="*/ 213750 w 213750"/>
                  <a:gd name="connsiteY6" fmla="*/ 344760 h 4199792"/>
                  <a:gd name="connsiteX7" fmla="*/ 213750 w 213750"/>
                  <a:gd name="connsiteY7" fmla="*/ 3830910 h 4199792"/>
                  <a:gd name="connsiteX8" fmla="*/ 197318 w 213750"/>
                  <a:gd name="connsiteY8" fmla="*/ 3927970 h 4199792"/>
                  <a:gd name="connsiteX9" fmla="*/ 162103 w 213750"/>
                  <a:gd name="connsiteY9" fmla="*/ 3973538 h 4199792"/>
                  <a:gd name="connsiteX10" fmla="*/ 118500 w 213750"/>
                  <a:gd name="connsiteY10" fmla="*/ 4003931 h 4199792"/>
                  <a:gd name="connsiteX11" fmla="*/ 85636 w 213750"/>
                  <a:gd name="connsiteY11" fmla="*/ 4059510 h 4199792"/>
                  <a:gd name="connsiteX12" fmla="*/ 82295 w 213750"/>
                  <a:gd name="connsiteY12" fmla="*/ 4192773 h 4199792"/>
                  <a:gd name="connsiteX13" fmla="*/ 5254 w 213750"/>
                  <a:gd name="connsiteY13" fmla="*/ 4183615 h 4199792"/>
                  <a:gd name="connsiteX14" fmla="*/ 0 w 213750"/>
                  <a:gd name="connsiteY14" fmla="*/ 0 h 4199792"/>
                  <a:gd name="connsiteX15" fmla="*/ 70875 w 213750"/>
                  <a:gd name="connsiteY15" fmla="*/ 6131 h 41997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13750" h="4199792">
                    <a:moveTo>
                      <a:pt x="70875" y="6131"/>
                    </a:moveTo>
                    <a:lnTo>
                      <a:pt x="70875" y="125685"/>
                    </a:lnTo>
                    <a:lnTo>
                      <a:pt x="89925" y="163785"/>
                    </a:lnTo>
                    <a:lnTo>
                      <a:pt x="128025" y="211410"/>
                    </a:lnTo>
                    <a:lnTo>
                      <a:pt x="166125" y="230460"/>
                    </a:lnTo>
                    <a:lnTo>
                      <a:pt x="194700" y="268560"/>
                    </a:lnTo>
                    <a:lnTo>
                      <a:pt x="213750" y="344760"/>
                    </a:lnTo>
                    <a:lnTo>
                      <a:pt x="213750" y="3830910"/>
                    </a:lnTo>
                    <a:lnTo>
                      <a:pt x="197318" y="3927970"/>
                    </a:lnTo>
                    <a:cubicBezTo>
                      <a:pt x="187604" y="3937493"/>
                      <a:pt x="171817" y="3964015"/>
                      <a:pt x="162103" y="3973538"/>
                    </a:cubicBezTo>
                    <a:lnTo>
                      <a:pt x="118500" y="4003931"/>
                    </a:lnTo>
                    <a:lnTo>
                      <a:pt x="85636" y="4059510"/>
                    </a:lnTo>
                    <a:cubicBezTo>
                      <a:pt x="85636" y="4084910"/>
                      <a:pt x="95692" y="4172089"/>
                      <a:pt x="82295" y="4192773"/>
                    </a:cubicBezTo>
                    <a:cubicBezTo>
                      <a:pt x="68898" y="4213457"/>
                      <a:pt x="60086" y="4181651"/>
                      <a:pt x="5254" y="4183615"/>
                    </a:cubicBezTo>
                    <a:cubicBezTo>
                      <a:pt x="1591" y="2688544"/>
                      <a:pt x="3663" y="1495071"/>
                      <a:pt x="0" y="0"/>
                    </a:cubicBezTo>
                    <a:lnTo>
                      <a:pt x="70875" y="6131"/>
                    </a:lnTo>
                    <a:close/>
                  </a:path>
                </a:pathLst>
              </a:custGeom>
              <a:solidFill>
                <a:schemeClr val="bg2">
                  <a:lumMod val="75000"/>
                </a:schemeClr>
              </a:solidFill>
              <a:ln w="12700">
                <a:solidFill>
                  <a:schemeClr val="bg2">
                    <a:lumMod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54" name="Straight Connector 553"/>
              <xdr:cNvCxnSpPr>
                <a:endCxn id="540" idx="0"/>
              </xdr:cNvCxnSpPr>
            </xdr:nvCxnSpPr>
            <xdr:spPr>
              <a:xfrm>
                <a:off x="8216656" y="7346237"/>
                <a:ext cx="298694"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555" name="Straight Connector 554"/>
              <xdr:cNvCxnSpPr>
                <a:endCxn id="551" idx="2"/>
              </xdr:cNvCxnSpPr>
            </xdr:nvCxnSpPr>
            <xdr:spPr>
              <a:xfrm>
                <a:off x="8201758" y="11714599"/>
                <a:ext cx="313592" cy="4951"/>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grpSp>
          <xdr:nvGrpSpPr>
            <xdr:cNvPr id="503" name="Group 502"/>
            <xdr:cNvGrpSpPr/>
          </xdr:nvGrpSpPr>
          <xdr:grpSpPr>
            <a:xfrm flipV="1">
              <a:off x="8319239" y="6899455"/>
              <a:ext cx="529486" cy="5248253"/>
              <a:chOff x="7995389" y="6918505"/>
              <a:chExt cx="529486" cy="5248253"/>
            </a:xfrm>
          </xdr:grpSpPr>
          <xdr:sp macro="" textlink="">
            <xdr:nvSpPr>
              <xdr:cNvPr id="504" name="Rectangle 503"/>
              <xdr:cNvSpPr/>
            </xdr:nvSpPr>
            <xdr:spPr>
              <a:xfrm>
                <a:off x="8458689" y="7553687"/>
                <a:ext cx="66186" cy="35577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5" name="Rectangle 504"/>
              <xdr:cNvSpPr/>
            </xdr:nvSpPr>
            <xdr:spPr>
              <a:xfrm>
                <a:off x="8458689" y="8013496"/>
                <a:ext cx="66186" cy="35342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6" name="Rectangle 505"/>
              <xdr:cNvSpPr/>
            </xdr:nvSpPr>
            <xdr:spPr>
              <a:xfrm>
                <a:off x="8458689" y="8460391"/>
                <a:ext cx="66186" cy="35693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7" name="Rectangle 506"/>
              <xdr:cNvSpPr/>
            </xdr:nvSpPr>
            <xdr:spPr>
              <a:xfrm>
                <a:off x="8456308" y="8920199"/>
                <a:ext cx="66186" cy="35342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8" name="Rectangle 507"/>
              <xdr:cNvSpPr/>
            </xdr:nvSpPr>
            <xdr:spPr>
              <a:xfrm>
                <a:off x="8458689" y="9362658"/>
                <a:ext cx="66186" cy="3566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9" name="Rectangle 508"/>
              <xdr:cNvSpPr/>
            </xdr:nvSpPr>
            <xdr:spPr>
              <a:xfrm>
                <a:off x="8458689" y="9824817"/>
                <a:ext cx="66186" cy="353429"/>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0" name="Rectangle 509"/>
              <xdr:cNvSpPr/>
            </xdr:nvSpPr>
            <xdr:spPr>
              <a:xfrm>
                <a:off x="8458689" y="10272871"/>
                <a:ext cx="66186" cy="35577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1" name="Rectangle 510"/>
              <xdr:cNvSpPr/>
            </xdr:nvSpPr>
            <xdr:spPr>
              <a:xfrm>
                <a:off x="8458689" y="10724469"/>
                <a:ext cx="66186" cy="354588"/>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2" name="Rectangle 511"/>
              <xdr:cNvSpPr/>
            </xdr:nvSpPr>
            <xdr:spPr>
              <a:xfrm>
                <a:off x="8453438" y="11174875"/>
                <a:ext cx="71437" cy="353429"/>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3" name="Freeform 512"/>
              <xdr:cNvSpPr/>
            </xdr:nvSpPr>
            <xdr:spPr>
              <a:xfrm flipH="1" flipV="1">
                <a:off x="8262328" y="11872348"/>
                <a:ext cx="257850" cy="294410"/>
              </a:xfrm>
              <a:custGeom>
                <a:avLst/>
                <a:gdLst>
                  <a:gd name="connsiteX0" fmla="*/ 0 w 266700"/>
                  <a:gd name="connsiteY0" fmla="*/ 0 h 295275"/>
                  <a:gd name="connsiteX1" fmla="*/ 266700 w 266700"/>
                  <a:gd name="connsiteY1" fmla="*/ 0 h 295275"/>
                  <a:gd name="connsiteX2" fmla="*/ 266700 w 266700"/>
                  <a:gd name="connsiteY2" fmla="*/ 295275 h 295275"/>
                  <a:gd name="connsiteX0" fmla="*/ 0 w 461372"/>
                  <a:gd name="connsiteY0" fmla="*/ 6046 h 295275"/>
                  <a:gd name="connsiteX1" fmla="*/ 461372 w 461372"/>
                  <a:gd name="connsiteY1" fmla="*/ 0 h 295275"/>
                  <a:gd name="connsiteX2" fmla="*/ 461372 w 461372"/>
                  <a:gd name="connsiteY2" fmla="*/ 295275 h 295275"/>
                </a:gdLst>
                <a:ahLst/>
                <a:cxnLst>
                  <a:cxn ang="0">
                    <a:pos x="connsiteX0" y="connsiteY0"/>
                  </a:cxn>
                  <a:cxn ang="0">
                    <a:pos x="connsiteX1" y="connsiteY1"/>
                  </a:cxn>
                  <a:cxn ang="0">
                    <a:pos x="connsiteX2" y="connsiteY2"/>
                  </a:cxn>
                </a:cxnLst>
                <a:rect l="l" t="t" r="r" b="b"/>
                <a:pathLst>
                  <a:path w="461372" h="295275">
                    <a:moveTo>
                      <a:pt x="0" y="6046"/>
                    </a:moveTo>
                    <a:lnTo>
                      <a:pt x="461372" y="0"/>
                    </a:lnTo>
                    <a:lnTo>
                      <a:pt x="461372" y="295275"/>
                    </a:lnTo>
                  </a:path>
                </a:pathLst>
              </a:cu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4" name="Straight Connector 513"/>
              <xdr:cNvCxnSpPr/>
            </xdr:nvCxnSpPr>
            <xdr:spPr>
              <a:xfrm flipH="1">
                <a:off x="8210550" y="7346237"/>
                <a:ext cx="0" cy="4370968"/>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sp macro="" textlink="">
            <xdr:nvSpPr>
              <xdr:cNvPr id="515" name="Freeform 514"/>
              <xdr:cNvSpPr/>
            </xdr:nvSpPr>
            <xdr:spPr>
              <a:xfrm flipH="1">
                <a:off x="8448675" y="7346237"/>
                <a:ext cx="66675" cy="579683"/>
              </a:xfrm>
              <a:custGeom>
                <a:avLst/>
                <a:gdLst>
                  <a:gd name="connsiteX0" fmla="*/ 0 w 66675"/>
                  <a:gd name="connsiteY0" fmla="*/ 0 h 581025"/>
                  <a:gd name="connsiteX1" fmla="*/ 0 w 66675"/>
                  <a:gd name="connsiteY1" fmla="*/ 200025 h 581025"/>
                  <a:gd name="connsiteX2" fmla="*/ 66675 w 66675"/>
                  <a:gd name="connsiteY2" fmla="*/ 200025 h 581025"/>
                  <a:gd name="connsiteX3" fmla="*/ 66675 w 66675"/>
                  <a:gd name="connsiteY3" fmla="*/ 581025 h 581025"/>
                  <a:gd name="connsiteX4" fmla="*/ 66675 w 66675"/>
                  <a:gd name="connsiteY4" fmla="*/ 581025 h 581025"/>
                  <a:gd name="connsiteX5" fmla="*/ 66675 w 66675"/>
                  <a:gd name="connsiteY5" fmla="*/ 581025 h 581025"/>
                  <a:gd name="connsiteX6" fmla="*/ 66675 w 66675"/>
                  <a:gd name="connsiteY6" fmla="*/ 581025 h 581025"/>
                  <a:gd name="connsiteX7" fmla="*/ 66675 w 66675"/>
                  <a:gd name="connsiteY7" fmla="*/ 581025 h 58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675" h="581025">
                    <a:moveTo>
                      <a:pt x="0" y="0"/>
                    </a:moveTo>
                    <a:lnTo>
                      <a:pt x="0" y="200025"/>
                    </a:lnTo>
                    <a:lnTo>
                      <a:pt x="66675" y="200025"/>
                    </a:lnTo>
                    <a:lnTo>
                      <a:pt x="66675" y="581025"/>
                    </a:lnTo>
                    <a:lnTo>
                      <a:pt x="66675" y="581025"/>
                    </a:lnTo>
                    <a:lnTo>
                      <a:pt x="66675" y="581025"/>
                    </a:lnTo>
                    <a:lnTo>
                      <a:pt x="66675" y="581025"/>
                    </a:lnTo>
                    <a:lnTo>
                      <a:pt x="66675" y="581025"/>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6" name="Freeform 515"/>
              <xdr:cNvSpPr/>
            </xdr:nvSpPr>
            <xdr:spPr>
              <a:xfrm flipH="1">
                <a:off x="8448675" y="7916517"/>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7" name="Freeform 516"/>
              <xdr:cNvSpPr/>
            </xdr:nvSpPr>
            <xdr:spPr>
              <a:xfrm flipH="1">
                <a:off x="8448675" y="8369273"/>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8" name="Freeform 517"/>
              <xdr:cNvSpPr/>
            </xdr:nvSpPr>
            <xdr:spPr>
              <a:xfrm flipH="1">
                <a:off x="8448675" y="8819679"/>
                <a:ext cx="66675" cy="45864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9" name="Freeform 518"/>
              <xdr:cNvSpPr/>
            </xdr:nvSpPr>
            <xdr:spPr>
              <a:xfrm flipH="1">
                <a:off x="8448675" y="9271275"/>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0" name="Freeform 519"/>
              <xdr:cNvSpPr/>
            </xdr:nvSpPr>
            <xdr:spPr>
              <a:xfrm flipH="1">
                <a:off x="8448675" y="9724097"/>
                <a:ext cx="66675" cy="458912"/>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1" name="Freeform 520"/>
              <xdr:cNvSpPr/>
            </xdr:nvSpPr>
            <xdr:spPr>
              <a:xfrm flipH="1">
                <a:off x="8448675" y="10175958"/>
                <a:ext cx="66675" cy="459807"/>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2" name="Freeform 521"/>
              <xdr:cNvSpPr/>
            </xdr:nvSpPr>
            <xdr:spPr>
              <a:xfrm flipH="1">
                <a:off x="8448675" y="10626362"/>
                <a:ext cx="66675" cy="459808"/>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3" name="Freeform 522"/>
              <xdr:cNvSpPr/>
            </xdr:nvSpPr>
            <xdr:spPr>
              <a:xfrm flipH="1">
                <a:off x="8448675" y="11079118"/>
                <a:ext cx="66675" cy="458649"/>
              </a:xfrm>
              <a:custGeom>
                <a:avLst/>
                <a:gdLst>
                  <a:gd name="connsiteX0" fmla="*/ 66675 w 66675"/>
                  <a:gd name="connsiteY0" fmla="*/ 0 h 459581"/>
                  <a:gd name="connsiteX1" fmla="*/ 0 w 66675"/>
                  <a:gd name="connsiteY1" fmla="*/ 0 h 459581"/>
                  <a:gd name="connsiteX2" fmla="*/ 0 w 66675"/>
                  <a:gd name="connsiteY2" fmla="*/ 92868 h 459581"/>
                  <a:gd name="connsiteX3" fmla="*/ 66675 w 66675"/>
                  <a:gd name="connsiteY3" fmla="*/ 92868 h 459581"/>
                  <a:gd name="connsiteX4" fmla="*/ 66675 w 66675"/>
                  <a:gd name="connsiteY4" fmla="*/ 459581 h 459581"/>
                  <a:gd name="connsiteX5" fmla="*/ 66675 w 66675"/>
                  <a:gd name="connsiteY5" fmla="*/ 459581 h 459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6675" h="459581">
                    <a:moveTo>
                      <a:pt x="66675" y="0"/>
                    </a:moveTo>
                    <a:lnTo>
                      <a:pt x="0" y="0"/>
                    </a:lnTo>
                    <a:lnTo>
                      <a:pt x="0" y="92868"/>
                    </a:lnTo>
                    <a:lnTo>
                      <a:pt x="66675" y="92868"/>
                    </a:lnTo>
                    <a:lnTo>
                      <a:pt x="66675" y="459581"/>
                    </a:lnTo>
                    <a:lnTo>
                      <a:pt x="66675" y="459581"/>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4" name="Freeform 523"/>
              <xdr:cNvSpPr/>
            </xdr:nvSpPr>
            <xdr:spPr>
              <a:xfrm flipH="1">
                <a:off x="8448675" y="11528297"/>
                <a:ext cx="66675" cy="191253"/>
              </a:xfrm>
              <a:custGeom>
                <a:avLst/>
                <a:gdLst>
                  <a:gd name="connsiteX0" fmla="*/ 66675 w 66675"/>
                  <a:gd name="connsiteY0" fmla="*/ 0 h 190500"/>
                  <a:gd name="connsiteX1" fmla="*/ 0 w 66675"/>
                  <a:gd name="connsiteY1" fmla="*/ 2381 h 190500"/>
                  <a:gd name="connsiteX2" fmla="*/ 0 w 66675"/>
                  <a:gd name="connsiteY2" fmla="*/ 190500 h 190500"/>
                  <a:gd name="connsiteX3" fmla="*/ 0 w 66675"/>
                  <a:gd name="connsiteY3" fmla="*/ 190500 h 190500"/>
                </a:gdLst>
                <a:ahLst/>
                <a:cxnLst>
                  <a:cxn ang="0">
                    <a:pos x="connsiteX0" y="connsiteY0"/>
                  </a:cxn>
                  <a:cxn ang="0">
                    <a:pos x="connsiteX1" y="connsiteY1"/>
                  </a:cxn>
                  <a:cxn ang="0">
                    <a:pos x="connsiteX2" y="connsiteY2"/>
                  </a:cxn>
                  <a:cxn ang="0">
                    <a:pos x="connsiteX3" y="connsiteY3"/>
                  </a:cxn>
                </a:cxnLst>
                <a:rect l="l" t="t" r="r" b="b"/>
                <a:pathLst>
                  <a:path w="66675" h="190500">
                    <a:moveTo>
                      <a:pt x="66675" y="0"/>
                    </a:moveTo>
                    <a:lnTo>
                      <a:pt x="0" y="2381"/>
                    </a:lnTo>
                    <a:lnTo>
                      <a:pt x="0" y="190500"/>
                    </a:lnTo>
                    <a:lnTo>
                      <a:pt x="0" y="190500"/>
                    </a:lnTo>
                  </a:path>
                </a:pathLst>
              </a:cu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5" name="Freeform 524"/>
              <xdr:cNvSpPr/>
            </xdr:nvSpPr>
            <xdr:spPr>
              <a:xfrm>
                <a:off x="7995389" y="6918505"/>
                <a:ext cx="266205" cy="292676"/>
              </a:xfrm>
              <a:custGeom>
                <a:avLst/>
                <a:gdLst>
                  <a:gd name="connsiteX0" fmla="*/ 0 w 266700"/>
                  <a:gd name="connsiteY0" fmla="*/ 0 h 295275"/>
                  <a:gd name="connsiteX1" fmla="*/ 266700 w 266700"/>
                  <a:gd name="connsiteY1" fmla="*/ 0 h 295275"/>
                  <a:gd name="connsiteX2" fmla="*/ 266700 w 266700"/>
                  <a:gd name="connsiteY2" fmla="*/ 295275 h 295275"/>
                  <a:gd name="connsiteX0" fmla="*/ 0 w 382286"/>
                  <a:gd name="connsiteY0" fmla="*/ 0 h 295275"/>
                  <a:gd name="connsiteX1" fmla="*/ 382286 w 382286"/>
                  <a:gd name="connsiteY1" fmla="*/ 0 h 295275"/>
                  <a:gd name="connsiteX2" fmla="*/ 382286 w 382286"/>
                  <a:gd name="connsiteY2" fmla="*/ 295275 h 295275"/>
                </a:gdLst>
                <a:ahLst/>
                <a:cxnLst>
                  <a:cxn ang="0">
                    <a:pos x="connsiteX0" y="connsiteY0"/>
                  </a:cxn>
                  <a:cxn ang="0">
                    <a:pos x="connsiteX1" y="connsiteY1"/>
                  </a:cxn>
                  <a:cxn ang="0">
                    <a:pos x="connsiteX2" y="connsiteY2"/>
                  </a:cxn>
                </a:cxnLst>
                <a:rect l="l" t="t" r="r" b="b"/>
                <a:pathLst>
                  <a:path w="382286" h="295275">
                    <a:moveTo>
                      <a:pt x="0" y="0"/>
                    </a:moveTo>
                    <a:lnTo>
                      <a:pt x="382286" y="0"/>
                    </a:lnTo>
                    <a:lnTo>
                      <a:pt x="382286" y="295275"/>
                    </a:lnTo>
                  </a:path>
                </a:pathLst>
              </a:cu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6" name="Freeform 525"/>
              <xdr:cNvSpPr/>
            </xdr:nvSpPr>
            <xdr:spPr>
              <a:xfrm>
                <a:off x="8222697" y="7154468"/>
                <a:ext cx="214972" cy="4817758"/>
              </a:xfrm>
              <a:custGeom>
                <a:avLst/>
                <a:gdLst>
                  <a:gd name="connsiteX0" fmla="*/ 57150 w 200025"/>
                  <a:gd name="connsiteY0" fmla="*/ 0 h 4467225"/>
                  <a:gd name="connsiteX1" fmla="*/ 57150 w 200025"/>
                  <a:gd name="connsiteY1" fmla="*/ 266700 h 4467225"/>
                  <a:gd name="connsiteX2" fmla="*/ 76200 w 200025"/>
                  <a:gd name="connsiteY2" fmla="*/ 304800 h 4467225"/>
                  <a:gd name="connsiteX3" fmla="*/ 114300 w 200025"/>
                  <a:gd name="connsiteY3" fmla="*/ 352425 h 4467225"/>
                  <a:gd name="connsiteX4" fmla="*/ 152400 w 200025"/>
                  <a:gd name="connsiteY4" fmla="*/ 371475 h 4467225"/>
                  <a:gd name="connsiteX5" fmla="*/ 180975 w 200025"/>
                  <a:gd name="connsiteY5" fmla="*/ 409575 h 4467225"/>
                  <a:gd name="connsiteX6" fmla="*/ 200025 w 200025"/>
                  <a:gd name="connsiteY6" fmla="*/ 485775 h 4467225"/>
                  <a:gd name="connsiteX7" fmla="*/ 200025 w 200025"/>
                  <a:gd name="connsiteY7" fmla="*/ 3971925 h 4467225"/>
                  <a:gd name="connsiteX8" fmla="*/ 171450 w 200025"/>
                  <a:gd name="connsiteY8" fmla="*/ 4057650 h 4467225"/>
                  <a:gd name="connsiteX9" fmla="*/ 104775 w 200025"/>
                  <a:gd name="connsiteY9" fmla="*/ 4105275 h 4467225"/>
                  <a:gd name="connsiteX10" fmla="*/ 47625 w 200025"/>
                  <a:gd name="connsiteY10" fmla="*/ 4200525 h 4467225"/>
                  <a:gd name="connsiteX11" fmla="*/ 47625 w 200025"/>
                  <a:gd name="connsiteY11" fmla="*/ 4276725 h 4467225"/>
                  <a:gd name="connsiteX12" fmla="*/ 47625 w 200025"/>
                  <a:gd name="connsiteY12" fmla="*/ 4467225 h 4467225"/>
                  <a:gd name="connsiteX13" fmla="*/ 0 w 200025"/>
                  <a:gd name="connsiteY13" fmla="*/ 0 h 4467225"/>
                  <a:gd name="connsiteX14" fmla="*/ 57150 w 200025"/>
                  <a:gd name="connsiteY14" fmla="*/ 0 h 4467225"/>
                  <a:gd name="connsiteX0" fmla="*/ 57150 w 200025"/>
                  <a:gd name="connsiteY0" fmla="*/ 0 h 4485212"/>
                  <a:gd name="connsiteX1" fmla="*/ 57150 w 200025"/>
                  <a:gd name="connsiteY1" fmla="*/ 266700 h 4485212"/>
                  <a:gd name="connsiteX2" fmla="*/ 76200 w 200025"/>
                  <a:gd name="connsiteY2" fmla="*/ 304800 h 4485212"/>
                  <a:gd name="connsiteX3" fmla="*/ 114300 w 200025"/>
                  <a:gd name="connsiteY3" fmla="*/ 352425 h 4485212"/>
                  <a:gd name="connsiteX4" fmla="*/ 152400 w 200025"/>
                  <a:gd name="connsiteY4" fmla="*/ 371475 h 4485212"/>
                  <a:gd name="connsiteX5" fmla="*/ 180975 w 200025"/>
                  <a:gd name="connsiteY5" fmla="*/ 409575 h 4485212"/>
                  <a:gd name="connsiteX6" fmla="*/ 200025 w 200025"/>
                  <a:gd name="connsiteY6" fmla="*/ 485775 h 4485212"/>
                  <a:gd name="connsiteX7" fmla="*/ 200025 w 200025"/>
                  <a:gd name="connsiteY7" fmla="*/ 3971925 h 4485212"/>
                  <a:gd name="connsiteX8" fmla="*/ 171450 w 200025"/>
                  <a:gd name="connsiteY8" fmla="*/ 4057650 h 4485212"/>
                  <a:gd name="connsiteX9" fmla="*/ 104775 w 200025"/>
                  <a:gd name="connsiteY9" fmla="*/ 4105275 h 4485212"/>
                  <a:gd name="connsiteX10" fmla="*/ 47625 w 200025"/>
                  <a:gd name="connsiteY10" fmla="*/ 4200525 h 4485212"/>
                  <a:gd name="connsiteX11" fmla="*/ 47625 w 200025"/>
                  <a:gd name="connsiteY11" fmla="*/ 4276725 h 4485212"/>
                  <a:gd name="connsiteX12" fmla="*/ 10990 w 200025"/>
                  <a:gd name="connsiteY12" fmla="*/ 4485212 h 4485212"/>
                  <a:gd name="connsiteX13" fmla="*/ 0 w 200025"/>
                  <a:gd name="connsiteY13" fmla="*/ 0 h 4485212"/>
                  <a:gd name="connsiteX14" fmla="*/ 57150 w 200025"/>
                  <a:gd name="connsiteY14" fmla="*/ 0 h 4485212"/>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47625 w 200025"/>
                  <a:gd name="connsiteY10" fmla="*/ 4200525 h 4498149"/>
                  <a:gd name="connsiteX11" fmla="*/ 47625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47625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77980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05275 h 4498149"/>
                  <a:gd name="connsiteX10" fmla="*/ 59767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04775 w 200025"/>
                  <a:gd name="connsiteY9" fmla="*/ 4144946 h 4498149"/>
                  <a:gd name="connsiteX10" fmla="*/ 59767 w 200025"/>
                  <a:gd name="connsiteY10" fmla="*/ 4200525 h 4498149"/>
                  <a:gd name="connsiteX11" fmla="*/ 65838 w 200025"/>
                  <a:gd name="connsiteY11" fmla="*/ 4486572 h 4498149"/>
                  <a:gd name="connsiteX12" fmla="*/ 10990 w 200025"/>
                  <a:gd name="connsiteY12" fmla="*/ 4485212 h 4498149"/>
                  <a:gd name="connsiteX13" fmla="*/ 0 w 200025"/>
                  <a:gd name="connsiteY13" fmla="*/ 0 h 4498149"/>
                  <a:gd name="connsiteX14" fmla="*/ 57150 w 200025"/>
                  <a:gd name="connsiteY14"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54449 w 200025"/>
                  <a:gd name="connsiteY9" fmla="*/ 4154223 h 4498149"/>
                  <a:gd name="connsiteX10" fmla="*/ 104775 w 200025"/>
                  <a:gd name="connsiteY10" fmla="*/ 4144946 h 4498149"/>
                  <a:gd name="connsiteX11" fmla="*/ 59767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48378 w 200025"/>
                  <a:gd name="connsiteY9" fmla="*/ 4114553 h 4498149"/>
                  <a:gd name="connsiteX10" fmla="*/ 104775 w 200025"/>
                  <a:gd name="connsiteY10" fmla="*/ 4144946 h 4498149"/>
                  <a:gd name="connsiteX11" fmla="*/ 59767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7810"/>
                  <a:gd name="connsiteX1" fmla="*/ 57150 w 200025"/>
                  <a:gd name="connsiteY1" fmla="*/ 266700 h 4497810"/>
                  <a:gd name="connsiteX2" fmla="*/ 76200 w 200025"/>
                  <a:gd name="connsiteY2" fmla="*/ 304800 h 4497810"/>
                  <a:gd name="connsiteX3" fmla="*/ 114300 w 200025"/>
                  <a:gd name="connsiteY3" fmla="*/ 352425 h 4497810"/>
                  <a:gd name="connsiteX4" fmla="*/ 152400 w 200025"/>
                  <a:gd name="connsiteY4" fmla="*/ 371475 h 4497810"/>
                  <a:gd name="connsiteX5" fmla="*/ 180975 w 200025"/>
                  <a:gd name="connsiteY5" fmla="*/ 409575 h 4497810"/>
                  <a:gd name="connsiteX6" fmla="*/ 200025 w 200025"/>
                  <a:gd name="connsiteY6" fmla="*/ 485775 h 4497810"/>
                  <a:gd name="connsiteX7" fmla="*/ 200025 w 200025"/>
                  <a:gd name="connsiteY7" fmla="*/ 3971925 h 4497810"/>
                  <a:gd name="connsiteX8" fmla="*/ 171450 w 200025"/>
                  <a:gd name="connsiteY8" fmla="*/ 4057650 h 4497810"/>
                  <a:gd name="connsiteX9" fmla="*/ 148378 w 200025"/>
                  <a:gd name="connsiteY9" fmla="*/ 4114553 h 4497810"/>
                  <a:gd name="connsiteX10" fmla="*/ 104775 w 200025"/>
                  <a:gd name="connsiteY10" fmla="*/ 4144946 h 4497810"/>
                  <a:gd name="connsiteX11" fmla="*/ 77981 w 200025"/>
                  <a:gd name="connsiteY11" fmla="*/ 4206192 h 4497810"/>
                  <a:gd name="connsiteX12" fmla="*/ 65838 w 200025"/>
                  <a:gd name="connsiteY12" fmla="*/ 4486572 h 4497810"/>
                  <a:gd name="connsiteX13" fmla="*/ 10990 w 200025"/>
                  <a:gd name="connsiteY13" fmla="*/ 4485212 h 4497810"/>
                  <a:gd name="connsiteX14" fmla="*/ 0 w 200025"/>
                  <a:gd name="connsiteY14" fmla="*/ 0 h 4497810"/>
                  <a:gd name="connsiteX15" fmla="*/ 57150 w 200025"/>
                  <a:gd name="connsiteY15" fmla="*/ 0 h 4497810"/>
                  <a:gd name="connsiteX0" fmla="*/ 57150 w 200025"/>
                  <a:gd name="connsiteY0" fmla="*/ 0 h 4497810"/>
                  <a:gd name="connsiteX1" fmla="*/ 57150 w 200025"/>
                  <a:gd name="connsiteY1" fmla="*/ 266700 h 4497810"/>
                  <a:gd name="connsiteX2" fmla="*/ 76200 w 200025"/>
                  <a:gd name="connsiteY2" fmla="*/ 304800 h 4497810"/>
                  <a:gd name="connsiteX3" fmla="*/ 114300 w 200025"/>
                  <a:gd name="connsiteY3" fmla="*/ 352425 h 4497810"/>
                  <a:gd name="connsiteX4" fmla="*/ 152400 w 200025"/>
                  <a:gd name="connsiteY4" fmla="*/ 371475 h 4497810"/>
                  <a:gd name="connsiteX5" fmla="*/ 180975 w 200025"/>
                  <a:gd name="connsiteY5" fmla="*/ 409575 h 4497810"/>
                  <a:gd name="connsiteX6" fmla="*/ 200025 w 200025"/>
                  <a:gd name="connsiteY6" fmla="*/ 485775 h 4497810"/>
                  <a:gd name="connsiteX7" fmla="*/ 200025 w 200025"/>
                  <a:gd name="connsiteY7" fmla="*/ 3971925 h 4497810"/>
                  <a:gd name="connsiteX8" fmla="*/ 171450 w 200025"/>
                  <a:gd name="connsiteY8" fmla="*/ 4057650 h 4497810"/>
                  <a:gd name="connsiteX9" fmla="*/ 148378 w 200025"/>
                  <a:gd name="connsiteY9" fmla="*/ 4114553 h 4497810"/>
                  <a:gd name="connsiteX10" fmla="*/ 104775 w 200025"/>
                  <a:gd name="connsiteY10" fmla="*/ 4144946 h 4497810"/>
                  <a:gd name="connsiteX11" fmla="*/ 65840 w 200025"/>
                  <a:gd name="connsiteY11" fmla="*/ 4206192 h 4497810"/>
                  <a:gd name="connsiteX12" fmla="*/ 65838 w 200025"/>
                  <a:gd name="connsiteY12" fmla="*/ 4486572 h 4497810"/>
                  <a:gd name="connsiteX13" fmla="*/ 10990 w 200025"/>
                  <a:gd name="connsiteY13" fmla="*/ 4485212 h 4497810"/>
                  <a:gd name="connsiteX14" fmla="*/ 0 w 200025"/>
                  <a:gd name="connsiteY14" fmla="*/ 0 h 4497810"/>
                  <a:gd name="connsiteX15" fmla="*/ 57150 w 200025"/>
                  <a:gd name="connsiteY15" fmla="*/ 0 h 4497810"/>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71450 w 200025"/>
                  <a:gd name="connsiteY8" fmla="*/ 4057650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95735 w 200025"/>
                  <a:gd name="connsiteY8" fmla="*/ 4051983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8149"/>
                  <a:gd name="connsiteX1" fmla="*/ 57150 w 200025"/>
                  <a:gd name="connsiteY1" fmla="*/ 266700 h 4498149"/>
                  <a:gd name="connsiteX2" fmla="*/ 76200 w 200025"/>
                  <a:gd name="connsiteY2" fmla="*/ 304800 h 4498149"/>
                  <a:gd name="connsiteX3" fmla="*/ 114300 w 200025"/>
                  <a:gd name="connsiteY3" fmla="*/ 352425 h 4498149"/>
                  <a:gd name="connsiteX4" fmla="*/ 152400 w 200025"/>
                  <a:gd name="connsiteY4" fmla="*/ 371475 h 4498149"/>
                  <a:gd name="connsiteX5" fmla="*/ 180975 w 200025"/>
                  <a:gd name="connsiteY5" fmla="*/ 409575 h 4498149"/>
                  <a:gd name="connsiteX6" fmla="*/ 200025 w 200025"/>
                  <a:gd name="connsiteY6" fmla="*/ 485775 h 4498149"/>
                  <a:gd name="connsiteX7" fmla="*/ 200025 w 200025"/>
                  <a:gd name="connsiteY7" fmla="*/ 3971925 h 4498149"/>
                  <a:gd name="connsiteX8" fmla="*/ 183593 w 200025"/>
                  <a:gd name="connsiteY8" fmla="*/ 4068985 h 4498149"/>
                  <a:gd name="connsiteX9" fmla="*/ 148378 w 200025"/>
                  <a:gd name="connsiteY9" fmla="*/ 4114553 h 4498149"/>
                  <a:gd name="connsiteX10" fmla="*/ 104775 w 200025"/>
                  <a:gd name="connsiteY10" fmla="*/ 4144946 h 4498149"/>
                  <a:gd name="connsiteX11" fmla="*/ 71911 w 200025"/>
                  <a:gd name="connsiteY11" fmla="*/ 4200525 h 4498149"/>
                  <a:gd name="connsiteX12" fmla="*/ 65838 w 200025"/>
                  <a:gd name="connsiteY12" fmla="*/ 4486572 h 4498149"/>
                  <a:gd name="connsiteX13" fmla="*/ 10990 w 200025"/>
                  <a:gd name="connsiteY13" fmla="*/ 4485212 h 4498149"/>
                  <a:gd name="connsiteX14" fmla="*/ 0 w 200025"/>
                  <a:gd name="connsiteY14" fmla="*/ 0 h 4498149"/>
                  <a:gd name="connsiteX15" fmla="*/ 57150 w 200025"/>
                  <a:gd name="connsiteY15" fmla="*/ 0 h 4498149"/>
                  <a:gd name="connsiteX0" fmla="*/ 57150 w 200025"/>
                  <a:gd name="connsiteY0" fmla="*/ 0 h 4499506"/>
                  <a:gd name="connsiteX1" fmla="*/ 57150 w 200025"/>
                  <a:gd name="connsiteY1" fmla="*/ 266700 h 4499506"/>
                  <a:gd name="connsiteX2" fmla="*/ 76200 w 200025"/>
                  <a:gd name="connsiteY2" fmla="*/ 304800 h 4499506"/>
                  <a:gd name="connsiteX3" fmla="*/ 114300 w 200025"/>
                  <a:gd name="connsiteY3" fmla="*/ 352425 h 4499506"/>
                  <a:gd name="connsiteX4" fmla="*/ 152400 w 200025"/>
                  <a:gd name="connsiteY4" fmla="*/ 371475 h 4499506"/>
                  <a:gd name="connsiteX5" fmla="*/ 180975 w 200025"/>
                  <a:gd name="connsiteY5" fmla="*/ 409575 h 4499506"/>
                  <a:gd name="connsiteX6" fmla="*/ 200025 w 200025"/>
                  <a:gd name="connsiteY6" fmla="*/ 485775 h 4499506"/>
                  <a:gd name="connsiteX7" fmla="*/ 200025 w 200025"/>
                  <a:gd name="connsiteY7" fmla="*/ 3971925 h 4499506"/>
                  <a:gd name="connsiteX8" fmla="*/ 183593 w 200025"/>
                  <a:gd name="connsiteY8" fmla="*/ 4068985 h 4499506"/>
                  <a:gd name="connsiteX9" fmla="*/ 148378 w 200025"/>
                  <a:gd name="connsiteY9" fmla="*/ 4114553 h 4499506"/>
                  <a:gd name="connsiteX10" fmla="*/ 104775 w 200025"/>
                  <a:gd name="connsiteY10" fmla="*/ 4144946 h 4499506"/>
                  <a:gd name="connsiteX11" fmla="*/ 71911 w 200025"/>
                  <a:gd name="connsiteY11" fmla="*/ 4200525 h 4499506"/>
                  <a:gd name="connsiteX12" fmla="*/ 65838 w 200025"/>
                  <a:gd name="connsiteY12" fmla="*/ 4486572 h 4499506"/>
                  <a:gd name="connsiteX13" fmla="*/ 10990 w 200025"/>
                  <a:gd name="connsiteY13" fmla="*/ 4494217 h 4499506"/>
                  <a:gd name="connsiteX14" fmla="*/ 0 w 200025"/>
                  <a:gd name="connsiteY14" fmla="*/ 0 h 4499506"/>
                  <a:gd name="connsiteX15" fmla="*/ 57150 w 200025"/>
                  <a:gd name="connsiteY15" fmla="*/ 0 h 4499506"/>
                  <a:gd name="connsiteX0" fmla="*/ 57150 w 200025"/>
                  <a:gd name="connsiteY0" fmla="*/ 0 h 4509997"/>
                  <a:gd name="connsiteX1" fmla="*/ 57150 w 200025"/>
                  <a:gd name="connsiteY1" fmla="*/ 266700 h 4509997"/>
                  <a:gd name="connsiteX2" fmla="*/ 76200 w 200025"/>
                  <a:gd name="connsiteY2" fmla="*/ 304800 h 4509997"/>
                  <a:gd name="connsiteX3" fmla="*/ 114300 w 200025"/>
                  <a:gd name="connsiteY3" fmla="*/ 352425 h 4509997"/>
                  <a:gd name="connsiteX4" fmla="*/ 152400 w 200025"/>
                  <a:gd name="connsiteY4" fmla="*/ 371475 h 4509997"/>
                  <a:gd name="connsiteX5" fmla="*/ 180975 w 200025"/>
                  <a:gd name="connsiteY5" fmla="*/ 409575 h 4509997"/>
                  <a:gd name="connsiteX6" fmla="*/ 200025 w 200025"/>
                  <a:gd name="connsiteY6" fmla="*/ 485775 h 4509997"/>
                  <a:gd name="connsiteX7" fmla="*/ 200025 w 200025"/>
                  <a:gd name="connsiteY7" fmla="*/ 3971925 h 4509997"/>
                  <a:gd name="connsiteX8" fmla="*/ 183593 w 200025"/>
                  <a:gd name="connsiteY8" fmla="*/ 4068985 h 4509997"/>
                  <a:gd name="connsiteX9" fmla="*/ 148378 w 200025"/>
                  <a:gd name="connsiteY9" fmla="*/ 4114553 h 4509997"/>
                  <a:gd name="connsiteX10" fmla="*/ 104775 w 200025"/>
                  <a:gd name="connsiteY10" fmla="*/ 4144946 h 4509997"/>
                  <a:gd name="connsiteX11" fmla="*/ 71911 w 200025"/>
                  <a:gd name="connsiteY11" fmla="*/ 4200525 h 4509997"/>
                  <a:gd name="connsiteX12" fmla="*/ 65838 w 200025"/>
                  <a:gd name="connsiteY12" fmla="*/ 4486572 h 4509997"/>
                  <a:gd name="connsiteX13" fmla="*/ 10990 w 200025"/>
                  <a:gd name="connsiteY13" fmla="*/ 4494217 h 4509997"/>
                  <a:gd name="connsiteX14" fmla="*/ 0 w 200025"/>
                  <a:gd name="connsiteY14" fmla="*/ 0 h 4509997"/>
                  <a:gd name="connsiteX15" fmla="*/ 57150 w 200025"/>
                  <a:gd name="connsiteY15" fmla="*/ 0 h 4509997"/>
                  <a:gd name="connsiteX0" fmla="*/ 57150 w 200025"/>
                  <a:gd name="connsiteY0" fmla="*/ 0 h 4509998"/>
                  <a:gd name="connsiteX1" fmla="*/ 57150 w 200025"/>
                  <a:gd name="connsiteY1" fmla="*/ 266700 h 4509998"/>
                  <a:gd name="connsiteX2" fmla="*/ 76200 w 200025"/>
                  <a:gd name="connsiteY2" fmla="*/ 304800 h 4509998"/>
                  <a:gd name="connsiteX3" fmla="*/ 114300 w 200025"/>
                  <a:gd name="connsiteY3" fmla="*/ 352425 h 4509998"/>
                  <a:gd name="connsiteX4" fmla="*/ 152400 w 200025"/>
                  <a:gd name="connsiteY4" fmla="*/ 371475 h 4509998"/>
                  <a:gd name="connsiteX5" fmla="*/ 180975 w 200025"/>
                  <a:gd name="connsiteY5" fmla="*/ 409575 h 4509998"/>
                  <a:gd name="connsiteX6" fmla="*/ 200025 w 200025"/>
                  <a:gd name="connsiteY6" fmla="*/ 485775 h 4509998"/>
                  <a:gd name="connsiteX7" fmla="*/ 200025 w 200025"/>
                  <a:gd name="connsiteY7" fmla="*/ 3971925 h 4509998"/>
                  <a:gd name="connsiteX8" fmla="*/ 183593 w 200025"/>
                  <a:gd name="connsiteY8" fmla="*/ 4068985 h 4509998"/>
                  <a:gd name="connsiteX9" fmla="*/ 148378 w 200025"/>
                  <a:gd name="connsiteY9" fmla="*/ 4114553 h 4509998"/>
                  <a:gd name="connsiteX10" fmla="*/ 104775 w 200025"/>
                  <a:gd name="connsiteY10" fmla="*/ 4144946 h 4509998"/>
                  <a:gd name="connsiteX11" fmla="*/ 71911 w 200025"/>
                  <a:gd name="connsiteY11" fmla="*/ 4200525 h 4509998"/>
                  <a:gd name="connsiteX12" fmla="*/ 65838 w 200025"/>
                  <a:gd name="connsiteY12" fmla="*/ 4486572 h 4509998"/>
                  <a:gd name="connsiteX13" fmla="*/ 10990 w 200025"/>
                  <a:gd name="connsiteY13" fmla="*/ 4494217 h 4509998"/>
                  <a:gd name="connsiteX14" fmla="*/ 0 w 200025"/>
                  <a:gd name="connsiteY14" fmla="*/ 0 h 4509998"/>
                  <a:gd name="connsiteX15" fmla="*/ 57150 w 200025"/>
                  <a:gd name="connsiteY15" fmla="*/ 0 h 4509998"/>
                  <a:gd name="connsiteX0" fmla="*/ 57150 w 200025"/>
                  <a:gd name="connsiteY0" fmla="*/ 0 h 4508446"/>
                  <a:gd name="connsiteX1" fmla="*/ 57150 w 200025"/>
                  <a:gd name="connsiteY1" fmla="*/ 266700 h 4508446"/>
                  <a:gd name="connsiteX2" fmla="*/ 76200 w 200025"/>
                  <a:gd name="connsiteY2" fmla="*/ 304800 h 4508446"/>
                  <a:gd name="connsiteX3" fmla="*/ 114300 w 200025"/>
                  <a:gd name="connsiteY3" fmla="*/ 352425 h 4508446"/>
                  <a:gd name="connsiteX4" fmla="*/ 152400 w 200025"/>
                  <a:gd name="connsiteY4" fmla="*/ 371475 h 4508446"/>
                  <a:gd name="connsiteX5" fmla="*/ 180975 w 200025"/>
                  <a:gd name="connsiteY5" fmla="*/ 409575 h 4508446"/>
                  <a:gd name="connsiteX6" fmla="*/ 200025 w 200025"/>
                  <a:gd name="connsiteY6" fmla="*/ 485775 h 4508446"/>
                  <a:gd name="connsiteX7" fmla="*/ 200025 w 200025"/>
                  <a:gd name="connsiteY7" fmla="*/ 3971925 h 4508446"/>
                  <a:gd name="connsiteX8" fmla="*/ 183593 w 200025"/>
                  <a:gd name="connsiteY8" fmla="*/ 4068985 h 4508446"/>
                  <a:gd name="connsiteX9" fmla="*/ 148378 w 200025"/>
                  <a:gd name="connsiteY9" fmla="*/ 4114553 h 4508446"/>
                  <a:gd name="connsiteX10" fmla="*/ 104775 w 200025"/>
                  <a:gd name="connsiteY10" fmla="*/ 4144946 h 4508446"/>
                  <a:gd name="connsiteX11" fmla="*/ 71911 w 200025"/>
                  <a:gd name="connsiteY11" fmla="*/ 4200525 h 4508446"/>
                  <a:gd name="connsiteX12" fmla="*/ 68205 w 200025"/>
                  <a:gd name="connsiteY12" fmla="*/ 4484322 h 4508446"/>
                  <a:gd name="connsiteX13" fmla="*/ 10990 w 200025"/>
                  <a:gd name="connsiteY13" fmla="*/ 4494217 h 4508446"/>
                  <a:gd name="connsiteX14" fmla="*/ 0 w 200025"/>
                  <a:gd name="connsiteY14" fmla="*/ 0 h 4508446"/>
                  <a:gd name="connsiteX15" fmla="*/ 57150 w 200025"/>
                  <a:gd name="connsiteY15" fmla="*/ 0 h 4508446"/>
                  <a:gd name="connsiteX0" fmla="*/ 57150 w 200025"/>
                  <a:gd name="connsiteY0" fmla="*/ 0 h 4497757"/>
                  <a:gd name="connsiteX1" fmla="*/ 57150 w 200025"/>
                  <a:gd name="connsiteY1" fmla="*/ 266700 h 4497757"/>
                  <a:gd name="connsiteX2" fmla="*/ 76200 w 200025"/>
                  <a:gd name="connsiteY2" fmla="*/ 304800 h 4497757"/>
                  <a:gd name="connsiteX3" fmla="*/ 114300 w 200025"/>
                  <a:gd name="connsiteY3" fmla="*/ 352425 h 4497757"/>
                  <a:gd name="connsiteX4" fmla="*/ 152400 w 200025"/>
                  <a:gd name="connsiteY4" fmla="*/ 371475 h 4497757"/>
                  <a:gd name="connsiteX5" fmla="*/ 180975 w 200025"/>
                  <a:gd name="connsiteY5" fmla="*/ 409575 h 4497757"/>
                  <a:gd name="connsiteX6" fmla="*/ 200025 w 200025"/>
                  <a:gd name="connsiteY6" fmla="*/ 485775 h 4497757"/>
                  <a:gd name="connsiteX7" fmla="*/ 200025 w 200025"/>
                  <a:gd name="connsiteY7" fmla="*/ 3971925 h 4497757"/>
                  <a:gd name="connsiteX8" fmla="*/ 183593 w 200025"/>
                  <a:gd name="connsiteY8" fmla="*/ 4068985 h 4497757"/>
                  <a:gd name="connsiteX9" fmla="*/ 148378 w 200025"/>
                  <a:gd name="connsiteY9" fmla="*/ 4114553 h 4497757"/>
                  <a:gd name="connsiteX10" fmla="*/ 104775 w 200025"/>
                  <a:gd name="connsiteY10" fmla="*/ 4144946 h 4497757"/>
                  <a:gd name="connsiteX11" fmla="*/ 71911 w 200025"/>
                  <a:gd name="connsiteY11" fmla="*/ 4200525 h 4497757"/>
                  <a:gd name="connsiteX12" fmla="*/ 68205 w 200025"/>
                  <a:gd name="connsiteY12" fmla="*/ 4484322 h 4497757"/>
                  <a:gd name="connsiteX13" fmla="*/ 10990 w 200025"/>
                  <a:gd name="connsiteY13" fmla="*/ 4494217 h 4497757"/>
                  <a:gd name="connsiteX14" fmla="*/ 0 w 200025"/>
                  <a:gd name="connsiteY14" fmla="*/ 0 h 4497757"/>
                  <a:gd name="connsiteX15" fmla="*/ 57150 w 200025"/>
                  <a:gd name="connsiteY15" fmla="*/ 0 h 4497757"/>
                  <a:gd name="connsiteX0" fmla="*/ 57150 w 200025"/>
                  <a:gd name="connsiteY0" fmla="*/ 0 h 4498002"/>
                  <a:gd name="connsiteX1" fmla="*/ 57150 w 200025"/>
                  <a:gd name="connsiteY1" fmla="*/ 266700 h 4498002"/>
                  <a:gd name="connsiteX2" fmla="*/ 76200 w 200025"/>
                  <a:gd name="connsiteY2" fmla="*/ 304800 h 4498002"/>
                  <a:gd name="connsiteX3" fmla="*/ 114300 w 200025"/>
                  <a:gd name="connsiteY3" fmla="*/ 352425 h 4498002"/>
                  <a:gd name="connsiteX4" fmla="*/ 152400 w 200025"/>
                  <a:gd name="connsiteY4" fmla="*/ 371475 h 4498002"/>
                  <a:gd name="connsiteX5" fmla="*/ 180975 w 200025"/>
                  <a:gd name="connsiteY5" fmla="*/ 409575 h 4498002"/>
                  <a:gd name="connsiteX6" fmla="*/ 200025 w 200025"/>
                  <a:gd name="connsiteY6" fmla="*/ 485775 h 4498002"/>
                  <a:gd name="connsiteX7" fmla="*/ 200025 w 200025"/>
                  <a:gd name="connsiteY7" fmla="*/ 3971925 h 4498002"/>
                  <a:gd name="connsiteX8" fmla="*/ 183593 w 200025"/>
                  <a:gd name="connsiteY8" fmla="*/ 4068985 h 4498002"/>
                  <a:gd name="connsiteX9" fmla="*/ 148378 w 200025"/>
                  <a:gd name="connsiteY9" fmla="*/ 4114553 h 4498002"/>
                  <a:gd name="connsiteX10" fmla="*/ 104775 w 200025"/>
                  <a:gd name="connsiteY10" fmla="*/ 4144946 h 4498002"/>
                  <a:gd name="connsiteX11" fmla="*/ 71911 w 200025"/>
                  <a:gd name="connsiteY11" fmla="*/ 4200525 h 4498002"/>
                  <a:gd name="connsiteX12" fmla="*/ 68205 w 200025"/>
                  <a:gd name="connsiteY12" fmla="*/ 4484322 h 4498002"/>
                  <a:gd name="connsiteX13" fmla="*/ 10990 w 200025"/>
                  <a:gd name="connsiteY13" fmla="*/ 4494217 h 4498002"/>
                  <a:gd name="connsiteX14" fmla="*/ 0 w 200025"/>
                  <a:gd name="connsiteY14" fmla="*/ 0 h 4498002"/>
                  <a:gd name="connsiteX15" fmla="*/ 57150 w 200025"/>
                  <a:gd name="connsiteY15" fmla="*/ 0 h 4498002"/>
                  <a:gd name="connsiteX0" fmla="*/ 57150 w 200025"/>
                  <a:gd name="connsiteY0" fmla="*/ 0 h 4494217"/>
                  <a:gd name="connsiteX1" fmla="*/ 57150 w 200025"/>
                  <a:gd name="connsiteY1" fmla="*/ 266700 h 4494217"/>
                  <a:gd name="connsiteX2" fmla="*/ 76200 w 200025"/>
                  <a:gd name="connsiteY2" fmla="*/ 304800 h 4494217"/>
                  <a:gd name="connsiteX3" fmla="*/ 114300 w 200025"/>
                  <a:gd name="connsiteY3" fmla="*/ 352425 h 4494217"/>
                  <a:gd name="connsiteX4" fmla="*/ 152400 w 200025"/>
                  <a:gd name="connsiteY4" fmla="*/ 371475 h 4494217"/>
                  <a:gd name="connsiteX5" fmla="*/ 180975 w 200025"/>
                  <a:gd name="connsiteY5" fmla="*/ 409575 h 4494217"/>
                  <a:gd name="connsiteX6" fmla="*/ 200025 w 200025"/>
                  <a:gd name="connsiteY6" fmla="*/ 485775 h 4494217"/>
                  <a:gd name="connsiteX7" fmla="*/ 200025 w 200025"/>
                  <a:gd name="connsiteY7" fmla="*/ 3971925 h 4494217"/>
                  <a:gd name="connsiteX8" fmla="*/ 183593 w 200025"/>
                  <a:gd name="connsiteY8" fmla="*/ 4068985 h 4494217"/>
                  <a:gd name="connsiteX9" fmla="*/ 148378 w 200025"/>
                  <a:gd name="connsiteY9" fmla="*/ 4114553 h 4494217"/>
                  <a:gd name="connsiteX10" fmla="*/ 104775 w 200025"/>
                  <a:gd name="connsiteY10" fmla="*/ 4144946 h 4494217"/>
                  <a:gd name="connsiteX11" fmla="*/ 71911 w 200025"/>
                  <a:gd name="connsiteY11" fmla="*/ 4200525 h 4494217"/>
                  <a:gd name="connsiteX12" fmla="*/ 68205 w 200025"/>
                  <a:gd name="connsiteY12" fmla="*/ 4484322 h 4494217"/>
                  <a:gd name="connsiteX13" fmla="*/ 10990 w 200025"/>
                  <a:gd name="connsiteY13" fmla="*/ 4494217 h 4494217"/>
                  <a:gd name="connsiteX14" fmla="*/ 0 w 200025"/>
                  <a:gd name="connsiteY14" fmla="*/ 0 h 4494217"/>
                  <a:gd name="connsiteX15" fmla="*/ 57150 w 200025"/>
                  <a:gd name="connsiteY15" fmla="*/ 0 h 4494217"/>
                  <a:gd name="connsiteX0" fmla="*/ 57150 w 200025"/>
                  <a:gd name="connsiteY0" fmla="*/ 0 h 4494217"/>
                  <a:gd name="connsiteX1" fmla="*/ 57150 w 200025"/>
                  <a:gd name="connsiteY1" fmla="*/ 266700 h 4494217"/>
                  <a:gd name="connsiteX2" fmla="*/ 76200 w 200025"/>
                  <a:gd name="connsiteY2" fmla="*/ 304800 h 4494217"/>
                  <a:gd name="connsiteX3" fmla="*/ 114300 w 200025"/>
                  <a:gd name="connsiteY3" fmla="*/ 352425 h 4494217"/>
                  <a:gd name="connsiteX4" fmla="*/ 152400 w 200025"/>
                  <a:gd name="connsiteY4" fmla="*/ 371475 h 4494217"/>
                  <a:gd name="connsiteX5" fmla="*/ 180975 w 200025"/>
                  <a:gd name="connsiteY5" fmla="*/ 409575 h 4494217"/>
                  <a:gd name="connsiteX6" fmla="*/ 200025 w 200025"/>
                  <a:gd name="connsiteY6" fmla="*/ 485775 h 4494217"/>
                  <a:gd name="connsiteX7" fmla="*/ 200025 w 200025"/>
                  <a:gd name="connsiteY7" fmla="*/ 3971925 h 4494217"/>
                  <a:gd name="connsiteX8" fmla="*/ 183593 w 200025"/>
                  <a:gd name="connsiteY8" fmla="*/ 4068985 h 4494217"/>
                  <a:gd name="connsiteX9" fmla="*/ 148378 w 200025"/>
                  <a:gd name="connsiteY9" fmla="*/ 4114553 h 4494217"/>
                  <a:gd name="connsiteX10" fmla="*/ 104775 w 200025"/>
                  <a:gd name="connsiteY10" fmla="*/ 4144946 h 4494217"/>
                  <a:gd name="connsiteX11" fmla="*/ 71911 w 200025"/>
                  <a:gd name="connsiteY11" fmla="*/ 4200525 h 4494217"/>
                  <a:gd name="connsiteX12" fmla="*/ 68205 w 200025"/>
                  <a:gd name="connsiteY12" fmla="*/ 4484322 h 4494217"/>
                  <a:gd name="connsiteX13" fmla="*/ 10990 w 200025"/>
                  <a:gd name="connsiteY13" fmla="*/ 4494217 h 4494217"/>
                  <a:gd name="connsiteX14" fmla="*/ 0 w 200025"/>
                  <a:gd name="connsiteY14" fmla="*/ 0 h 4494217"/>
                  <a:gd name="connsiteX15" fmla="*/ 57150 w 200025"/>
                  <a:gd name="connsiteY15" fmla="*/ 0 h 4494217"/>
                  <a:gd name="connsiteX0" fmla="*/ 66176 w 209051"/>
                  <a:gd name="connsiteY0" fmla="*/ 0 h 4506182"/>
                  <a:gd name="connsiteX1" fmla="*/ 66176 w 209051"/>
                  <a:gd name="connsiteY1" fmla="*/ 266700 h 4506182"/>
                  <a:gd name="connsiteX2" fmla="*/ 85226 w 209051"/>
                  <a:gd name="connsiteY2" fmla="*/ 304800 h 4506182"/>
                  <a:gd name="connsiteX3" fmla="*/ 123326 w 209051"/>
                  <a:gd name="connsiteY3" fmla="*/ 352425 h 4506182"/>
                  <a:gd name="connsiteX4" fmla="*/ 161426 w 209051"/>
                  <a:gd name="connsiteY4" fmla="*/ 371475 h 4506182"/>
                  <a:gd name="connsiteX5" fmla="*/ 190001 w 209051"/>
                  <a:gd name="connsiteY5" fmla="*/ 409575 h 4506182"/>
                  <a:gd name="connsiteX6" fmla="*/ 209051 w 209051"/>
                  <a:gd name="connsiteY6" fmla="*/ 485775 h 4506182"/>
                  <a:gd name="connsiteX7" fmla="*/ 209051 w 209051"/>
                  <a:gd name="connsiteY7" fmla="*/ 3971925 h 4506182"/>
                  <a:gd name="connsiteX8" fmla="*/ 192619 w 209051"/>
                  <a:gd name="connsiteY8" fmla="*/ 4068985 h 4506182"/>
                  <a:gd name="connsiteX9" fmla="*/ 157404 w 209051"/>
                  <a:gd name="connsiteY9" fmla="*/ 4114553 h 4506182"/>
                  <a:gd name="connsiteX10" fmla="*/ 113801 w 209051"/>
                  <a:gd name="connsiteY10" fmla="*/ 4144946 h 4506182"/>
                  <a:gd name="connsiteX11" fmla="*/ 80937 w 209051"/>
                  <a:gd name="connsiteY11" fmla="*/ 4200525 h 4506182"/>
                  <a:gd name="connsiteX12" fmla="*/ 77231 w 209051"/>
                  <a:gd name="connsiteY12" fmla="*/ 4484322 h 4506182"/>
                  <a:gd name="connsiteX13" fmla="*/ 555 w 209051"/>
                  <a:gd name="connsiteY13" fmla="*/ 4488095 h 4506182"/>
                  <a:gd name="connsiteX14" fmla="*/ 9026 w 209051"/>
                  <a:gd name="connsiteY14" fmla="*/ 0 h 4506182"/>
                  <a:gd name="connsiteX15" fmla="*/ 66176 w 209051"/>
                  <a:gd name="connsiteY15" fmla="*/ 0 h 4506182"/>
                  <a:gd name="connsiteX0" fmla="*/ 70875 w 213750"/>
                  <a:gd name="connsiteY0" fmla="*/ 0 h 4506182"/>
                  <a:gd name="connsiteX1" fmla="*/ 70875 w 213750"/>
                  <a:gd name="connsiteY1" fmla="*/ 266700 h 4506182"/>
                  <a:gd name="connsiteX2" fmla="*/ 89925 w 213750"/>
                  <a:gd name="connsiteY2" fmla="*/ 304800 h 4506182"/>
                  <a:gd name="connsiteX3" fmla="*/ 128025 w 213750"/>
                  <a:gd name="connsiteY3" fmla="*/ 352425 h 4506182"/>
                  <a:gd name="connsiteX4" fmla="*/ 166125 w 213750"/>
                  <a:gd name="connsiteY4" fmla="*/ 371475 h 4506182"/>
                  <a:gd name="connsiteX5" fmla="*/ 194700 w 213750"/>
                  <a:gd name="connsiteY5" fmla="*/ 409575 h 4506182"/>
                  <a:gd name="connsiteX6" fmla="*/ 213750 w 213750"/>
                  <a:gd name="connsiteY6" fmla="*/ 485775 h 4506182"/>
                  <a:gd name="connsiteX7" fmla="*/ 213750 w 213750"/>
                  <a:gd name="connsiteY7" fmla="*/ 3971925 h 4506182"/>
                  <a:gd name="connsiteX8" fmla="*/ 197318 w 213750"/>
                  <a:gd name="connsiteY8" fmla="*/ 4068985 h 4506182"/>
                  <a:gd name="connsiteX9" fmla="*/ 162103 w 213750"/>
                  <a:gd name="connsiteY9" fmla="*/ 4114553 h 4506182"/>
                  <a:gd name="connsiteX10" fmla="*/ 118500 w 213750"/>
                  <a:gd name="connsiteY10" fmla="*/ 4144946 h 4506182"/>
                  <a:gd name="connsiteX11" fmla="*/ 85636 w 213750"/>
                  <a:gd name="connsiteY11" fmla="*/ 4200525 h 4506182"/>
                  <a:gd name="connsiteX12" fmla="*/ 81930 w 213750"/>
                  <a:gd name="connsiteY12" fmla="*/ 4484322 h 4506182"/>
                  <a:gd name="connsiteX13" fmla="*/ 5254 w 213750"/>
                  <a:gd name="connsiteY13" fmla="*/ 4488095 h 4506182"/>
                  <a:gd name="connsiteX14" fmla="*/ 0 w 213750"/>
                  <a:gd name="connsiteY14" fmla="*/ 0 h 4506182"/>
                  <a:gd name="connsiteX15" fmla="*/ 70875 w 213750"/>
                  <a:gd name="connsiteY15" fmla="*/ 0 h 4506182"/>
                  <a:gd name="connsiteX0" fmla="*/ 70875 w 213750"/>
                  <a:gd name="connsiteY0" fmla="*/ 159408 h 4506182"/>
                  <a:gd name="connsiteX1" fmla="*/ 70875 w 213750"/>
                  <a:gd name="connsiteY1" fmla="*/ 266700 h 4506182"/>
                  <a:gd name="connsiteX2" fmla="*/ 89925 w 213750"/>
                  <a:gd name="connsiteY2" fmla="*/ 304800 h 4506182"/>
                  <a:gd name="connsiteX3" fmla="*/ 128025 w 213750"/>
                  <a:gd name="connsiteY3" fmla="*/ 352425 h 4506182"/>
                  <a:gd name="connsiteX4" fmla="*/ 166125 w 213750"/>
                  <a:gd name="connsiteY4" fmla="*/ 371475 h 4506182"/>
                  <a:gd name="connsiteX5" fmla="*/ 194700 w 213750"/>
                  <a:gd name="connsiteY5" fmla="*/ 409575 h 4506182"/>
                  <a:gd name="connsiteX6" fmla="*/ 213750 w 213750"/>
                  <a:gd name="connsiteY6" fmla="*/ 485775 h 4506182"/>
                  <a:gd name="connsiteX7" fmla="*/ 213750 w 213750"/>
                  <a:gd name="connsiteY7" fmla="*/ 3971925 h 4506182"/>
                  <a:gd name="connsiteX8" fmla="*/ 197318 w 213750"/>
                  <a:gd name="connsiteY8" fmla="*/ 4068985 h 4506182"/>
                  <a:gd name="connsiteX9" fmla="*/ 162103 w 213750"/>
                  <a:gd name="connsiteY9" fmla="*/ 4114553 h 4506182"/>
                  <a:gd name="connsiteX10" fmla="*/ 118500 w 213750"/>
                  <a:gd name="connsiteY10" fmla="*/ 4144946 h 4506182"/>
                  <a:gd name="connsiteX11" fmla="*/ 85636 w 213750"/>
                  <a:gd name="connsiteY11" fmla="*/ 4200525 h 4506182"/>
                  <a:gd name="connsiteX12" fmla="*/ 81930 w 213750"/>
                  <a:gd name="connsiteY12" fmla="*/ 4484322 h 4506182"/>
                  <a:gd name="connsiteX13" fmla="*/ 5254 w 213750"/>
                  <a:gd name="connsiteY13" fmla="*/ 4488095 h 4506182"/>
                  <a:gd name="connsiteX14" fmla="*/ 0 w 213750"/>
                  <a:gd name="connsiteY14" fmla="*/ 0 h 4506182"/>
                  <a:gd name="connsiteX15" fmla="*/ 70875 w 213750"/>
                  <a:gd name="connsiteY15" fmla="*/ 159408 h 4506182"/>
                  <a:gd name="connsiteX0" fmla="*/ 70875 w 213750"/>
                  <a:gd name="connsiteY0" fmla="*/ 18393 h 4365167"/>
                  <a:gd name="connsiteX1" fmla="*/ 70875 w 213750"/>
                  <a:gd name="connsiteY1" fmla="*/ 125685 h 4365167"/>
                  <a:gd name="connsiteX2" fmla="*/ 89925 w 213750"/>
                  <a:gd name="connsiteY2" fmla="*/ 163785 h 4365167"/>
                  <a:gd name="connsiteX3" fmla="*/ 128025 w 213750"/>
                  <a:gd name="connsiteY3" fmla="*/ 211410 h 4365167"/>
                  <a:gd name="connsiteX4" fmla="*/ 166125 w 213750"/>
                  <a:gd name="connsiteY4" fmla="*/ 230460 h 4365167"/>
                  <a:gd name="connsiteX5" fmla="*/ 194700 w 213750"/>
                  <a:gd name="connsiteY5" fmla="*/ 268560 h 4365167"/>
                  <a:gd name="connsiteX6" fmla="*/ 213750 w 213750"/>
                  <a:gd name="connsiteY6" fmla="*/ 344760 h 4365167"/>
                  <a:gd name="connsiteX7" fmla="*/ 213750 w 213750"/>
                  <a:gd name="connsiteY7" fmla="*/ 3830910 h 4365167"/>
                  <a:gd name="connsiteX8" fmla="*/ 197318 w 213750"/>
                  <a:gd name="connsiteY8" fmla="*/ 3927970 h 4365167"/>
                  <a:gd name="connsiteX9" fmla="*/ 162103 w 213750"/>
                  <a:gd name="connsiteY9" fmla="*/ 3973538 h 4365167"/>
                  <a:gd name="connsiteX10" fmla="*/ 118500 w 213750"/>
                  <a:gd name="connsiteY10" fmla="*/ 4003931 h 4365167"/>
                  <a:gd name="connsiteX11" fmla="*/ 85636 w 213750"/>
                  <a:gd name="connsiteY11" fmla="*/ 4059510 h 4365167"/>
                  <a:gd name="connsiteX12" fmla="*/ 81930 w 213750"/>
                  <a:gd name="connsiteY12" fmla="*/ 4343307 h 4365167"/>
                  <a:gd name="connsiteX13" fmla="*/ 5254 w 213750"/>
                  <a:gd name="connsiteY13" fmla="*/ 4347080 h 4365167"/>
                  <a:gd name="connsiteX14" fmla="*/ 0 w 213750"/>
                  <a:gd name="connsiteY14" fmla="*/ 0 h 4365167"/>
                  <a:gd name="connsiteX15" fmla="*/ 70875 w 213750"/>
                  <a:gd name="connsiteY15" fmla="*/ 18393 h 4365167"/>
                  <a:gd name="connsiteX0" fmla="*/ 70875 w 213750"/>
                  <a:gd name="connsiteY0" fmla="*/ 0 h 4371298"/>
                  <a:gd name="connsiteX1" fmla="*/ 70875 w 213750"/>
                  <a:gd name="connsiteY1" fmla="*/ 131816 h 4371298"/>
                  <a:gd name="connsiteX2" fmla="*/ 89925 w 213750"/>
                  <a:gd name="connsiteY2" fmla="*/ 169916 h 4371298"/>
                  <a:gd name="connsiteX3" fmla="*/ 128025 w 213750"/>
                  <a:gd name="connsiteY3" fmla="*/ 217541 h 4371298"/>
                  <a:gd name="connsiteX4" fmla="*/ 166125 w 213750"/>
                  <a:gd name="connsiteY4" fmla="*/ 236591 h 4371298"/>
                  <a:gd name="connsiteX5" fmla="*/ 194700 w 213750"/>
                  <a:gd name="connsiteY5" fmla="*/ 274691 h 4371298"/>
                  <a:gd name="connsiteX6" fmla="*/ 213750 w 213750"/>
                  <a:gd name="connsiteY6" fmla="*/ 350891 h 4371298"/>
                  <a:gd name="connsiteX7" fmla="*/ 213750 w 213750"/>
                  <a:gd name="connsiteY7" fmla="*/ 3837041 h 4371298"/>
                  <a:gd name="connsiteX8" fmla="*/ 197318 w 213750"/>
                  <a:gd name="connsiteY8" fmla="*/ 3934101 h 4371298"/>
                  <a:gd name="connsiteX9" fmla="*/ 162103 w 213750"/>
                  <a:gd name="connsiteY9" fmla="*/ 3979669 h 4371298"/>
                  <a:gd name="connsiteX10" fmla="*/ 118500 w 213750"/>
                  <a:gd name="connsiteY10" fmla="*/ 4010062 h 4371298"/>
                  <a:gd name="connsiteX11" fmla="*/ 85636 w 213750"/>
                  <a:gd name="connsiteY11" fmla="*/ 4065641 h 4371298"/>
                  <a:gd name="connsiteX12" fmla="*/ 81930 w 213750"/>
                  <a:gd name="connsiteY12" fmla="*/ 4349438 h 4371298"/>
                  <a:gd name="connsiteX13" fmla="*/ 5254 w 213750"/>
                  <a:gd name="connsiteY13" fmla="*/ 4353211 h 4371298"/>
                  <a:gd name="connsiteX14" fmla="*/ 0 w 213750"/>
                  <a:gd name="connsiteY14" fmla="*/ 6131 h 4371298"/>
                  <a:gd name="connsiteX15" fmla="*/ 70875 w 213750"/>
                  <a:gd name="connsiteY15" fmla="*/ 0 h 4371298"/>
                  <a:gd name="connsiteX0" fmla="*/ 70875 w 213750"/>
                  <a:gd name="connsiteY0" fmla="*/ 6131 h 4365167"/>
                  <a:gd name="connsiteX1" fmla="*/ 70875 w 213750"/>
                  <a:gd name="connsiteY1" fmla="*/ 125685 h 4365167"/>
                  <a:gd name="connsiteX2" fmla="*/ 89925 w 213750"/>
                  <a:gd name="connsiteY2" fmla="*/ 163785 h 4365167"/>
                  <a:gd name="connsiteX3" fmla="*/ 128025 w 213750"/>
                  <a:gd name="connsiteY3" fmla="*/ 211410 h 4365167"/>
                  <a:gd name="connsiteX4" fmla="*/ 166125 w 213750"/>
                  <a:gd name="connsiteY4" fmla="*/ 230460 h 4365167"/>
                  <a:gd name="connsiteX5" fmla="*/ 194700 w 213750"/>
                  <a:gd name="connsiteY5" fmla="*/ 268560 h 4365167"/>
                  <a:gd name="connsiteX6" fmla="*/ 213750 w 213750"/>
                  <a:gd name="connsiteY6" fmla="*/ 344760 h 4365167"/>
                  <a:gd name="connsiteX7" fmla="*/ 213750 w 213750"/>
                  <a:gd name="connsiteY7" fmla="*/ 3830910 h 4365167"/>
                  <a:gd name="connsiteX8" fmla="*/ 197318 w 213750"/>
                  <a:gd name="connsiteY8" fmla="*/ 3927970 h 4365167"/>
                  <a:gd name="connsiteX9" fmla="*/ 162103 w 213750"/>
                  <a:gd name="connsiteY9" fmla="*/ 3973538 h 4365167"/>
                  <a:gd name="connsiteX10" fmla="*/ 118500 w 213750"/>
                  <a:gd name="connsiteY10" fmla="*/ 4003931 h 4365167"/>
                  <a:gd name="connsiteX11" fmla="*/ 85636 w 213750"/>
                  <a:gd name="connsiteY11" fmla="*/ 4059510 h 4365167"/>
                  <a:gd name="connsiteX12" fmla="*/ 81930 w 213750"/>
                  <a:gd name="connsiteY12" fmla="*/ 4343307 h 4365167"/>
                  <a:gd name="connsiteX13" fmla="*/ 5254 w 213750"/>
                  <a:gd name="connsiteY13" fmla="*/ 4347080 h 4365167"/>
                  <a:gd name="connsiteX14" fmla="*/ 0 w 213750"/>
                  <a:gd name="connsiteY14" fmla="*/ 0 h 4365167"/>
                  <a:gd name="connsiteX15" fmla="*/ 70875 w 213750"/>
                  <a:gd name="connsiteY15" fmla="*/ 6131 h 4365167"/>
                  <a:gd name="connsiteX0" fmla="*/ 70875 w 213750"/>
                  <a:gd name="connsiteY0" fmla="*/ 6131 h 4347080"/>
                  <a:gd name="connsiteX1" fmla="*/ 70875 w 213750"/>
                  <a:gd name="connsiteY1" fmla="*/ 125685 h 4347080"/>
                  <a:gd name="connsiteX2" fmla="*/ 89925 w 213750"/>
                  <a:gd name="connsiteY2" fmla="*/ 163785 h 4347080"/>
                  <a:gd name="connsiteX3" fmla="*/ 128025 w 213750"/>
                  <a:gd name="connsiteY3" fmla="*/ 211410 h 4347080"/>
                  <a:gd name="connsiteX4" fmla="*/ 166125 w 213750"/>
                  <a:gd name="connsiteY4" fmla="*/ 230460 h 4347080"/>
                  <a:gd name="connsiteX5" fmla="*/ 194700 w 213750"/>
                  <a:gd name="connsiteY5" fmla="*/ 268560 h 4347080"/>
                  <a:gd name="connsiteX6" fmla="*/ 213750 w 213750"/>
                  <a:gd name="connsiteY6" fmla="*/ 344760 h 4347080"/>
                  <a:gd name="connsiteX7" fmla="*/ 213750 w 213750"/>
                  <a:gd name="connsiteY7" fmla="*/ 3830910 h 4347080"/>
                  <a:gd name="connsiteX8" fmla="*/ 197318 w 213750"/>
                  <a:gd name="connsiteY8" fmla="*/ 3927970 h 4347080"/>
                  <a:gd name="connsiteX9" fmla="*/ 162103 w 213750"/>
                  <a:gd name="connsiteY9" fmla="*/ 3973538 h 4347080"/>
                  <a:gd name="connsiteX10" fmla="*/ 118500 w 213750"/>
                  <a:gd name="connsiteY10" fmla="*/ 4003931 h 4347080"/>
                  <a:gd name="connsiteX11" fmla="*/ 85636 w 213750"/>
                  <a:gd name="connsiteY11" fmla="*/ 4059510 h 4347080"/>
                  <a:gd name="connsiteX12" fmla="*/ 75066 w 213750"/>
                  <a:gd name="connsiteY12" fmla="*/ 4177767 h 4347080"/>
                  <a:gd name="connsiteX13" fmla="*/ 5254 w 213750"/>
                  <a:gd name="connsiteY13" fmla="*/ 4347080 h 4347080"/>
                  <a:gd name="connsiteX14" fmla="*/ 0 w 213750"/>
                  <a:gd name="connsiteY14" fmla="*/ 0 h 4347080"/>
                  <a:gd name="connsiteX15" fmla="*/ 70875 w 213750"/>
                  <a:gd name="connsiteY15" fmla="*/ 6131 h 4347080"/>
                  <a:gd name="connsiteX0" fmla="*/ 70875 w 213750"/>
                  <a:gd name="connsiteY0" fmla="*/ 6131 h 4187390"/>
                  <a:gd name="connsiteX1" fmla="*/ 70875 w 213750"/>
                  <a:gd name="connsiteY1" fmla="*/ 125685 h 4187390"/>
                  <a:gd name="connsiteX2" fmla="*/ 89925 w 213750"/>
                  <a:gd name="connsiteY2" fmla="*/ 163785 h 4187390"/>
                  <a:gd name="connsiteX3" fmla="*/ 128025 w 213750"/>
                  <a:gd name="connsiteY3" fmla="*/ 211410 h 4187390"/>
                  <a:gd name="connsiteX4" fmla="*/ 166125 w 213750"/>
                  <a:gd name="connsiteY4" fmla="*/ 230460 h 4187390"/>
                  <a:gd name="connsiteX5" fmla="*/ 194700 w 213750"/>
                  <a:gd name="connsiteY5" fmla="*/ 268560 h 4187390"/>
                  <a:gd name="connsiteX6" fmla="*/ 213750 w 213750"/>
                  <a:gd name="connsiteY6" fmla="*/ 344760 h 4187390"/>
                  <a:gd name="connsiteX7" fmla="*/ 213750 w 213750"/>
                  <a:gd name="connsiteY7" fmla="*/ 3830910 h 4187390"/>
                  <a:gd name="connsiteX8" fmla="*/ 197318 w 213750"/>
                  <a:gd name="connsiteY8" fmla="*/ 3927970 h 4187390"/>
                  <a:gd name="connsiteX9" fmla="*/ 162103 w 213750"/>
                  <a:gd name="connsiteY9" fmla="*/ 3973538 h 4187390"/>
                  <a:gd name="connsiteX10" fmla="*/ 118500 w 213750"/>
                  <a:gd name="connsiteY10" fmla="*/ 4003931 h 4187390"/>
                  <a:gd name="connsiteX11" fmla="*/ 85636 w 213750"/>
                  <a:gd name="connsiteY11" fmla="*/ 4059510 h 4187390"/>
                  <a:gd name="connsiteX12" fmla="*/ 75066 w 213750"/>
                  <a:gd name="connsiteY12" fmla="*/ 4177767 h 4187390"/>
                  <a:gd name="connsiteX13" fmla="*/ 5254 w 213750"/>
                  <a:gd name="connsiteY13" fmla="*/ 4181540 h 4187390"/>
                  <a:gd name="connsiteX14" fmla="*/ 0 w 213750"/>
                  <a:gd name="connsiteY14" fmla="*/ 0 h 4187390"/>
                  <a:gd name="connsiteX15" fmla="*/ 70875 w 213750"/>
                  <a:gd name="connsiteY15" fmla="*/ 6131 h 4187390"/>
                  <a:gd name="connsiteX0" fmla="*/ 70875 w 213750"/>
                  <a:gd name="connsiteY0" fmla="*/ 6131 h 4227397"/>
                  <a:gd name="connsiteX1" fmla="*/ 70875 w 213750"/>
                  <a:gd name="connsiteY1" fmla="*/ 125685 h 4227397"/>
                  <a:gd name="connsiteX2" fmla="*/ 89925 w 213750"/>
                  <a:gd name="connsiteY2" fmla="*/ 163785 h 4227397"/>
                  <a:gd name="connsiteX3" fmla="*/ 128025 w 213750"/>
                  <a:gd name="connsiteY3" fmla="*/ 211410 h 4227397"/>
                  <a:gd name="connsiteX4" fmla="*/ 166125 w 213750"/>
                  <a:gd name="connsiteY4" fmla="*/ 230460 h 4227397"/>
                  <a:gd name="connsiteX5" fmla="*/ 194700 w 213750"/>
                  <a:gd name="connsiteY5" fmla="*/ 268560 h 4227397"/>
                  <a:gd name="connsiteX6" fmla="*/ 213750 w 213750"/>
                  <a:gd name="connsiteY6" fmla="*/ 344760 h 4227397"/>
                  <a:gd name="connsiteX7" fmla="*/ 213750 w 213750"/>
                  <a:gd name="connsiteY7" fmla="*/ 3830910 h 4227397"/>
                  <a:gd name="connsiteX8" fmla="*/ 197318 w 213750"/>
                  <a:gd name="connsiteY8" fmla="*/ 3927970 h 4227397"/>
                  <a:gd name="connsiteX9" fmla="*/ 162103 w 213750"/>
                  <a:gd name="connsiteY9" fmla="*/ 3973538 h 4227397"/>
                  <a:gd name="connsiteX10" fmla="*/ 118500 w 213750"/>
                  <a:gd name="connsiteY10" fmla="*/ 4003931 h 4227397"/>
                  <a:gd name="connsiteX11" fmla="*/ 85636 w 213750"/>
                  <a:gd name="connsiteY11" fmla="*/ 4059510 h 4227397"/>
                  <a:gd name="connsiteX12" fmla="*/ 72698 w 213750"/>
                  <a:gd name="connsiteY12" fmla="*/ 4223410 h 4227397"/>
                  <a:gd name="connsiteX13" fmla="*/ 5254 w 213750"/>
                  <a:gd name="connsiteY13" fmla="*/ 4181540 h 4227397"/>
                  <a:gd name="connsiteX14" fmla="*/ 0 w 213750"/>
                  <a:gd name="connsiteY14" fmla="*/ 0 h 4227397"/>
                  <a:gd name="connsiteX15" fmla="*/ 70875 w 213750"/>
                  <a:gd name="connsiteY15" fmla="*/ 6131 h 4227397"/>
                  <a:gd name="connsiteX0" fmla="*/ 70875 w 213750"/>
                  <a:gd name="connsiteY0" fmla="*/ 6131 h 4235680"/>
                  <a:gd name="connsiteX1" fmla="*/ 70875 w 213750"/>
                  <a:gd name="connsiteY1" fmla="*/ 125685 h 4235680"/>
                  <a:gd name="connsiteX2" fmla="*/ 89925 w 213750"/>
                  <a:gd name="connsiteY2" fmla="*/ 163785 h 4235680"/>
                  <a:gd name="connsiteX3" fmla="*/ 128025 w 213750"/>
                  <a:gd name="connsiteY3" fmla="*/ 211410 h 4235680"/>
                  <a:gd name="connsiteX4" fmla="*/ 166125 w 213750"/>
                  <a:gd name="connsiteY4" fmla="*/ 230460 h 4235680"/>
                  <a:gd name="connsiteX5" fmla="*/ 194700 w 213750"/>
                  <a:gd name="connsiteY5" fmla="*/ 268560 h 4235680"/>
                  <a:gd name="connsiteX6" fmla="*/ 213750 w 213750"/>
                  <a:gd name="connsiteY6" fmla="*/ 344760 h 4235680"/>
                  <a:gd name="connsiteX7" fmla="*/ 213750 w 213750"/>
                  <a:gd name="connsiteY7" fmla="*/ 3830910 h 4235680"/>
                  <a:gd name="connsiteX8" fmla="*/ 197318 w 213750"/>
                  <a:gd name="connsiteY8" fmla="*/ 3927970 h 4235680"/>
                  <a:gd name="connsiteX9" fmla="*/ 162103 w 213750"/>
                  <a:gd name="connsiteY9" fmla="*/ 3973538 h 4235680"/>
                  <a:gd name="connsiteX10" fmla="*/ 118500 w 213750"/>
                  <a:gd name="connsiteY10" fmla="*/ 4003931 h 4235680"/>
                  <a:gd name="connsiteX11" fmla="*/ 85636 w 213750"/>
                  <a:gd name="connsiteY11" fmla="*/ 4059510 h 4235680"/>
                  <a:gd name="connsiteX12" fmla="*/ 72698 w 213750"/>
                  <a:gd name="connsiteY12" fmla="*/ 4223410 h 4235680"/>
                  <a:gd name="connsiteX13" fmla="*/ 5254 w 213750"/>
                  <a:gd name="connsiteY13" fmla="*/ 4225109 h 4235680"/>
                  <a:gd name="connsiteX14" fmla="*/ 0 w 213750"/>
                  <a:gd name="connsiteY14" fmla="*/ 0 h 4235680"/>
                  <a:gd name="connsiteX15" fmla="*/ 70875 w 213750"/>
                  <a:gd name="connsiteY15" fmla="*/ 6131 h 4235680"/>
                  <a:gd name="connsiteX0" fmla="*/ 70875 w 213750"/>
                  <a:gd name="connsiteY0" fmla="*/ 6131 h 4227615"/>
                  <a:gd name="connsiteX1" fmla="*/ 70875 w 213750"/>
                  <a:gd name="connsiteY1" fmla="*/ 125685 h 4227615"/>
                  <a:gd name="connsiteX2" fmla="*/ 89925 w 213750"/>
                  <a:gd name="connsiteY2" fmla="*/ 163785 h 4227615"/>
                  <a:gd name="connsiteX3" fmla="*/ 128025 w 213750"/>
                  <a:gd name="connsiteY3" fmla="*/ 211410 h 4227615"/>
                  <a:gd name="connsiteX4" fmla="*/ 166125 w 213750"/>
                  <a:gd name="connsiteY4" fmla="*/ 230460 h 4227615"/>
                  <a:gd name="connsiteX5" fmla="*/ 194700 w 213750"/>
                  <a:gd name="connsiteY5" fmla="*/ 268560 h 4227615"/>
                  <a:gd name="connsiteX6" fmla="*/ 213750 w 213750"/>
                  <a:gd name="connsiteY6" fmla="*/ 344760 h 4227615"/>
                  <a:gd name="connsiteX7" fmla="*/ 213750 w 213750"/>
                  <a:gd name="connsiteY7" fmla="*/ 3830910 h 4227615"/>
                  <a:gd name="connsiteX8" fmla="*/ 197318 w 213750"/>
                  <a:gd name="connsiteY8" fmla="*/ 3927970 h 4227615"/>
                  <a:gd name="connsiteX9" fmla="*/ 162103 w 213750"/>
                  <a:gd name="connsiteY9" fmla="*/ 3973538 h 4227615"/>
                  <a:gd name="connsiteX10" fmla="*/ 118500 w 213750"/>
                  <a:gd name="connsiteY10" fmla="*/ 4003931 h 4227615"/>
                  <a:gd name="connsiteX11" fmla="*/ 85636 w 213750"/>
                  <a:gd name="connsiteY11" fmla="*/ 4059510 h 4227615"/>
                  <a:gd name="connsiteX12" fmla="*/ 72698 w 213750"/>
                  <a:gd name="connsiteY12" fmla="*/ 4223410 h 4227615"/>
                  <a:gd name="connsiteX13" fmla="*/ 5254 w 213750"/>
                  <a:gd name="connsiteY13" fmla="*/ 4183615 h 4227615"/>
                  <a:gd name="connsiteX14" fmla="*/ 0 w 213750"/>
                  <a:gd name="connsiteY14" fmla="*/ 0 h 4227615"/>
                  <a:gd name="connsiteX15" fmla="*/ 70875 w 213750"/>
                  <a:gd name="connsiteY15" fmla="*/ 6131 h 4227615"/>
                  <a:gd name="connsiteX0" fmla="*/ 70875 w 213750"/>
                  <a:gd name="connsiteY0" fmla="*/ 6131 h 4197649"/>
                  <a:gd name="connsiteX1" fmla="*/ 70875 w 213750"/>
                  <a:gd name="connsiteY1" fmla="*/ 125685 h 4197649"/>
                  <a:gd name="connsiteX2" fmla="*/ 89925 w 213750"/>
                  <a:gd name="connsiteY2" fmla="*/ 163785 h 4197649"/>
                  <a:gd name="connsiteX3" fmla="*/ 128025 w 213750"/>
                  <a:gd name="connsiteY3" fmla="*/ 211410 h 4197649"/>
                  <a:gd name="connsiteX4" fmla="*/ 166125 w 213750"/>
                  <a:gd name="connsiteY4" fmla="*/ 230460 h 4197649"/>
                  <a:gd name="connsiteX5" fmla="*/ 194700 w 213750"/>
                  <a:gd name="connsiteY5" fmla="*/ 268560 h 4197649"/>
                  <a:gd name="connsiteX6" fmla="*/ 213750 w 213750"/>
                  <a:gd name="connsiteY6" fmla="*/ 344760 h 4197649"/>
                  <a:gd name="connsiteX7" fmla="*/ 213750 w 213750"/>
                  <a:gd name="connsiteY7" fmla="*/ 3830910 h 4197649"/>
                  <a:gd name="connsiteX8" fmla="*/ 197318 w 213750"/>
                  <a:gd name="connsiteY8" fmla="*/ 3927970 h 4197649"/>
                  <a:gd name="connsiteX9" fmla="*/ 162103 w 213750"/>
                  <a:gd name="connsiteY9" fmla="*/ 3973538 h 4197649"/>
                  <a:gd name="connsiteX10" fmla="*/ 118500 w 213750"/>
                  <a:gd name="connsiteY10" fmla="*/ 4003931 h 4197649"/>
                  <a:gd name="connsiteX11" fmla="*/ 85636 w 213750"/>
                  <a:gd name="connsiteY11" fmla="*/ 4059510 h 4197649"/>
                  <a:gd name="connsiteX12" fmla="*/ 63228 w 213750"/>
                  <a:gd name="connsiteY12" fmla="*/ 4190215 h 4197649"/>
                  <a:gd name="connsiteX13" fmla="*/ 5254 w 213750"/>
                  <a:gd name="connsiteY13" fmla="*/ 4183615 h 4197649"/>
                  <a:gd name="connsiteX14" fmla="*/ 0 w 213750"/>
                  <a:gd name="connsiteY14" fmla="*/ 0 h 4197649"/>
                  <a:gd name="connsiteX15" fmla="*/ 70875 w 213750"/>
                  <a:gd name="connsiteY15" fmla="*/ 6131 h 4197649"/>
                  <a:gd name="connsiteX0" fmla="*/ 70875 w 213750"/>
                  <a:gd name="connsiteY0" fmla="*/ 6131 h 4191114"/>
                  <a:gd name="connsiteX1" fmla="*/ 70875 w 213750"/>
                  <a:gd name="connsiteY1" fmla="*/ 125685 h 4191114"/>
                  <a:gd name="connsiteX2" fmla="*/ 89925 w 213750"/>
                  <a:gd name="connsiteY2" fmla="*/ 163785 h 4191114"/>
                  <a:gd name="connsiteX3" fmla="*/ 128025 w 213750"/>
                  <a:gd name="connsiteY3" fmla="*/ 211410 h 4191114"/>
                  <a:gd name="connsiteX4" fmla="*/ 166125 w 213750"/>
                  <a:gd name="connsiteY4" fmla="*/ 230460 h 4191114"/>
                  <a:gd name="connsiteX5" fmla="*/ 194700 w 213750"/>
                  <a:gd name="connsiteY5" fmla="*/ 268560 h 4191114"/>
                  <a:gd name="connsiteX6" fmla="*/ 213750 w 213750"/>
                  <a:gd name="connsiteY6" fmla="*/ 344760 h 4191114"/>
                  <a:gd name="connsiteX7" fmla="*/ 213750 w 213750"/>
                  <a:gd name="connsiteY7" fmla="*/ 3830910 h 4191114"/>
                  <a:gd name="connsiteX8" fmla="*/ 197318 w 213750"/>
                  <a:gd name="connsiteY8" fmla="*/ 3927970 h 4191114"/>
                  <a:gd name="connsiteX9" fmla="*/ 162103 w 213750"/>
                  <a:gd name="connsiteY9" fmla="*/ 3973538 h 4191114"/>
                  <a:gd name="connsiteX10" fmla="*/ 118500 w 213750"/>
                  <a:gd name="connsiteY10" fmla="*/ 4003931 h 4191114"/>
                  <a:gd name="connsiteX11" fmla="*/ 85636 w 213750"/>
                  <a:gd name="connsiteY11" fmla="*/ 4059510 h 4191114"/>
                  <a:gd name="connsiteX12" fmla="*/ 101111 w 213750"/>
                  <a:gd name="connsiteY12" fmla="*/ 4181917 h 4191114"/>
                  <a:gd name="connsiteX13" fmla="*/ 5254 w 213750"/>
                  <a:gd name="connsiteY13" fmla="*/ 4183615 h 4191114"/>
                  <a:gd name="connsiteX14" fmla="*/ 0 w 213750"/>
                  <a:gd name="connsiteY14" fmla="*/ 0 h 4191114"/>
                  <a:gd name="connsiteX15" fmla="*/ 70875 w 213750"/>
                  <a:gd name="connsiteY15" fmla="*/ 6131 h 4191114"/>
                  <a:gd name="connsiteX0" fmla="*/ 70875 w 213750"/>
                  <a:gd name="connsiteY0" fmla="*/ 6131 h 4199792"/>
                  <a:gd name="connsiteX1" fmla="*/ 70875 w 213750"/>
                  <a:gd name="connsiteY1" fmla="*/ 125685 h 4199792"/>
                  <a:gd name="connsiteX2" fmla="*/ 89925 w 213750"/>
                  <a:gd name="connsiteY2" fmla="*/ 163785 h 4199792"/>
                  <a:gd name="connsiteX3" fmla="*/ 128025 w 213750"/>
                  <a:gd name="connsiteY3" fmla="*/ 211410 h 4199792"/>
                  <a:gd name="connsiteX4" fmla="*/ 166125 w 213750"/>
                  <a:gd name="connsiteY4" fmla="*/ 230460 h 4199792"/>
                  <a:gd name="connsiteX5" fmla="*/ 194700 w 213750"/>
                  <a:gd name="connsiteY5" fmla="*/ 268560 h 4199792"/>
                  <a:gd name="connsiteX6" fmla="*/ 213750 w 213750"/>
                  <a:gd name="connsiteY6" fmla="*/ 344760 h 4199792"/>
                  <a:gd name="connsiteX7" fmla="*/ 213750 w 213750"/>
                  <a:gd name="connsiteY7" fmla="*/ 3830910 h 4199792"/>
                  <a:gd name="connsiteX8" fmla="*/ 197318 w 213750"/>
                  <a:gd name="connsiteY8" fmla="*/ 3927970 h 4199792"/>
                  <a:gd name="connsiteX9" fmla="*/ 162103 w 213750"/>
                  <a:gd name="connsiteY9" fmla="*/ 3973538 h 4199792"/>
                  <a:gd name="connsiteX10" fmla="*/ 118500 w 213750"/>
                  <a:gd name="connsiteY10" fmla="*/ 4003931 h 4199792"/>
                  <a:gd name="connsiteX11" fmla="*/ 85636 w 213750"/>
                  <a:gd name="connsiteY11" fmla="*/ 4059510 h 4199792"/>
                  <a:gd name="connsiteX12" fmla="*/ 82295 w 213750"/>
                  <a:gd name="connsiteY12" fmla="*/ 4192773 h 4199792"/>
                  <a:gd name="connsiteX13" fmla="*/ 5254 w 213750"/>
                  <a:gd name="connsiteY13" fmla="*/ 4183615 h 4199792"/>
                  <a:gd name="connsiteX14" fmla="*/ 0 w 213750"/>
                  <a:gd name="connsiteY14" fmla="*/ 0 h 4199792"/>
                  <a:gd name="connsiteX15" fmla="*/ 70875 w 213750"/>
                  <a:gd name="connsiteY15" fmla="*/ 6131 h 41997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13750" h="4199792">
                    <a:moveTo>
                      <a:pt x="70875" y="6131"/>
                    </a:moveTo>
                    <a:lnTo>
                      <a:pt x="70875" y="125685"/>
                    </a:lnTo>
                    <a:lnTo>
                      <a:pt x="89925" y="163785"/>
                    </a:lnTo>
                    <a:lnTo>
                      <a:pt x="128025" y="211410"/>
                    </a:lnTo>
                    <a:lnTo>
                      <a:pt x="166125" y="230460"/>
                    </a:lnTo>
                    <a:lnTo>
                      <a:pt x="194700" y="268560"/>
                    </a:lnTo>
                    <a:lnTo>
                      <a:pt x="213750" y="344760"/>
                    </a:lnTo>
                    <a:lnTo>
                      <a:pt x="213750" y="3830910"/>
                    </a:lnTo>
                    <a:lnTo>
                      <a:pt x="197318" y="3927970"/>
                    </a:lnTo>
                    <a:cubicBezTo>
                      <a:pt x="187604" y="3937493"/>
                      <a:pt x="171817" y="3964015"/>
                      <a:pt x="162103" y="3973538"/>
                    </a:cubicBezTo>
                    <a:lnTo>
                      <a:pt x="118500" y="4003931"/>
                    </a:lnTo>
                    <a:lnTo>
                      <a:pt x="85636" y="4059510"/>
                    </a:lnTo>
                    <a:cubicBezTo>
                      <a:pt x="85636" y="4084910"/>
                      <a:pt x="95692" y="4172089"/>
                      <a:pt x="82295" y="4192773"/>
                    </a:cubicBezTo>
                    <a:cubicBezTo>
                      <a:pt x="68898" y="4213457"/>
                      <a:pt x="60086" y="4181651"/>
                      <a:pt x="5254" y="4183615"/>
                    </a:cubicBezTo>
                    <a:cubicBezTo>
                      <a:pt x="1591" y="2688544"/>
                      <a:pt x="3663" y="1495071"/>
                      <a:pt x="0" y="0"/>
                    </a:cubicBezTo>
                    <a:lnTo>
                      <a:pt x="70875" y="6131"/>
                    </a:lnTo>
                    <a:close/>
                  </a:path>
                </a:pathLst>
              </a:custGeom>
              <a:solidFill>
                <a:schemeClr val="bg2">
                  <a:lumMod val="75000"/>
                </a:schemeClr>
              </a:solidFill>
              <a:ln w="12700">
                <a:solidFill>
                  <a:schemeClr val="bg2">
                    <a:lumMod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27" name="Straight Connector 526"/>
              <xdr:cNvCxnSpPr>
                <a:endCxn id="515" idx="0"/>
              </xdr:cNvCxnSpPr>
            </xdr:nvCxnSpPr>
            <xdr:spPr>
              <a:xfrm>
                <a:off x="8216656" y="7346237"/>
                <a:ext cx="298694"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528" name="Straight Connector 527"/>
              <xdr:cNvCxnSpPr>
                <a:endCxn id="524" idx="2"/>
              </xdr:cNvCxnSpPr>
            </xdr:nvCxnSpPr>
            <xdr:spPr>
              <a:xfrm>
                <a:off x="8201758" y="11714599"/>
                <a:ext cx="313592" cy="4951"/>
              </a:xfrm>
              <a:prstGeom prst="line">
                <a:avLst/>
              </a:prstGeom>
              <a:ln w="19050"/>
            </xdr:spPr>
            <xdr:style>
              <a:lnRef idx="1">
                <a:schemeClr val="accent1"/>
              </a:lnRef>
              <a:fillRef idx="0">
                <a:schemeClr val="accent1"/>
              </a:fillRef>
              <a:effectRef idx="0">
                <a:schemeClr val="accent1"/>
              </a:effectRef>
              <a:fontRef idx="minor">
                <a:schemeClr val="tx1"/>
              </a:fontRef>
            </xdr:style>
          </xdr:cxnSp>
        </xdr:grpSp>
      </xdr:grpSp>
      <xdr:sp macro="" textlink="">
        <xdr:nvSpPr>
          <xdr:cNvPr id="31" name="Rectangle 30"/>
          <xdr:cNvSpPr/>
        </xdr:nvSpPr>
        <xdr:spPr>
          <a:xfrm>
            <a:off x="8181975" y="6886575"/>
            <a:ext cx="1714500" cy="542925"/>
          </a:xfrm>
          <a:prstGeom prst="rect">
            <a:avLst/>
          </a:prstGeom>
          <a:solidFill>
            <a:schemeClr val="bg2">
              <a:lumMod val="90000"/>
              <a:alpha val="68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1291" name="Straight Connector 11290"/>
          <xdr:cNvCxnSpPr/>
        </xdr:nvCxnSpPr>
        <xdr:spPr>
          <a:xfrm>
            <a:off x="7867650" y="6867525"/>
            <a:ext cx="2133600" cy="0"/>
          </a:xfrm>
          <a:prstGeom prst="line">
            <a:avLst/>
          </a:prstGeom>
          <a:ln w="2540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56" name="AutoShape 247"/>
          <xdr:cNvSpPr>
            <a:spLocks/>
          </xdr:cNvSpPr>
        </xdr:nvSpPr>
        <xdr:spPr bwMode="auto">
          <a:xfrm>
            <a:off x="7705725" y="12344400"/>
            <a:ext cx="1781175" cy="371476"/>
          </a:xfrm>
          <a:prstGeom prst="callout2">
            <a:avLst>
              <a:gd name="adj1" fmla="val 15792"/>
              <a:gd name="adj2" fmla="val 104278"/>
              <a:gd name="adj3" fmla="val 15792"/>
              <a:gd name="adj4" fmla="val 117111"/>
              <a:gd name="adj5" fmla="val -174090"/>
              <a:gd name="adj6" fmla="val 110162"/>
            </a:avLst>
          </a:prstGeom>
          <a:solidFill>
            <a:srgbClr val="FFFFFF"/>
          </a:solidFill>
          <a:ln w="9525">
            <a:solidFill>
              <a:srgbClr val="000000"/>
            </a:solidFill>
            <a:miter lim="800000"/>
            <a:headEnd type="none" w="lg" len="lg"/>
            <a:tailEnd type="triangle" w="lg" len="lg"/>
          </a:ln>
        </xdr:spPr>
        <xdr:txBody>
          <a:bodyPr vertOverflow="clip" wrap="square" lIns="0" tIns="41148" rIns="45720" bIns="0" anchor="t" upright="1"/>
          <a:lstStyle/>
          <a:p>
            <a:pPr algn="r" rtl="0">
              <a:defRPr sz="1000"/>
            </a:pPr>
            <a:r>
              <a:rPr lang="en-US" sz="2000" b="1" i="0" u="none" strike="noStrike" baseline="0">
                <a:solidFill>
                  <a:srgbClr val="000000"/>
                </a:solidFill>
                <a:latin typeface="Arial"/>
                <a:cs typeface="Arial"/>
              </a:rPr>
              <a:t>Cell Sleeves</a:t>
            </a:r>
          </a:p>
        </xdr:txBody>
      </xdr:sp>
      <xdr:cxnSp macro="">
        <xdr:nvCxnSpPr>
          <xdr:cNvPr id="11311" name="Straight Arrow Connector 11310"/>
          <xdr:cNvCxnSpPr/>
        </xdr:nvCxnSpPr>
        <xdr:spPr>
          <a:xfrm flipH="1" flipV="1">
            <a:off x="9344025" y="11734800"/>
            <a:ext cx="447675" cy="676275"/>
          </a:xfrm>
          <a:prstGeom prst="straightConnector1">
            <a:avLst/>
          </a:prstGeom>
          <a:ln>
            <a:solidFill>
              <a:sysClr val="windowText" lastClr="00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557" name="AutoShape 247"/>
          <xdr:cNvSpPr>
            <a:spLocks/>
          </xdr:cNvSpPr>
        </xdr:nvSpPr>
        <xdr:spPr bwMode="auto">
          <a:xfrm>
            <a:off x="6924675" y="11068049"/>
            <a:ext cx="1209675" cy="733425"/>
          </a:xfrm>
          <a:prstGeom prst="callout2">
            <a:avLst>
              <a:gd name="adj1" fmla="val 15792"/>
              <a:gd name="adj2" fmla="val 104278"/>
              <a:gd name="adj3" fmla="val 15792"/>
              <a:gd name="adj4" fmla="val 117111"/>
              <a:gd name="adj5" fmla="val -20843"/>
              <a:gd name="adj6" fmla="val 147957"/>
            </a:avLst>
          </a:prstGeom>
          <a:solidFill>
            <a:srgbClr val="FFFFFF"/>
          </a:solidFill>
          <a:ln w="9525">
            <a:solidFill>
              <a:srgbClr val="000000"/>
            </a:solidFill>
            <a:miter lim="800000"/>
            <a:headEnd type="none" w="lg" len="lg"/>
            <a:tailEnd type="triangle" w="lg" len="lg"/>
          </a:ln>
        </xdr:spPr>
        <xdr:txBody>
          <a:bodyPr vertOverflow="clip" wrap="square" lIns="0" tIns="41148" rIns="45720" bIns="0" anchor="t" upright="1"/>
          <a:lstStyle/>
          <a:p>
            <a:pPr algn="r" rtl="0">
              <a:defRPr sz="1000"/>
            </a:pPr>
            <a:r>
              <a:rPr lang="en-US" sz="2000" b="1" i="0" u="none" strike="noStrike" baseline="0">
                <a:solidFill>
                  <a:srgbClr val="000000"/>
                </a:solidFill>
                <a:latin typeface="Arial"/>
                <a:cs typeface="Arial"/>
              </a:rPr>
              <a:t>Air Flow Channels</a:t>
            </a:r>
          </a:p>
        </xdr:txBody>
      </xdr:sp>
      <xdr:cxnSp macro="">
        <xdr:nvCxnSpPr>
          <xdr:cNvPr id="558" name="Straight Arrow Connector 557"/>
          <xdr:cNvCxnSpPr/>
        </xdr:nvCxnSpPr>
        <xdr:spPr>
          <a:xfrm flipV="1">
            <a:off x="8343900" y="10344151"/>
            <a:ext cx="714376" cy="838199"/>
          </a:xfrm>
          <a:prstGeom prst="straightConnector1">
            <a:avLst/>
          </a:prstGeom>
          <a:ln>
            <a:solidFill>
              <a:sysClr val="windowText" lastClr="00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10</xdr:row>
      <xdr:rowOff>123825</xdr:rowOff>
    </xdr:from>
    <xdr:to>
      <xdr:col>14</xdr:col>
      <xdr:colOff>333375</xdr:colOff>
      <xdr:row>33</xdr:row>
      <xdr:rowOff>133350</xdr:rowOff>
    </xdr:to>
    <xdr:sp macro="" textlink="">
      <xdr:nvSpPr>
        <xdr:cNvPr id="12290" name="Freeform 1026"/>
        <xdr:cNvSpPr>
          <a:spLocks/>
        </xdr:cNvSpPr>
      </xdr:nvSpPr>
      <xdr:spPr bwMode="auto">
        <a:xfrm>
          <a:off x="5181600" y="2066925"/>
          <a:ext cx="3686175" cy="3733800"/>
        </a:xfrm>
        <a:custGeom>
          <a:avLst/>
          <a:gdLst>
            <a:gd name="T0" fmla="*/ 2147483647 w 387"/>
            <a:gd name="T1" fmla="*/ 2147483647 h 392"/>
            <a:gd name="T2" fmla="*/ 2147483647 w 387"/>
            <a:gd name="T3" fmla="*/ 0 h 392"/>
            <a:gd name="T4" fmla="*/ 2147483647 w 387"/>
            <a:gd name="T5" fmla="*/ 2147483647 h 392"/>
            <a:gd name="T6" fmla="*/ 2147483647 w 387"/>
            <a:gd name="T7" fmla="*/ 2147483647 h 392"/>
            <a:gd name="T8" fmla="*/ 2147483647 w 387"/>
            <a:gd name="T9" fmla="*/ 2147483647 h 392"/>
            <a:gd name="T10" fmla="*/ 2147483647 w 387"/>
            <a:gd name="T11" fmla="*/ 2147483647 h 392"/>
            <a:gd name="T12" fmla="*/ 2147483647 w 387"/>
            <a:gd name="T13" fmla="*/ 2147483647 h 392"/>
            <a:gd name="T14" fmla="*/ 2147483647 w 387"/>
            <a:gd name="T15" fmla="*/ 2147483647 h 392"/>
            <a:gd name="T16" fmla="*/ 2147483647 w 387"/>
            <a:gd name="T17" fmla="*/ 2147483647 h 392"/>
            <a:gd name="T18" fmla="*/ 2147483647 w 387"/>
            <a:gd name="T19" fmla="*/ 2147483647 h 392"/>
            <a:gd name="T20" fmla="*/ 0 w 387"/>
            <a:gd name="T21" fmla="*/ 2147483647 h 392"/>
            <a:gd name="T22" fmla="*/ 2147483647 w 387"/>
            <a:gd name="T23" fmla="*/ 2147483647 h 392"/>
            <a:gd name="T24" fmla="*/ 2147483647 w 387"/>
            <a:gd name="T25" fmla="*/ 2147483647 h 392"/>
            <a:gd name="T26" fmla="*/ 2147483647 w 387"/>
            <a:gd name="T27" fmla="*/ 2147483647 h 392"/>
            <a:gd name="T28" fmla="*/ 2147483647 w 387"/>
            <a:gd name="T29" fmla="*/ 2147483647 h 39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387"/>
            <a:gd name="T46" fmla="*/ 0 h 392"/>
            <a:gd name="T47" fmla="*/ 387 w 387"/>
            <a:gd name="T48" fmla="*/ 392 h 39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387" h="392">
              <a:moveTo>
                <a:pt x="3" y="193"/>
              </a:moveTo>
              <a:lnTo>
                <a:pt x="371" y="0"/>
              </a:lnTo>
              <a:lnTo>
                <a:pt x="383" y="22"/>
              </a:lnTo>
              <a:lnTo>
                <a:pt x="381" y="14"/>
              </a:lnTo>
              <a:lnTo>
                <a:pt x="376" y="6"/>
              </a:lnTo>
              <a:cubicBezTo>
                <a:pt x="378" y="7"/>
                <a:pt x="383" y="4"/>
                <a:pt x="385" y="29"/>
              </a:cubicBezTo>
              <a:cubicBezTo>
                <a:pt x="387" y="53"/>
                <a:pt x="386" y="130"/>
                <a:pt x="386" y="151"/>
              </a:cubicBezTo>
              <a:lnTo>
                <a:pt x="385" y="157"/>
              </a:lnTo>
              <a:lnTo>
                <a:pt x="383" y="161"/>
              </a:lnTo>
              <a:lnTo>
                <a:pt x="379" y="164"/>
              </a:lnTo>
              <a:lnTo>
                <a:pt x="0" y="392"/>
              </a:lnTo>
              <a:lnTo>
                <a:pt x="3" y="388"/>
              </a:lnTo>
              <a:lnTo>
                <a:pt x="4" y="203"/>
              </a:lnTo>
              <a:lnTo>
                <a:pt x="5" y="199"/>
              </a:lnTo>
              <a:lnTo>
                <a:pt x="3" y="193"/>
              </a:lnTo>
              <a:close/>
            </a:path>
          </a:pathLst>
        </a:custGeom>
        <a:gradFill rotWithShape="1">
          <a:gsLst>
            <a:gs pos="0">
              <a:srgbClr val="CCFFCC"/>
            </a:gs>
            <a:gs pos="100000">
              <a:srgbClr val="99FFCC"/>
            </a:gs>
          </a:gsLst>
          <a:path path="rect">
            <a:fillToRect l="50000" t="50000" r="50000" b="50000"/>
          </a:path>
        </a:gradFill>
        <a:ln w="19050" cmpd="sng">
          <a:solidFill>
            <a:srgbClr val="000000"/>
          </a:solidFill>
          <a:round/>
          <a:headEnd/>
          <a:tailEnd/>
        </a:ln>
      </xdr:spPr>
    </xdr:sp>
    <xdr:clientData/>
  </xdr:twoCellAnchor>
  <xdr:twoCellAnchor>
    <xdr:from>
      <xdr:col>3</xdr:col>
      <xdr:colOff>371475</xdr:colOff>
      <xdr:row>3</xdr:row>
      <xdr:rowOff>0</xdr:rowOff>
    </xdr:from>
    <xdr:to>
      <xdr:col>14</xdr:col>
      <xdr:colOff>314325</xdr:colOff>
      <xdr:row>24</xdr:row>
      <xdr:rowOff>152400</xdr:rowOff>
    </xdr:to>
    <xdr:sp macro="" textlink="">
      <xdr:nvSpPr>
        <xdr:cNvPr id="12291" name="Freeform 1027"/>
        <xdr:cNvSpPr>
          <a:spLocks/>
        </xdr:cNvSpPr>
      </xdr:nvSpPr>
      <xdr:spPr bwMode="auto">
        <a:xfrm>
          <a:off x="2200275" y="809625"/>
          <a:ext cx="6648450" cy="3552825"/>
        </a:xfrm>
        <a:custGeom>
          <a:avLst/>
          <a:gdLst>
            <a:gd name="T0" fmla="*/ 2147483647 w 698"/>
            <a:gd name="T1" fmla="*/ 2147483647 h 373"/>
            <a:gd name="T2" fmla="*/ 2147483647 w 698"/>
            <a:gd name="T3" fmla="*/ 2147483647 h 373"/>
            <a:gd name="T4" fmla="*/ 2147483647 w 698"/>
            <a:gd name="T5" fmla="*/ 2147483647 h 373"/>
            <a:gd name="T6" fmla="*/ 2147483647 w 698"/>
            <a:gd name="T7" fmla="*/ 2147483647 h 373"/>
            <a:gd name="T8" fmla="*/ 0 w 698"/>
            <a:gd name="T9" fmla="*/ 2147483647 h 373"/>
            <a:gd name="T10" fmla="*/ 2147483647 w 698"/>
            <a:gd name="T11" fmla="*/ 2147483647 h 373"/>
            <a:gd name="T12" fmla="*/ 2147483647 w 698"/>
            <a:gd name="T13" fmla="*/ 0 h 373"/>
            <a:gd name="T14" fmla="*/ 2147483647 w 698"/>
            <a:gd name="T15" fmla="*/ 2147483647 h 373"/>
            <a:gd name="T16" fmla="*/ 2147483647 w 698"/>
            <a:gd name="T17" fmla="*/ 2147483647 h 373"/>
            <a:gd name="T18" fmla="*/ 2147483647 w 698"/>
            <a:gd name="T19" fmla="*/ 2147483647 h 373"/>
            <a:gd name="T20" fmla="*/ 2147483647 w 698"/>
            <a:gd name="T21" fmla="*/ 2147483647 h 373"/>
            <a:gd name="T22" fmla="*/ 2147483647 w 698"/>
            <a:gd name="T23" fmla="*/ 2147483647 h 373"/>
            <a:gd name="T24" fmla="*/ 2147483647 w 698"/>
            <a:gd name="T25" fmla="*/ 2147483647 h 373"/>
            <a:gd name="T26" fmla="*/ 2147483647 w 698"/>
            <a:gd name="T27" fmla="*/ 2147483647 h 373"/>
            <a:gd name="T28" fmla="*/ 2147483647 w 698"/>
            <a:gd name="T29" fmla="*/ 2147483647 h 373"/>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98"/>
            <a:gd name="T46" fmla="*/ 0 h 373"/>
            <a:gd name="T47" fmla="*/ 698 w 698"/>
            <a:gd name="T48" fmla="*/ 373 h 373"/>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98" h="373">
              <a:moveTo>
                <a:pt x="315" y="360"/>
              </a:moveTo>
              <a:lnTo>
                <a:pt x="307" y="352"/>
              </a:lnTo>
              <a:lnTo>
                <a:pt x="14" y="198"/>
              </a:lnTo>
              <a:lnTo>
                <a:pt x="8" y="196"/>
              </a:lnTo>
              <a:lnTo>
                <a:pt x="0" y="196"/>
              </a:lnTo>
              <a:lnTo>
                <a:pt x="374" y="2"/>
              </a:lnTo>
              <a:lnTo>
                <a:pt x="383" y="0"/>
              </a:lnTo>
              <a:lnTo>
                <a:pt x="394" y="3"/>
              </a:lnTo>
              <a:lnTo>
                <a:pt x="686" y="133"/>
              </a:lnTo>
              <a:lnTo>
                <a:pt x="693" y="140"/>
              </a:lnTo>
              <a:lnTo>
                <a:pt x="697" y="152"/>
              </a:lnTo>
              <a:lnTo>
                <a:pt x="695" y="146"/>
              </a:lnTo>
              <a:lnTo>
                <a:pt x="698" y="157"/>
              </a:lnTo>
              <a:lnTo>
                <a:pt x="318" y="373"/>
              </a:lnTo>
              <a:lnTo>
                <a:pt x="315" y="360"/>
              </a:lnTo>
              <a:close/>
            </a:path>
          </a:pathLst>
        </a:custGeom>
        <a:gradFill rotWithShape="1">
          <a:gsLst>
            <a:gs pos="0">
              <a:srgbClr val="CCFFCC"/>
            </a:gs>
            <a:gs pos="50000">
              <a:srgbClr val="69FFFF"/>
            </a:gs>
            <a:gs pos="100000">
              <a:srgbClr val="CCFFCC"/>
            </a:gs>
          </a:gsLst>
          <a:lin ang="2700000" scaled="1"/>
        </a:gradFill>
        <a:ln w="19050" cmpd="sng">
          <a:solidFill>
            <a:srgbClr val="000000"/>
          </a:solidFill>
          <a:round/>
          <a:headEnd/>
          <a:tailEnd/>
        </a:ln>
      </xdr:spPr>
    </xdr:sp>
    <xdr:clientData/>
  </xdr:twoCellAnchor>
  <xdr:twoCellAnchor>
    <xdr:from>
      <xdr:col>3</xdr:col>
      <xdr:colOff>342900</xdr:colOff>
      <xdr:row>14</xdr:row>
      <xdr:rowOff>85725</xdr:rowOff>
    </xdr:from>
    <xdr:to>
      <xdr:col>8</xdr:col>
      <xdr:colOff>342900</xdr:colOff>
      <xdr:row>34</xdr:row>
      <xdr:rowOff>19050</xdr:rowOff>
    </xdr:to>
    <xdr:sp macro="" textlink="">
      <xdr:nvSpPr>
        <xdr:cNvPr id="12292" name="Freeform 1028"/>
        <xdr:cNvSpPr>
          <a:spLocks/>
        </xdr:cNvSpPr>
      </xdr:nvSpPr>
      <xdr:spPr bwMode="auto">
        <a:xfrm>
          <a:off x="2171700" y="2676525"/>
          <a:ext cx="3048000" cy="3171825"/>
        </a:xfrm>
        <a:custGeom>
          <a:avLst/>
          <a:gdLst>
            <a:gd name="T0" fmla="*/ 2147483647 w 320"/>
            <a:gd name="T1" fmla="*/ 2147483647 h 333"/>
            <a:gd name="T2" fmla="*/ 2147483647 w 320"/>
            <a:gd name="T3" fmla="*/ 2147483647 h 333"/>
            <a:gd name="T4" fmla="*/ 2147483647 w 320"/>
            <a:gd name="T5" fmla="*/ 2147483647 h 333"/>
            <a:gd name="T6" fmla="*/ 2147483647 w 320"/>
            <a:gd name="T7" fmla="*/ 2147483647 h 333"/>
            <a:gd name="T8" fmla="*/ 2147483647 w 320"/>
            <a:gd name="T9" fmla="*/ 2147483647 h 333"/>
            <a:gd name="T10" fmla="*/ 2147483647 w 320"/>
            <a:gd name="T11" fmla="*/ 2147483647 h 333"/>
            <a:gd name="T12" fmla="*/ 2147483647 w 320"/>
            <a:gd name="T13" fmla="*/ 2147483647 h 333"/>
            <a:gd name="T14" fmla="*/ 2147483647 w 320"/>
            <a:gd name="T15" fmla="*/ 2147483647 h 333"/>
            <a:gd name="T16" fmla="*/ 0 w 320"/>
            <a:gd name="T17" fmla="*/ 2147483647 h 333"/>
            <a:gd name="T18" fmla="*/ 0 w 320"/>
            <a:gd name="T19" fmla="*/ 2147483647 h 333"/>
            <a:gd name="T20" fmla="*/ 0 w 320"/>
            <a:gd name="T21" fmla="*/ 2147483647 h 333"/>
            <a:gd name="T22" fmla="*/ 2147483647 w 320"/>
            <a:gd name="T23" fmla="*/ 2147483647 h 333"/>
            <a:gd name="T24" fmla="*/ 2147483647 w 320"/>
            <a:gd name="T25" fmla="*/ 0 h 333"/>
            <a:gd name="T26" fmla="*/ 2147483647 w 320"/>
            <a:gd name="T27" fmla="*/ 2147483647 h 333"/>
            <a:gd name="T28" fmla="*/ 2147483647 w 320"/>
            <a:gd name="T29" fmla="*/ 2147483647 h 333"/>
            <a:gd name="T30" fmla="*/ 2147483647 w 320"/>
            <a:gd name="T31" fmla="*/ 2147483647 h 333"/>
            <a:gd name="T32" fmla="*/ 2147483647 w 320"/>
            <a:gd name="T33" fmla="*/ 2147483647 h 333"/>
            <a:gd name="T34" fmla="*/ 2147483647 w 320"/>
            <a:gd name="T35" fmla="*/ 2147483647 h 333"/>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20"/>
            <a:gd name="T55" fmla="*/ 0 h 333"/>
            <a:gd name="T56" fmla="*/ 320 w 320"/>
            <a:gd name="T57" fmla="*/ 333 h 333"/>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20" h="333">
              <a:moveTo>
                <a:pt x="320" y="181"/>
              </a:moveTo>
              <a:lnTo>
                <a:pt x="320" y="323"/>
              </a:lnTo>
              <a:lnTo>
                <a:pt x="314" y="330"/>
              </a:lnTo>
              <a:lnTo>
                <a:pt x="308" y="333"/>
              </a:lnTo>
              <a:lnTo>
                <a:pt x="299" y="329"/>
              </a:lnTo>
              <a:lnTo>
                <a:pt x="9" y="163"/>
              </a:lnTo>
              <a:lnTo>
                <a:pt x="4" y="158"/>
              </a:lnTo>
              <a:lnTo>
                <a:pt x="1" y="151"/>
              </a:lnTo>
              <a:lnTo>
                <a:pt x="0" y="145"/>
              </a:lnTo>
              <a:lnTo>
                <a:pt x="0" y="12"/>
              </a:lnTo>
              <a:lnTo>
                <a:pt x="0" y="6"/>
              </a:lnTo>
              <a:lnTo>
                <a:pt x="3" y="1"/>
              </a:lnTo>
              <a:lnTo>
                <a:pt x="9" y="0"/>
              </a:lnTo>
              <a:lnTo>
                <a:pt x="16" y="1"/>
              </a:lnTo>
              <a:lnTo>
                <a:pt x="308" y="155"/>
              </a:lnTo>
              <a:lnTo>
                <a:pt x="315" y="163"/>
              </a:lnTo>
              <a:lnTo>
                <a:pt x="319" y="171"/>
              </a:lnTo>
              <a:lnTo>
                <a:pt x="320" y="181"/>
              </a:lnTo>
              <a:close/>
            </a:path>
          </a:pathLst>
        </a:custGeom>
        <a:gradFill rotWithShape="1">
          <a:gsLst>
            <a:gs pos="0">
              <a:srgbClr val="69FFFF"/>
            </a:gs>
            <a:gs pos="100000">
              <a:srgbClr val="CCFFCC"/>
            </a:gs>
          </a:gsLst>
          <a:lin ang="18900000" scaled="1"/>
        </a:gradFill>
        <a:ln w="19050" cmpd="sng">
          <a:solidFill>
            <a:srgbClr val="000000"/>
          </a:solidFill>
          <a:round/>
          <a:headEnd/>
          <a:tailEnd/>
        </a:ln>
      </xdr:spPr>
    </xdr:sp>
    <xdr:clientData/>
  </xdr:twoCellAnchor>
  <xdr:twoCellAnchor>
    <xdr:from>
      <xdr:col>8</xdr:col>
      <xdr:colOff>257175</xdr:colOff>
      <xdr:row>10</xdr:row>
      <xdr:rowOff>152400</xdr:rowOff>
    </xdr:from>
    <xdr:to>
      <xdr:col>14</xdr:col>
      <xdr:colOff>304800</xdr:colOff>
      <xdr:row>25</xdr:row>
      <xdr:rowOff>28575</xdr:rowOff>
    </xdr:to>
    <xdr:sp macro="" textlink="">
      <xdr:nvSpPr>
        <xdr:cNvPr id="12293" name="Freeform 1029"/>
        <xdr:cNvSpPr>
          <a:spLocks/>
        </xdr:cNvSpPr>
      </xdr:nvSpPr>
      <xdr:spPr bwMode="auto">
        <a:xfrm>
          <a:off x="5133975" y="2095500"/>
          <a:ext cx="3705225" cy="2305050"/>
        </a:xfrm>
        <a:custGeom>
          <a:avLst/>
          <a:gdLst>
            <a:gd name="T0" fmla="*/ 2147483647 w 389"/>
            <a:gd name="T1" fmla="*/ 2147483647 h 242"/>
            <a:gd name="T2" fmla="*/ 2147483647 w 389"/>
            <a:gd name="T3" fmla="*/ 2147483647 h 242"/>
            <a:gd name="T4" fmla="*/ 0 w 389"/>
            <a:gd name="T5" fmla="*/ 2147483647 h 242"/>
            <a:gd name="T6" fmla="*/ 2147483647 w 389"/>
            <a:gd name="T7" fmla="*/ 0 h 242"/>
            <a:gd name="T8" fmla="*/ 2147483647 w 389"/>
            <a:gd name="T9" fmla="*/ 2147483647 h 242"/>
            <a:gd name="T10" fmla="*/ 2147483647 w 389"/>
            <a:gd name="T11" fmla="*/ 2147483647 h 242"/>
            <a:gd name="T12" fmla="*/ 2147483647 w 389"/>
            <a:gd name="T13" fmla="*/ 2147483647 h 242"/>
            <a:gd name="T14" fmla="*/ 0 60000 65536"/>
            <a:gd name="T15" fmla="*/ 0 60000 65536"/>
            <a:gd name="T16" fmla="*/ 0 60000 65536"/>
            <a:gd name="T17" fmla="*/ 0 60000 65536"/>
            <a:gd name="T18" fmla="*/ 0 60000 65536"/>
            <a:gd name="T19" fmla="*/ 0 60000 65536"/>
            <a:gd name="T20" fmla="*/ 0 60000 65536"/>
            <a:gd name="T21" fmla="*/ 0 w 389"/>
            <a:gd name="T22" fmla="*/ 0 h 242"/>
            <a:gd name="T23" fmla="*/ 389 w 389"/>
            <a:gd name="T24" fmla="*/ 242 h 24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89" h="242">
              <a:moveTo>
                <a:pt x="11" y="242"/>
              </a:moveTo>
              <a:lnTo>
                <a:pt x="8" y="225"/>
              </a:lnTo>
              <a:lnTo>
                <a:pt x="0" y="216"/>
              </a:lnTo>
              <a:lnTo>
                <a:pt x="378" y="0"/>
              </a:lnTo>
              <a:lnTo>
                <a:pt x="387" y="11"/>
              </a:lnTo>
              <a:lnTo>
                <a:pt x="389" y="25"/>
              </a:lnTo>
              <a:lnTo>
                <a:pt x="11" y="242"/>
              </a:lnTo>
              <a:close/>
            </a:path>
          </a:pathLst>
        </a:custGeom>
        <a:gradFill rotWithShape="1">
          <a:gsLst>
            <a:gs pos="0">
              <a:srgbClr val="DDDDDD"/>
            </a:gs>
            <a:gs pos="100000">
              <a:srgbClr val="CCFFCC"/>
            </a:gs>
          </a:gsLst>
          <a:path path="rect">
            <a:fillToRect l="50000" t="50000" r="50000" b="50000"/>
          </a:path>
        </a:gradFill>
        <a:ln w="9525">
          <a:noFill/>
          <a:round/>
          <a:headEnd/>
          <a:tailEnd/>
        </a:ln>
      </xdr:spPr>
    </xdr:sp>
    <xdr:clientData/>
  </xdr:twoCellAnchor>
  <xdr:twoCellAnchor>
    <xdr:from>
      <xdr:col>0</xdr:col>
      <xdr:colOff>514350</xdr:colOff>
      <xdr:row>38</xdr:row>
      <xdr:rowOff>28575</xdr:rowOff>
    </xdr:from>
    <xdr:to>
      <xdr:col>7</xdr:col>
      <xdr:colOff>161925</xdr:colOff>
      <xdr:row>47</xdr:row>
      <xdr:rowOff>28575</xdr:rowOff>
    </xdr:to>
    <xdr:sp macro="" textlink="">
      <xdr:nvSpPr>
        <xdr:cNvPr id="12294" name="AutoShape 1030"/>
        <xdr:cNvSpPr>
          <a:spLocks noChangeArrowheads="1"/>
        </xdr:cNvSpPr>
      </xdr:nvSpPr>
      <xdr:spPr bwMode="auto">
        <a:xfrm>
          <a:off x="514350" y="6505575"/>
          <a:ext cx="3914775" cy="1457325"/>
        </a:xfrm>
        <a:prstGeom prst="roundRect">
          <a:avLst>
            <a:gd name="adj" fmla="val 11111"/>
          </a:avLst>
        </a:prstGeom>
        <a:solidFill>
          <a:srgbClr val="999933"/>
        </a:solidFill>
        <a:ln w="19050">
          <a:solidFill>
            <a:srgbClr val="000000"/>
          </a:solidFill>
          <a:round/>
          <a:headEnd/>
          <a:tailEnd/>
        </a:ln>
      </xdr:spPr>
    </xdr:sp>
    <xdr:clientData/>
  </xdr:twoCellAnchor>
  <xdr:twoCellAnchor>
    <xdr:from>
      <xdr:col>0</xdr:col>
      <xdr:colOff>590550</xdr:colOff>
      <xdr:row>38</xdr:row>
      <xdr:rowOff>104775</xdr:rowOff>
    </xdr:from>
    <xdr:to>
      <xdr:col>7</xdr:col>
      <xdr:colOff>85725</xdr:colOff>
      <xdr:row>46</xdr:row>
      <xdr:rowOff>104775</xdr:rowOff>
    </xdr:to>
    <xdr:sp macro="" textlink="">
      <xdr:nvSpPr>
        <xdr:cNvPr id="12295" name="AutoShape 1031"/>
        <xdr:cNvSpPr>
          <a:spLocks noChangeArrowheads="1"/>
        </xdr:cNvSpPr>
      </xdr:nvSpPr>
      <xdr:spPr bwMode="auto">
        <a:xfrm>
          <a:off x="590550" y="6581775"/>
          <a:ext cx="3762375" cy="1295400"/>
        </a:xfrm>
        <a:prstGeom prst="roundRect">
          <a:avLst>
            <a:gd name="adj" fmla="val 6616"/>
          </a:avLst>
        </a:prstGeom>
        <a:solidFill>
          <a:srgbClr val="FFFFFF"/>
        </a:solidFill>
        <a:ln w="19050">
          <a:solidFill>
            <a:srgbClr val="000000"/>
          </a:solidFill>
          <a:round/>
          <a:headEnd/>
          <a:tailEnd/>
        </a:ln>
      </xdr:spPr>
    </xdr:sp>
    <xdr:clientData/>
  </xdr:twoCellAnchor>
  <xdr:twoCellAnchor>
    <xdr:from>
      <xdr:col>3</xdr:col>
      <xdr:colOff>542925</xdr:colOff>
      <xdr:row>39</xdr:row>
      <xdr:rowOff>19050</xdr:rowOff>
    </xdr:from>
    <xdr:to>
      <xdr:col>4</xdr:col>
      <xdr:colOff>123825</xdr:colOff>
      <xdr:row>46</xdr:row>
      <xdr:rowOff>9525</xdr:rowOff>
    </xdr:to>
    <xdr:sp macro="" textlink="">
      <xdr:nvSpPr>
        <xdr:cNvPr id="12296" name="Rectangle 1032" descr="10%"/>
        <xdr:cNvSpPr>
          <a:spLocks noChangeArrowheads="1"/>
        </xdr:cNvSpPr>
      </xdr:nvSpPr>
      <xdr:spPr bwMode="auto">
        <a:xfrm>
          <a:off x="2371725" y="6657975"/>
          <a:ext cx="190500" cy="1123950"/>
        </a:xfrm>
        <a:prstGeom prst="rect">
          <a:avLst/>
        </a:prstGeom>
        <a:pattFill prst="pct10">
          <a:fgClr>
            <a:srgbClr val="000000"/>
          </a:fgClr>
          <a:bgClr>
            <a:srgbClr val="FFFF66"/>
          </a:bgClr>
        </a:pattFill>
        <a:ln w="9525">
          <a:solidFill>
            <a:srgbClr val="000000"/>
          </a:solidFill>
          <a:miter lim="800000"/>
          <a:headEnd/>
          <a:tailEnd/>
        </a:ln>
      </xdr:spPr>
    </xdr:sp>
    <xdr:clientData/>
  </xdr:twoCellAnchor>
  <xdr:twoCellAnchor>
    <xdr:from>
      <xdr:col>4</xdr:col>
      <xdr:colOff>104775</xdr:colOff>
      <xdr:row>39</xdr:row>
      <xdr:rowOff>19050</xdr:rowOff>
    </xdr:from>
    <xdr:to>
      <xdr:col>7</xdr:col>
      <xdr:colOff>76200</xdr:colOff>
      <xdr:row>46</xdr:row>
      <xdr:rowOff>9525</xdr:rowOff>
    </xdr:to>
    <xdr:sp macro="" textlink="">
      <xdr:nvSpPr>
        <xdr:cNvPr id="12297" name="Rectangle 1033"/>
        <xdr:cNvSpPr>
          <a:spLocks noChangeArrowheads="1"/>
        </xdr:cNvSpPr>
      </xdr:nvSpPr>
      <xdr:spPr bwMode="auto">
        <a:xfrm>
          <a:off x="2543175" y="6657975"/>
          <a:ext cx="1800225" cy="1123950"/>
        </a:xfrm>
        <a:prstGeom prst="rect">
          <a:avLst/>
        </a:prstGeom>
        <a:solidFill>
          <a:srgbClr val="C0C0C0"/>
        </a:solidFill>
        <a:ln w="9525">
          <a:solidFill>
            <a:srgbClr val="000000"/>
          </a:solidFill>
          <a:miter lim="800000"/>
          <a:headEnd/>
          <a:tailEnd/>
        </a:ln>
      </xdr:spPr>
    </xdr:sp>
    <xdr:clientData/>
  </xdr:twoCellAnchor>
  <xdr:twoCellAnchor>
    <xdr:from>
      <xdr:col>0</xdr:col>
      <xdr:colOff>590550</xdr:colOff>
      <xdr:row>39</xdr:row>
      <xdr:rowOff>19050</xdr:rowOff>
    </xdr:from>
    <xdr:to>
      <xdr:col>3</xdr:col>
      <xdr:colOff>561975</xdr:colOff>
      <xdr:row>46</xdr:row>
      <xdr:rowOff>9525</xdr:rowOff>
    </xdr:to>
    <xdr:sp macro="" textlink="">
      <xdr:nvSpPr>
        <xdr:cNvPr id="12298" name="Rectangle 1034"/>
        <xdr:cNvSpPr>
          <a:spLocks noChangeArrowheads="1"/>
        </xdr:cNvSpPr>
      </xdr:nvSpPr>
      <xdr:spPr bwMode="auto">
        <a:xfrm>
          <a:off x="590550" y="6657975"/>
          <a:ext cx="1800225" cy="1123950"/>
        </a:xfrm>
        <a:prstGeom prst="rect">
          <a:avLst/>
        </a:prstGeom>
        <a:solidFill>
          <a:srgbClr val="C0C0C0"/>
        </a:solidFill>
        <a:ln w="9525">
          <a:solidFill>
            <a:srgbClr val="000000"/>
          </a:solidFill>
          <a:miter lim="800000"/>
          <a:headEnd/>
          <a:tailEnd/>
        </a:ln>
      </xdr:spPr>
    </xdr:sp>
    <xdr:clientData/>
  </xdr:twoCellAnchor>
  <xdr:twoCellAnchor>
    <xdr:from>
      <xdr:col>8</xdr:col>
      <xdr:colOff>333375</xdr:colOff>
      <xdr:row>38</xdr:row>
      <xdr:rowOff>9525</xdr:rowOff>
    </xdr:from>
    <xdr:to>
      <xdr:col>15</xdr:col>
      <xdr:colOff>438150</xdr:colOff>
      <xdr:row>47</xdr:row>
      <xdr:rowOff>9525</xdr:rowOff>
    </xdr:to>
    <xdr:sp macro="" textlink="">
      <xdr:nvSpPr>
        <xdr:cNvPr id="12299" name="AutoShape 1035"/>
        <xdr:cNvSpPr>
          <a:spLocks noChangeArrowheads="1"/>
        </xdr:cNvSpPr>
      </xdr:nvSpPr>
      <xdr:spPr bwMode="auto">
        <a:xfrm>
          <a:off x="5210175" y="6486525"/>
          <a:ext cx="4371975" cy="1457325"/>
        </a:xfrm>
        <a:prstGeom prst="roundRect">
          <a:avLst>
            <a:gd name="adj" fmla="val 11111"/>
          </a:avLst>
        </a:prstGeom>
        <a:solidFill>
          <a:srgbClr val="999933"/>
        </a:solidFill>
        <a:ln w="19050">
          <a:solidFill>
            <a:srgbClr val="000000"/>
          </a:solidFill>
          <a:round/>
          <a:headEnd/>
          <a:tailEnd/>
        </a:ln>
      </xdr:spPr>
    </xdr:sp>
    <xdr:clientData/>
  </xdr:twoCellAnchor>
  <xdr:twoCellAnchor>
    <xdr:from>
      <xdr:col>8</xdr:col>
      <xdr:colOff>428625</xdr:colOff>
      <xdr:row>38</xdr:row>
      <xdr:rowOff>95250</xdr:rowOff>
    </xdr:from>
    <xdr:to>
      <xdr:col>15</xdr:col>
      <xdr:colOff>361950</xdr:colOff>
      <xdr:row>46</xdr:row>
      <xdr:rowOff>95250</xdr:rowOff>
    </xdr:to>
    <xdr:sp macro="" textlink="">
      <xdr:nvSpPr>
        <xdr:cNvPr id="12300" name="AutoShape 1036"/>
        <xdr:cNvSpPr>
          <a:spLocks noChangeArrowheads="1"/>
        </xdr:cNvSpPr>
      </xdr:nvSpPr>
      <xdr:spPr bwMode="auto">
        <a:xfrm>
          <a:off x="5305425" y="6572250"/>
          <a:ext cx="4200525" cy="1295400"/>
        </a:xfrm>
        <a:prstGeom prst="roundRect">
          <a:avLst>
            <a:gd name="adj" fmla="val 6616"/>
          </a:avLst>
        </a:prstGeom>
        <a:solidFill>
          <a:srgbClr val="FFFFFF"/>
        </a:solidFill>
        <a:ln w="19050">
          <a:solidFill>
            <a:srgbClr val="000000"/>
          </a:solidFill>
          <a:round/>
          <a:headEnd/>
          <a:tailEnd/>
        </a:ln>
      </xdr:spPr>
    </xdr:sp>
    <xdr:clientData/>
  </xdr:twoCellAnchor>
  <xdr:twoCellAnchor>
    <xdr:from>
      <xdr:col>13</xdr:col>
      <xdr:colOff>209550</xdr:colOff>
      <xdr:row>39</xdr:row>
      <xdr:rowOff>19050</xdr:rowOff>
    </xdr:from>
    <xdr:to>
      <xdr:col>15</xdr:col>
      <xdr:colOff>219075</xdr:colOff>
      <xdr:row>45</xdr:row>
      <xdr:rowOff>142875</xdr:rowOff>
    </xdr:to>
    <xdr:sp macro="" textlink="">
      <xdr:nvSpPr>
        <xdr:cNvPr id="12301" name="AutoShape 1037"/>
        <xdr:cNvSpPr>
          <a:spLocks noChangeArrowheads="1"/>
        </xdr:cNvSpPr>
      </xdr:nvSpPr>
      <xdr:spPr bwMode="auto">
        <a:xfrm>
          <a:off x="8134350" y="6657975"/>
          <a:ext cx="1228725" cy="1095375"/>
        </a:xfrm>
        <a:prstGeom prst="roundRect">
          <a:avLst>
            <a:gd name="adj" fmla="val 6778"/>
          </a:avLst>
        </a:prstGeom>
        <a:solidFill>
          <a:srgbClr val="C0C0C0"/>
        </a:solidFill>
        <a:ln w="9525">
          <a:solidFill>
            <a:srgbClr val="000000"/>
          </a:solidFill>
          <a:round/>
          <a:headEnd/>
          <a:tailEnd/>
        </a:ln>
      </xdr:spPr>
    </xdr:sp>
    <xdr:clientData/>
  </xdr:twoCellAnchor>
  <xdr:twoCellAnchor>
    <xdr:from>
      <xdr:col>15</xdr:col>
      <xdr:colOff>219075</xdr:colOff>
      <xdr:row>39</xdr:row>
      <xdr:rowOff>47625</xdr:rowOff>
    </xdr:from>
    <xdr:to>
      <xdr:col>15</xdr:col>
      <xdr:colOff>257175</xdr:colOff>
      <xdr:row>45</xdr:row>
      <xdr:rowOff>152400</xdr:rowOff>
    </xdr:to>
    <xdr:sp macro="" textlink="">
      <xdr:nvSpPr>
        <xdr:cNvPr id="12302" name="Rectangle 1038" descr="Dark upward diagonal"/>
        <xdr:cNvSpPr>
          <a:spLocks noChangeArrowheads="1"/>
        </xdr:cNvSpPr>
      </xdr:nvSpPr>
      <xdr:spPr bwMode="auto">
        <a:xfrm>
          <a:off x="9363075" y="6686550"/>
          <a:ext cx="38100" cy="1076325"/>
        </a:xfrm>
        <a:prstGeom prst="rect">
          <a:avLst/>
        </a:prstGeom>
        <a:pattFill prst="dkUpDiag">
          <a:fgClr>
            <a:srgbClr val="000000"/>
          </a:fgClr>
          <a:bgClr>
            <a:srgbClr val="FFFFFF"/>
          </a:bgClr>
        </a:pattFill>
        <a:ln w="9525">
          <a:solidFill>
            <a:srgbClr val="000000"/>
          </a:solidFill>
          <a:miter lim="800000"/>
          <a:headEnd/>
          <a:tailEnd/>
        </a:ln>
      </xdr:spPr>
    </xdr:sp>
    <xdr:clientData/>
  </xdr:twoCellAnchor>
  <xdr:twoCellAnchor>
    <xdr:from>
      <xdr:col>9</xdr:col>
      <xdr:colOff>152400</xdr:colOff>
      <xdr:row>39</xdr:row>
      <xdr:rowOff>47625</xdr:rowOff>
    </xdr:from>
    <xdr:to>
      <xdr:col>9</xdr:col>
      <xdr:colOff>190500</xdr:colOff>
      <xdr:row>45</xdr:row>
      <xdr:rowOff>152400</xdr:rowOff>
    </xdr:to>
    <xdr:sp macro="" textlink="">
      <xdr:nvSpPr>
        <xdr:cNvPr id="12303" name="Rectangle 1039" descr="Dark upward diagonal"/>
        <xdr:cNvSpPr>
          <a:spLocks noChangeArrowheads="1"/>
        </xdr:cNvSpPr>
      </xdr:nvSpPr>
      <xdr:spPr bwMode="auto">
        <a:xfrm>
          <a:off x="5638800" y="6686550"/>
          <a:ext cx="38100" cy="1076325"/>
        </a:xfrm>
        <a:prstGeom prst="rect">
          <a:avLst/>
        </a:prstGeom>
        <a:pattFill prst="dkUpDiag">
          <a:fgClr>
            <a:srgbClr val="000000"/>
          </a:fgClr>
          <a:bgClr>
            <a:srgbClr val="FFFFFF"/>
          </a:bgClr>
        </a:pattFill>
        <a:ln w="9525">
          <a:solidFill>
            <a:srgbClr val="000000"/>
          </a:solidFill>
          <a:miter lim="800000"/>
          <a:headEnd/>
          <a:tailEnd/>
        </a:ln>
      </xdr:spPr>
    </xdr:sp>
    <xdr:clientData/>
  </xdr:twoCellAnchor>
  <xdr:twoCellAnchor>
    <xdr:from>
      <xdr:col>9</xdr:col>
      <xdr:colOff>190500</xdr:colOff>
      <xdr:row>39</xdr:row>
      <xdr:rowOff>19050</xdr:rowOff>
    </xdr:from>
    <xdr:to>
      <xdr:col>11</xdr:col>
      <xdr:colOff>200025</xdr:colOff>
      <xdr:row>45</xdr:row>
      <xdr:rowOff>142875</xdr:rowOff>
    </xdr:to>
    <xdr:sp macro="" textlink="">
      <xdr:nvSpPr>
        <xdr:cNvPr id="12304" name="AutoShape 1040"/>
        <xdr:cNvSpPr>
          <a:spLocks noChangeArrowheads="1"/>
        </xdr:cNvSpPr>
      </xdr:nvSpPr>
      <xdr:spPr bwMode="auto">
        <a:xfrm>
          <a:off x="5676900" y="6657975"/>
          <a:ext cx="1228725" cy="1095375"/>
        </a:xfrm>
        <a:prstGeom prst="roundRect">
          <a:avLst>
            <a:gd name="adj" fmla="val 6778"/>
          </a:avLst>
        </a:prstGeom>
        <a:solidFill>
          <a:srgbClr val="C0C0C0"/>
        </a:solidFill>
        <a:ln w="9525">
          <a:solidFill>
            <a:srgbClr val="000000"/>
          </a:solidFill>
          <a:round/>
          <a:headEnd/>
          <a:tailEnd/>
        </a:ln>
      </xdr:spPr>
    </xdr:sp>
    <xdr:clientData/>
  </xdr:twoCellAnchor>
  <xdr:twoCellAnchor>
    <xdr:from>
      <xdr:col>11</xdr:col>
      <xdr:colOff>200025</xdr:colOff>
      <xdr:row>39</xdr:row>
      <xdr:rowOff>19050</xdr:rowOff>
    </xdr:from>
    <xdr:to>
      <xdr:col>13</xdr:col>
      <xdr:colOff>209550</xdr:colOff>
      <xdr:row>45</xdr:row>
      <xdr:rowOff>142875</xdr:rowOff>
    </xdr:to>
    <xdr:sp macro="" textlink="">
      <xdr:nvSpPr>
        <xdr:cNvPr id="12305" name="AutoShape 1041"/>
        <xdr:cNvSpPr>
          <a:spLocks noChangeArrowheads="1"/>
        </xdr:cNvSpPr>
      </xdr:nvSpPr>
      <xdr:spPr bwMode="auto">
        <a:xfrm>
          <a:off x="6905625" y="6657975"/>
          <a:ext cx="1228725" cy="1095375"/>
        </a:xfrm>
        <a:prstGeom prst="roundRect">
          <a:avLst>
            <a:gd name="adj" fmla="val 6778"/>
          </a:avLst>
        </a:prstGeom>
        <a:solidFill>
          <a:srgbClr val="C0C0C0"/>
        </a:solidFill>
        <a:ln w="9525">
          <a:solidFill>
            <a:srgbClr val="000000"/>
          </a:solidFill>
          <a:round/>
          <a:headEnd/>
          <a:tailEnd/>
        </a:ln>
      </xdr:spPr>
    </xdr:sp>
    <xdr:clientData/>
  </xdr:twoCellAnchor>
  <xdr:twoCellAnchor>
    <xdr:from>
      <xdr:col>9</xdr:col>
      <xdr:colOff>57150</xdr:colOff>
      <xdr:row>38</xdr:row>
      <xdr:rowOff>9525</xdr:rowOff>
    </xdr:from>
    <xdr:to>
      <xdr:col>9</xdr:col>
      <xdr:colOff>104775</xdr:colOff>
      <xdr:row>38</xdr:row>
      <xdr:rowOff>85725</xdr:rowOff>
    </xdr:to>
    <xdr:sp macro="" textlink="">
      <xdr:nvSpPr>
        <xdr:cNvPr id="12306" name="Rectangle 1042"/>
        <xdr:cNvSpPr>
          <a:spLocks noChangeArrowheads="1"/>
        </xdr:cNvSpPr>
      </xdr:nvSpPr>
      <xdr:spPr bwMode="auto">
        <a:xfrm>
          <a:off x="5543550" y="6486525"/>
          <a:ext cx="47625" cy="76200"/>
        </a:xfrm>
        <a:prstGeom prst="rect">
          <a:avLst/>
        </a:prstGeom>
        <a:solidFill>
          <a:srgbClr val="000000"/>
        </a:solidFill>
        <a:ln w="9525">
          <a:solidFill>
            <a:srgbClr val="000000"/>
          </a:solidFill>
          <a:miter lim="800000"/>
          <a:headEnd/>
          <a:tailEnd/>
        </a:ln>
      </xdr:spPr>
    </xdr:sp>
    <xdr:clientData/>
  </xdr:twoCellAnchor>
  <xdr:twoCellAnchor>
    <xdr:from>
      <xdr:col>9</xdr:col>
      <xdr:colOff>57150</xdr:colOff>
      <xdr:row>38</xdr:row>
      <xdr:rowOff>104775</xdr:rowOff>
    </xdr:from>
    <xdr:to>
      <xdr:col>9</xdr:col>
      <xdr:colOff>133350</xdr:colOff>
      <xdr:row>46</xdr:row>
      <xdr:rowOff>85725</xdr:rowOff>
    </xdr:to>
    <xdr:sp macro="" textlink="">
      <xdr:nvSpPr>
        <xdr:cNvPr id="12307" name="Rectangle 1043"/>
        <xdr:cNvSpPr>
          <a:spLocks noChangeArrowheads="1"/>
        </xdr:cNvSpPr>
      </xdr:nvSpPr>
      <xdr:spPr bwMode="auto">
        <a:xfrm>
          <a:off x="5543550" y="6581775"/>
          <a:ext cx="76200" cy="1276350"/>
        </a:xfrm>
        <a:prstGeom prst="rect">
          <a:avLst/>
        </a:prstGeom>
        <a:solidFill>
          <a:srgbClr val="999933"/>
        </a:solidFill>
        <a:ln w="9525">
          <a:solidFill>
            <a:srgbClr val="000000"/>
          </a:solidFill>
          <a:miter lim="800000"/>
          <a:headEnd/>
          <a:tailEnd/>
        </a:ln>
      </xdr:spPr>
    </xdr:sp>
    <xdr:clientData/>
  </xdr:twoCellAnchor>
  <xdr:twoCellAnchor>
    <xdr:from>
      <xdr:col>8</xdr:col>
      <xdr:colOff>295275</xdr:colOff>
      <xdr:row>37</xdr:row>
      <xdr:rowOff>28575</xdr:rowOff>
    </xdr:from>
    <xdr:to>
      <xdr:col>9</xdr:col>
      <xdr:colOff>38100</xdr:colOff>
      <xdr:row>47</xdr:row>
      <xdr:rowOff>85725</xdr:rowOff>
    </xdr:to>
    <xdr:sp macro="" textlink="">
      <xdr:nvSpPr>
        <xdr:cNvPr id="12308" name="Rectangle 1044"/>
        <xdr:cNvSpPr>
          <a:spLocks noChangeArrowheads="1"/>
        </xdr:cNvSpPr>
      </xdr:nvSpPr>
      <xdr:spPr bwMode="auto">
        <a:xfrm>
          <a:off x="5172075" y="6343650"/>
          <a:ext cx="352425" cy="1676400"/>
        </a:xfrm>
        <a:prstGeom prst="rect">
          <a:avLst/>
        </a:prstGeom>
        <a:solidFill>
          <a:srgbClr val="FFFFFF"/>
        </a:solidFill>
        <a:ln w="9525">
          <a:noFill/>
          <a:miter lim="800000"/>
          <a:headEnd/>
          <a:tailEnd/>
        </a:ln>
      </xdr:spPr>
    </xdr:sp>
    <xdr:clientData/>
  </xdr:twoCellAnchor>
  <xdr:twoCellAnchor>
    <xdr:from>
      <xdr:col>9</xdr:col>
      <xdr:colOff>28575</xdr:colOff>
      <xdr:row>38</xdr:row>
      <xdr:rowOff>0</xdr:rowOff>
    </xdr:from>
    <xdr:to>
      <xdr:col>9</xdr:col>
      <xdr:colOff>57150</xdr:colOff>
      <xdr:row>47</xdr:row>
      <xdr:rowOff>19050</xdr:rowOff>
    </xdr:to>
    <xdr:sp macro="" textlink="">
      <xdr:nvSpPr>
        <xdr:cNvPr id="12309" name="Rectangle 1045" descr="Dark downward diagonal"/>
        <xdr:cNvSpPr>
          <a:spLocks noChangeArrowheads="1"/>
        </xdr:cNvSpPr>
      </xdr:nvSpPr>
      <xdr:spPr bwMode="auto">
        <a:xfrm>
          <a:off x="5514975" y="6477000"/>
          <a:ext cx="28575" cy="1476375"/>
        </a:xfrm>
        <a:prstGeom prst="rect">
          <a:avLst/>
        </a:prstGeom>
        <a:pattFill prst="dkDnDiag">
          <a:fgClr>
            <a:srgbClr val="000000"/>
          </a:fgClr>
          <a:bgClr>
            <a:srgbClr val="6699FF"/>
          </a:bgClr>
        </a:pattFill>
        <a:ln w="9525">
          <a:solidFill>
            <a:srgbClr val="000000"/>
          </a:solidFill>
          <a:miter lim="800000"/>
          <a:headEnd/>
          <a:tailEnd/>
        </a:ln>
      </xdr:spPr>
    </xdr:sp>
    <xdr:clientData/>
  </xdr:twoCellAnchor>
  <xdr:twoCellAnchor>
    <xdr:from>
      <xdr:col>9</xdr:col>
      <xdr:colOff>66675</xdr:colOff>
      <xdr:row>46</xdr:row>
      <xdr:rowOff>95250</xdr:rowOff>
    </xdr:from>
    <xdr:to>
      <xdr:col>9</xdr:col>
      <xdr:colOff>114300</xdr:colOff>
      <xdr:row>47</xdr:row>
      <xdr:rowOff>9525</xdr:rowOff>
    </xdr:to>
    <xdr:sp macro="" textlink="">
      <xdr:nvSpPr>
        <xdr:cNvPr id="12310" name="Rectangle 1046"/>
        <xdr:cNvSpPr>
          <a:spLocks noChangeArrowheads="1"/>
        </xdr:cNvSpPr>
      </xdr:nvSpPr>
      <xdr:spPr bwMode="auto">
        <a:xfrm>
          <a:off x="5553075" y="7867650"/>
          <a:ext cx="47625" cy="76200"/>
        </a:xfrm>
        <a:prstGeom prst="rect">
          <a:avLst/>
        </a:prstGeom>
        <a:solidFill>
          <a:srgbClr val="000000"/>
        </a:solidFill>
        <a:ln w="9525">
          <a:solidFill>
            <a:srgbClr val="000000"/>
          </a:solidFill>
          <a:miter lim="800000"/>
          <a:headEnd/>
          <a:tailEnd/>
        </a:ln>
      </xdr:spPr>
    </xdr:sp>
    <xdr:clientData/>
  </xdr:twoCellAnchor>
  <xdr:twoCellAnchor>
    <xdr:from>
      <xdr:col>8</xdr:col>
      <xdr:colOff>581025</xdr:colOff>
      <xdr:row>38</xdr:row>
      <xdr:rowOff>0</xdr:rowOff>
    </xdr:from>
    <xdr:to>
      <xdr:col>9</xdr:col>
      <xdr:colOff>114300</xdr:colOff>
      <xdr:row>38</xdr:row>
      <xdr:rowOff>104775</xdr:rowOff>
    </xdr:to>
    <xdr:grpSp>
      <xdr:nvGrpSpPr>
        <xdr:cNvPr id="12311" name="Group 1047"/>
        <xdr:cNvGrpSpPr>
          <a:grpSpLocks/>
        </xdr:cNvGrpSpPr>
      </xdr:nvGrpSpPr>
      <xdr:grpSpPr bwMode="auto">
        <a:xfrm>
          <a:off x="5457825" y="6477000"/>
          <a:ext cx="142875" cy="104775"/>
          <a:chOff x="719" y="713"/>
          <a:chExt cx="15" cy="11"/>
        </a:xfrm>
      </xdr:grpSpPr>
      <xdr:grpSp>
        <xdr:nvGrpSpPr>
          <xdr:cNvPr id="12800" name="Group 1048"/>
          <xdr:cNvGrpSpPr>
            <a:grpSpLocks/>
          </xdr:cNvGrpSpPr>
        </xdr:nvGrpSpPr>
        <xdr:grpSpPr bwMode="auto">
          <a:xfrm>
            <a:off x="719" y="713"/>
            <a:ext cx="5" cy="11"/>
            <a:chOff x="719" y="713"/>
            <a:chExt cx="5" cy="10"/>
          </a:xfrm>
        </xdr:grpSpPr>
        <xdr:sp macro="" textlink="">
          <xdr:nvSpPr>
            <xdr:cNvPr id="12802" name="Rectangle 1049"/>
            <xdr:cNvSpPr>
              <a:spLocks noChangeArrowheads="1"/>
            </xdr:cNvSpPr>
          </xdr:nvSpPr>
          <xdr:spPr bwMode="auto">
            <a:xfrm>
              <a:off x="719" y="713"/>
              <a:ext cx="5" cy="10"/>
            </a:xfrm>
            <a:prstGeom prst="rect">
              <a:avLst/>
            </a:prstGeom>
            <a:solidFill>
              <a:srgbClr val="FFFFFF"/>
            </a:solidFill>
            <a:ln w="9525">
              <a:solidFill>
                <a:srgbClr val="000000"/>
              </a:solidFill>
              <a:miter lim="800000"/>
              <a:headEnd/>
              <a:tailEnd/>
            </a:ln>
          </xdr:spPr>
        </xdr:sp>
        <xdr:sp macro="" textlink="">
          <xdr:nvSpPr>
            <xdr:cNvPr id="12803" name="Line 1050"/>
            <xdr:cNvSpPr>
              <a:spLocks noChangeShapeType="1"/>
            </xdr:cNvSpPr>
          </xdr:nvSpPr>
          <xdr:spPr bwMode="auto">
            <a:xfrm>
              <a:off x="719" y="716"/>
              <a:ext cx="5" cy="0"/>
            </a:xfrm>
            <a:prstGeom prst="line">
              <a:avLst/>
            </a:prstGeom>
            <a:noFill/>
            <a:ln w="9525">
              <a:solidFill>
                <a:srgbClr val="000000"/>
              </a:solidFill>
              <a:round/>
              <a:headEnd/>
              <a:tailEnd/>
            </a:ln>
          </xdr:spPr>
        </xdr:sp>
        <xdr:sp macro="" textlink="">
          <xdr:nvSpPr>
            <xdr:cNvPr id="12804" name="Line 1051"/>
            <xdr:cNvSpPr>
              <a:spLocks noChangeShapeType="1"/>
            </xdr:cNvSpPr>
          </xdr:nvSpPr>
          <xdr:spPr bwMode="auto">
            <a:xfrm>
              <a:off x="719" y="721"/>
              <a:ext cx="5" cy="0"/>
            </a:xfrm>
            <a:prstGeom prst="line">
              <a:avLst/>
            </a:prstGeom>
            <a:noFill/>
            <a:ln w="9525">
              <a:solidFill>
                <a:srgbClr val="000000"/>
              </a:solidFill>
              <a:round/>
              <a:headEnd/>
              <a:tailEnd/>
            </a:ln>
          </xdr:spPr>
        </xdr:sp>
      </xdr:grpSp>
      <xdr:sp macro="" textlink="">
        <xdr:nvSpPr>
          <xdr:cNvPr id="12801" name="Rectangle 1052" descr="Dark upward diagonal"/>
          <xdr:cNvSpPr>
            <a:spLocks noChangeArrowheads="1"/>
          </xdr:cNvSpPr>
        </xdr:nvSpPr>
        <xdr:spPr bwMode="auto">
          <a:xfrm flipV="1">
            <a:off x="724" y="717"/>
            <a:ext cx="10" cy="3"/>
          </a:xfrm>
          <a:prstGeom prst="rect">
            <a:avLst/>
          </a:prstGeom>
          <a:pattFill prst="dkUpDiag">
            <a:fgClr>
              <a:srgbClr val="000000"/>
            </a:fgClr>
            <a:bgClr>
              <a:srgbClr val="FFFFFF"/>
            </a:bgClr>
          </a:pattFill>
          <a:ln w="9525">
            <a:solidFill>
              <a:srgbClr val="000000"/>
            </a:solidFill>
            <a:miter lim="800000"/>
            <a:headEnd/>
            <a:tailEnd/>
          </a:ln>
        </xdr:spPr>
      </xdr:sp>
    </xdr:grpSp>
    <xdr:clientData/>
  </xdr:twoCellAnchor>
  <xdr:twoCellAnchor>
    <xdr:from>
      <xdr:col>8</xdr:col>
      <xdr:colOff>590550</xdr:colOff>
      <xdr:row>46</xdr:row>
      <xdr:rowOff>76200</xdr:rowOff>
    </xdr:from>
    <xdr:to>
      <xdr:col>9</xdr:col>
      <xdr:colOff>123825</xdr:colOff>
      <xdr:row>47</xdr:row>
      <xdr:rowOff>19050</xdr:rowOff>
    </xdr:to>
    <xdr:grpSp>
      <xdr:nvGrpSpPr>
        <xdr:cNvPr id="12312" name="Group 1053"/>
        <xdr:cNvGrpSpPr>
          <a:grpSpLocks/>
        </xdr:cNvGrpSpPr>
      </xdr:nvGrpSpPr>
      <xdr:grpSpPr bwMode="auto">
        <a:xfrm>
          <a:off x="5467350" y="7848600"/>
          <a:ext cx="142875" cy="104775"/>
          <a:chOff x="719" y="713"/>
          <a:chExt cx="15" cy="11"/>
        </a:xfrm>
      </xdr:grpSpPr>
      <xdr:grpSp>
        <xdr:nvGrpSpPr>
          <xdr:cNvPr id="12795" name="Group 1054"/>
          <xdr:cNvGrpSpPr>
            <a:grpSpLocks/>
          </xdr:cNvGrpSpPr>
        </xdr:nvGrpSpPr>
        <xdr:grpSpPr bwMode="auto">
          <a:xfrm>
            <a:off x="719" y="713"/>
            <a:ext cx="5" cy="11"/>
            <a:chOff x="719" y="713"/>
            <a:chExt cx="5" cy="10"/>
          </a:xfrm>
        </xdr:grpSpPr>
        <xdr:sp macro="" textlink="">
          <xdr:nvSpPr>
            <xdr:cNvPr id="12797" name="Rectangle 1055"/>
            <xdr:cNvSpPr>
              <a:spLocks noChangeArrowheads="1"/>
            </xdr:cNvSpPr>
          </xdr:nvSpPr>
          <xdr:spPr bwMode="auto">
            <a:xfrm>
              <a:off x="719" y="713"/>
              <a:ext cx="5" cy="10"/>
            </a:xfrm>
            <a:prstGeom prst="rect">
              <a:avLst/>
            </a:prstGeom>
            <a:solidFill>
              <a:srgbClr val="FFFFFF"/>
            </a:solidFill>
            <a:ln w="9525">
              <a:solidFill>
                <a:srgbClr val="000000"/>
              </a:solidFill>
              <a:miter lim="800000"/>
              <a:headEnd/>
              <a:tailEnd/>
            </a:ln>
          </xdr:spPr>
        </xdr:sp>
        <xdr:sp macro="" textlink="">
          <xdr:nvSpPr>
            <xdr:cNvPr id="12798" name="Line 1056"/>
            <xdr:cNvSpPr>
              <a:spLocks noChangeShapeType="1"/>
            </xdr:cNvSpPr>
          </xdr:nvSpPr>
          <xdr:spPr bwMode="auto">
            <a:xfrm>
              <a:off x="719" y="716"/>
              <a:ext cx="5" cy="0"/>
            </a:xfrm>
            <a:prstGeom prst="line">
              <a:avLst/>
            </a:prstGeom>
            <a:noFill/>
            <a:ln w="9525">
              <a:solidFill>
                <a:srgbClr val="000000"/>
              </a:solidFill>
              <a:round/>
              <a:headEnd/>
              <a:tailEnd/>
            </a:ln>
          </xdr:spPr>
        </xdr:sp>
        <xdr:sp macro="" textlink="">
          <xdr:nvSpPr>
            <xdr:cNvPr id="12799" name="Line 1057"/>
            <xdr:cNvSpPr>
              <a:spLocks noChangeShapeType="1"/>
            </xdr:cNvSpPr>
          </xdr:nvSpPr>
          <xdr:spPr bwMode="auto">
            <a:xfrm>
              <a:off x="719" y="721"/>
              <a:ext cx="5" cy="0"/>
            </a:xfrm>
            <a:prstGeom prst="line">
              <a:avLst/>
            </a:prstGeom>
            <a:noFill/>
            <a:ln w="9525">
              <a:solidFill>
                <a:srgbClr val="000000"/>
              </a:solidFill>
              <a:round/>
              <a:headEnd/>
              <a:tailEnd/>
            </a:ln>
          </xdr:spPr>
        </xdr:sp>
      </xdr:grpSp>
      <xdr:sp macro="" textlink="">
        <xdr:nvSpPr>
          <xdr:cNvPr id="12796" name="Rectangle 1058" descr="Dark upward diagonal"/>
          <xdr:cNvSpPr>
            <a:spLocks noChangeArrowheads="1"/>
          </xdr:cNvSpPr>
        </xdr:nvSpPr>
        <xdr:spPr bwMode="auto">
          <a:xfrm flipV="1">
            <a:off x="724" y="717"/>
            <a:ext cx="10" cy="3"/>
          </a:xfrm>
          <a:prstGeom prst="rect">
            <a:avLst/>
          </a:prstGeom>
          <a:pattFill prst="dkUpDiag">
            <a:fgClr>
              <a:srgbClr val="000000"/>
            </a:fgClr>
            <a:bgClr>
              <a:srgbClr val="FFFFFF"/>
            </a:bgClr>
          </a:pattFill>
          <a:ln w="9525">
            <a:solidFill>
              <a:srgbClr val="000000"/>
            </a:solidFill>
            <a:miter lim="800000"/>
            <a:headEnd/>
            <a:tailEnd/>
          </a:ln>
        </xdr:spPr>
      </xdr:sp>
    </xdr:grpSp>
    <xdr:clientData/>
  </xdr:twoCellAnchor>
  <xdr:twoCellAnchor>
    <xdr:from>
      <xdr:col>8</xdr:col>
      <xdr:colOff>581025</xdr:colOff>
      <xdr:row>42</xdr:row>
      <xdr:rowOff>9525</xdr:rowOff>
    </xdr:from>
    <xdr:to>
      <xdr:col>9</xdr:col>
      <xdr:colOff>19050</xdr:colOff>
      <xdr:row>42</xdr:row>
      <xdr:rowOff>114300</xdr:rowOff>
    </xdr:to>
    <xdr:grpSp>
      <xdr:nvGrpSpPr>
        <xdr:cNvPr id="12313" name="Group 1059"/>
        <xdr:cNvGrpSpPr>
          <a:grpSpLocks/>
        </xdr:cNvGrpSpPr>
      </xdr:nvGrpSpPr>
      <xdr:grpSpPr bwMode="auto">
        <a:xfrm>
          <a:off x="5457825" y="7134225"/>
          <a:ext cx="47625" cy="104775"/>
          <a:chOff x="719" y="713"/>
          <a:chExt cx="5" cy="10"/>
        </a:xfrm>
      </xdr:grpSpPr>
      <xdr:sp macro="" textlink="">
        <xdr:nvSpPr>
          <xdr:cNvPr id="12792" name="Rectangle 1060"/>
          <xdr:cNvSpPr>
            <a:spLocks noChangeArrowheads="1"/>
          </xdr:cNvSpPr>
        </xdr:nvSpPr>
        <xdr:spPr bwMode="auto">
          <a:xfrm>
            <a:off x="719" y="713"/>
            <a:ext cx="5" cy="10"/>
          </a:xfrm>
          <a:prstGeom prst="rect">
            <a:avLst/>
          </a:prstGeom>
          <a:solidFill>
            <a:srgbClr val="FFFFFF"/>
          </a:solidFill>
          <a:ln w="9525">
            <a:solidFill>
              <a:srgbClr val="000000"/>
            </a:solidFill>
            <a:miter lim="800000"/>
            <a:headEnd/>
            <a:tailEnd/>
          </a:ln>
        </xdr:spPr>
      </xdr:sp>
      <xdr:sp macro="" textlink="">
        <xdr:nvSpPr>
          <xdr:cNvPr id="12793" name="Line 1061"/>
          <xdr:cNvSpPr>
            <a:spLocks noChangeShapeType="1"/>
          </xdr:cNvSpPr>
        </xdr:nvSpPr>
        <xdr:spPr bwMode="auto">
          <a:xfrm>
            <a:off x="719" y="716"/>
            <a:ext cx="5" cy="0"/>
          </a:xfrm>
          <a:prstGeom prst="line">
            <a:avLst/>
          </a:prstGeom>
          <a:noFill/>
          <a:ln w="9525">
            <a:solidFill>
              <a:srgbClr val="000000"/>
            </a:solidFill>
            <a:round/>
            <a:headEnd/>
            <a:tailEnd/>
          </a:ln>
        </xdr:spPr>
      </xdr:sp>
      <xdr:sp macro="" textlink="">
        <xdr:nvSpPr>
          <xdr:cNvPr id="12794" name="Line 1062"/>
          <xdr:cNvSpPr>
            <a:spLocks noChangeShapeType="1"/>
          </xdr:cNvSpPr>
        </xdr:nvSpPr>
        <xdr:spPr bwMode="auto">
          <a:xfrm>
            <a:off x="719" y="721"/>
            <a:ext cx="5" cy="0"/>
          </a:xfrm>
          <a:prstGeom prst="line">
            <a:avLst/>
          </a:prstGeom>
          <a:noFill/>
          <a:ln w="9525">
            <a:solidFill>
              <a:srgbClr val="000000"/>
            </a:solidFill>
            <a:round/>
            <a:headEnd/>
            <a:tailEnd/>
          </a:ln>
        </xdr:spPr>
      </xdr:sp>
    </xdr:grpSp>
    <xdr:clientData/>
  </xdr:twoCellAnchor>
  <xdr:twoCellAnchor>
    <xdr:from>
      <xdr:col>8</xdr:col>
      <xdr:colOff>142875</xdr:colOff>
      <xdr:row>33</xdr:row>
      <xdr:rowOff>9525</xdr:rowOff>
    </xdr:from>
    <xdr:to>
      <xdr:col>8</xdr:col>
      <xdr:colOff>304800</xdr:colOff>
      <xdr:row>34</xdr:row>
      <xdr:rowOff>19050</xdr:rowOff>
    </xdr:to>
    <xdr:grpSp>
      <xdr:nvGrpSpPr>
        <xdr:cNvPr id="12314" name="Group 1063"/>
        <xdr:cNvGrpSpPr>
          <a:grpSpLocks/>
        </xdr:cNvGrpSpPr>
      </xdr:nvGrpSpPr>
      <xdr:grpSpPr bwMode="auto">
        <a:xfrm>
          <a:off x="5019675" y="5676900"/>
          <a:ext cx="161925" cy="171450"/>
          <a:chOff x="646" y="934"/>
          <a:chExt cx="17" cy="18"/>
        </a:xfrm>
      </xdr:grpSpPr>
      <xdr:sp macro="" textlink="">
        <xdr:nvSpPr>
          <xdr:cNvPr id="12787" name="Freeform 1064"/>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88" name="Freeform 1065"/>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89" name="Freeform 1066"/>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90" name="Freeform 1067"/>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91" name="Freeform 1068"/>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7</xdr:col>
      <xdr:colOff>9525</xdr:colOff>
      <xdr:row>30</xdr:row>
      <xdr:rowOff>95250</xdr:rowOff>
    </xdr:from>
    <xdr:to>
      <xdr:col>7</xdr:col>
      <xdr:colOff>171450</xdr:colOff>
      <xdr:row>31</xdr:row>
      <xdr:rowOff>104775</xdr:rowOff>
    </xdr:to>
    <xdr:grpSp>
      <xdr:nvGrpSpPr>
        <xdr:cNvPr id="12315" name="Group 1069"/>
        <xdr:cNvGrpSpPr>
          <a:grpSpLocks/>
        </xdr:cNvGrpSpPr>
      </xdr:nvGrpSpPr>
      <xdr:grpSpPr bwMode="auto">
        <a:xfrm>
          <a:off x="4276725" y="5276850"/>
          <a:ext cx="161925" cy="171450"/>
          <a:chOff x="646" y="934"/>
          <a:chExt cx="17" cy="18"/>
        </a:xfrm>
      </xdr:grpSpPr>
      <xdr:sp macro="" textlink="">
        <xdr:nvSpPr>
          <xdr:cNvPr id="12782" name="Freeform 1070"/>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83" name="Freeform 1071"/>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84" name="Freeform 1072"/>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85" name="Freeform 1073"/>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86" name="Freeform 1074"/>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7</xdr:col>
      <xdr:colOff>57150</xdr:colOff>
      <xdr:row>21</xdr:row>
      <xdr:rowOff>66675</xdr:rowOff>
    </xdr:from>
    <xdr:to>
      <xdr:col>7</xdr:col>
      <xdr:colOff>219075</xdr:colOff>
      <xdr:row>22</xdr:row>
      <xdr:rowOff>76200</xdr:rowOff>
    </xdr:to>
    <xdr:grpSp>
      <xdr:nvGrpSpPr>
        <xdr:cNvPr id="12316" name="Group 1075"/>
        <xdr:cNvGrpSpPr>
          <a:grpSpLocks/>
        </xdr:cNvGrpSpPr>
      </xdr:nvGrpSpPr>
      <xdr:grpSpPr bwMode="auto">
        <a:xfrm>
          <a:off x="4324350" y="3790950"/>
          <a:ext cx="161925" cy="171450"/>
          <a:chOff x="646" y="934"/>
          <a:chExt cx="17" cy="18"/>
        </a:xfrm>
      </xdr:grpSpPr>
      <xdr:sp macro="" textlink="">
        <xdr:nvSpPr>
          <xdr:cNvPr id="12777" name="Freeform 1076"/>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78" name="Freeform 1077"/>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79" name="Freeform 1078"/>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80" name="Freeform 1079"/>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81" name="Freeform 1080"/>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5</xdr:col>
      <xdr:colOff>533400</xdr:colOff>
      <xdr:row>28</xdr:row>
      <xdr:rowOff>28575</xdr:rowOff>
    </xdr:from>
    <xdr:to>
      <xdr:col>6</xdr:col>
      <xdr:colOff>85725</xdr:colOff>
      <xdr:row>29</xdr:row>
      <xdr:rowOff>38100</xdr:rowOff>
    </xdr:to>
    <xdr:grpSp>
      <xdr:nvGrpSpPr>
        <xdr:cNvPr id="12317" name="Group 1081"/>
        <xdr:cNvGrpSpPr>
          <a:grpSpLocks/>
        </xdr:cNvGrpSpPr>
      </xdr:nvGrpSpPr>
      <xdr:grpSpPr bwMode="auto">
        <a:xfrm>
          <a:off x="3581400" y="4886325"/>
          <a:ext cx="161925" cy="171450"/>
          <a:chOff x="646" y="934"/>
          <a:chExt cx="17" cy="18"/>
        </a:xfrm>
      </xdr:grpSpPr>
      <xdr:sp macro="" textlink="">
        <xdr:nvSpPr>
          <xdr:cNvPr id="12772" name="Freeform 1082"/>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73" name="Freeform 1083"/>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74" name="Freeform 1084"/>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75" name="Freeform 1085"/>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76" name="Freeform 1086"/>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4</xdr:col>
      <xdr:colOff>419100</xdr:colOff>
      <xdr:row>25</xdr:row>
      <xdr:rowOff>95250</xdr:rowOff>
    </xdr:from>
    <xdr:to>
      <xdr:col>4</xdr:col>
      <xdr:colOff>581025</xdr:colOff>
      <xdr:row>26</xdr:row>
      <xdr:rowOff>104775</xdr:rowOff>
    </xdr:to>
    <xdr:grpSp>
      <xdr:nvGrpSpPr>
        <xdr:cNvPr id="12318" name="Group 1087"/>
        <xdr:cNvGrpSpPr>
          <a:grpSpLocks/>
        </xdr:cNvGrpSpPr>
      </xdr:nvGrpSpPr>
      <xdr:grpSpPr bwMode="auto">
        <a:xfrm>
          <a:off x="2857500" y="4467225"/>
          <a:ext cx="161925" cy="171450"/>
          <a:chOff x="646" y="934"/>
          <a:chExt cx="17" cy="18"/>
        </a:xfrm>
      </xdr:grpSpPr>
      <xdr:sp macro="" textlink="">
        <xdr:nvSpPr>
          <xdr:cNvPr id="12767" name="Freeform 1088"/>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68" name="Freeform 1089"/>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69" name="Freeform 1090"/>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70" name="Freeform 1091"/>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71" name="Freeform 1092"/>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5</xdr:col>
      <xdr:colOff>561975</xdr:colOff>
      <xdr:row>19</xdr:row>
      <xdr:rowOff>9525</xdr:rowOff>
    </xdr:from>
    <xdr:to>
      <xdr:col>6</xdr:col>
      <xdr:colOff>114300</xdr:colOff>
      <xdr:row>20</xdr:row>
      <xdr:rowOff>19050</xdr:rowOff>
    </xdr:to>
    <xdr:grpSp>
      <xdr:nvGrpSpPr>
        <xdr:cNvPr id="12319" name="Group 1093"/>
        <xdr:cNvGrpSpPr>
          <a:grpSpLocks/>
        </xdr:cNvGrpSpPr>
      </xdr:nvGrpSpPr>
      <xdr:grpSpPr bwMode="auto">
        <a:xfrm>
          <a:off x="3609975" y="3409950"/>
          <a:ext cx="161925" cy="171450"/>
          <a:chOff x="646" y="934"/>
          <a:chExt cx="17" cy="18"/>
        </a:xfrm>
      </xdr:grpSpPr>
      <xdr:sp macro="" textlink="">
        <xdr:nvSpPr>
          <xdr:cNvPr id="12762" name="Freeform 1094"/>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63" name="Freeform 1095"/>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64" name="Freeform 1096"/>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65" name="Freeform 1097"/>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66" name="Freeform 1098"/>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4</xdr:col>
      <xdr:colOff>466725</xdr:colOff>
      <xdr:row>16</xdr:row>
      <xdr:rowOff>114300</xdr:rowOff>
    </xdr:from>
    <xdr:to>
      <xdr:col>5</xdr:col>
      <xdr:colOff>19050</xdr:colOff>
      <xdr:row>17</xdr:row>
      <xdr:rowOff>123825</xdr:rowOff>
    </xdr:to>
    <xdr:grpSp>
      <xdr:nvGrpSpPr>
        <xdr:cNvPr id="12320" name="Group 1099"/>
        <xdr:cNvGrpSpPr>
          <a:grpSpLocks/>
        </xdr:cNvGrpSpPr>
      </xdr:nvGrpSpPr>
      <xdr:grpSpPr bwMode="auto">
        <a:xfrm>
          <a:off x="2905125" y="3028950"/>
          <a:ext cx="161925" cy="171450"/>
          <a:chOff x="646" y="934"/>
          <a:chExt cx="17" cy="18"/>
        </a:xfrm>
      </xdr:grpSpPr>
      <xdr:sp macro="" textlink="">
        <xdr:nvSpPr>
          <xdr:cNvPr id="12757" name="Freeform 1100"/>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58" name="Freeform 1101"/>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59" name="Freeform 1102"/>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60" name="Freeform 1103"/>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61" name="Freeform 1104"/>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3</xdr:col>
      <xdr:colOff>323850</xdr:colOff>
      <xdr:row>18</xdr:row>
      <xdr:rowOff>104775</xdr:rowOff>
    </xdr:from>
    <xdr:to>
      <xdr:col>3</xdr:col>
      <xdr:colOff>485775</xdr:colOff>
      <xdr:row>19</xdr:row>
      <xdr:rowOff>114300</xdr:rowOff>
    </xdr:to>
    <xdr:grpSp>
      <xdr:nvGrpSpPr>
        <xdr:cNvPr id="12321" name="Group 1105"/>
        <xdr:cNvGrpSpPr>
          <a:grpSpLocks/>
        </xdr:cNvGrpSpPr>
      </xdr:nvGrpSpPr>
      <xdr:grpSpPr bwMode="auto">
        <a:xfrm>
          <a:off x="2152650" y="3343275"/>
          <a:ext cx="161925" cy="171450"/>
          <a:chOff x="646" y="934"/>
          <a:chExt cx="17" cy="18"/>
        </a:xfrm>
      </xdr:grpSpPr>
      <xdr:sp macro="" textlink="">
        <xdr:nvSpPr>
          <xdr:cNvPr id="12752" name="Freeform 1106"/>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53" name="Freeform 1107"/>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54" name="Freeform 1108"/>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55" name="Freeform 1109"/>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56" name="Freeform 1110"/>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3</xdr:col>
      <xdr:colOff>352425</xdr:colOff>
      <xdr:row>23</xdr:row>
      <xdr:rowOff>47625</xdr:rowOff>
    </xdr:from>
    <xdr:to>
      <xdr:col>3</xdr:col>
      <xdr:colOff>514350</xdr:colOff>
      <xdr:row>24</xdr:row>
      <xdr:rowOff>57150</xdr:rowOff>
    </xdr:to>
    <xdr:grpSp>
      <xdr:nvGrpSpPr>
        <xdr:cNvPr id="12322" name="Group 1111"/>
        <xdr:cNvGrpSpPr>
          <a:grpSpLocks/>
        </xdr:cNvGrpSpPr>
      </xdr:nvGrpSpPr>
      <xdr:grpSpPr bwMode="auto">
        <a:xfrm>
          <a:off x="2181225" y="4095750"/>
          <a:ext cx="161925" cy="171450"/>
          <a:chOff x="646" y="934"/>
          <a:chExt cx="17" cy="18"/>
        </a:xfrm>
      </xdr:grpSpPr>
      <xdr:sp macro="" textlink="">
        <xdr:nvSpPr>
          <xdr:cNvPr id="12747" name="Freeform 1112"/>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48" name="Freeform 1113"/>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49" name="Freeform 1114"/>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50" name="Freeform 1115"/>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51" name="Freeform 1116"/>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3</xdr:col>
      <xdr:colOff>352425</xdr:colOff>
      <xdr:row>14</xdr:row>
      <xdr:rowOff>76200</xdr:rowOff>
    </xdr:from>
    <xdr:to>
      <xdr:col>3</xdr:col>
      <xdr:colOff>514350</xdr:colOff>
      <xdr:row>15</xdr:row>
      <xdr:rowOff>85725</xdr:rowOff>
    </xdr:to>
    <xdr:grpSp>
      <xdr:nvGrpSpPr>
        <xdr:cNvPr id="12323" name="Group 1117"/>
        <xdr:cNvGrpSpPr>
          <a:grpSpLocks/>
        </xdr:cNvGrpSpPr>
      </xdr:nvGrpSpPr>
      <xdr:grpSpPr bwMode="auto">
        <a:xfrm>
          <a:off x="2181225" y="2667000"/>
          <a:ext cx="161925" cy="171450"/>
          <a:chOff x="646" y="934"/>
          <a:chExt cx="17" cy="18"/>
        </a:xfrm>
      </xdr:grpSpPr>
      <xdr:sp macro="" textlink="">
        <xdr:nvSpPr>
          <xdr:cNvPr id="12742" name="Freeform 1118"/>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43" name="Freeform 1119"/>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44" name="Freeform 1120"/>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45" name="Freeform 1121"/>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46" name="Freeform 1122"/>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8</xdr:col>
      <xdr:colOff>171450</xdr:colOff>
      <xdr:row>28</xdr:row>
      <xdr:rowOff>57150</xdr:rowOff>
    </xdr:from>
    <xdr:to>
      <xdr:col>8</xdr:col>
      <xdr:colOff>333375</xdr:colOff>
      <xdr:row>29</xdr:row>
      <xdr:rowOff>66675</xdr:rowOff>
    </xdr:to>
    <xdr:grpSp>
      <xdr:nvGrpSpPr>
        <xdr:cNvPr id="12324" name="Group 1123"/>
        <xdr:cNvGrpSpPr>
          <a:grpSpLocks/>
        </xdr:cNvGrpSpPr>
      </xdr:nvGrpSpPr>
      <xdr:grpSpPr bwMode="auto">
        <a:xfrm>
          <a:off x="5048250" y="4914900"/>
          <a:ext cx="161925" cy="171450"/>
          <a:chOff x="646" y="934"/>
          <a:chExt cx="17" cy="18"/>
        </a:xfrm>
      </xdr:grpSpPr>
      <xdr:sp macro="" textlink="">
        <xdr:nvSpPr>
          <xdr:cNvPr id="12737" name="Freeform 1124"/>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38" name="Freeform 1125"/>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39" name="Freeform 1126"/>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40" name="Freeform 1127"/>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41" name="Freeform 1128"/>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8</xdr:col>
      <xdr:colOff>171450</xdr:colOff>
      <xdr:row>23</xdr:row>
      <xdr:rowOff>133350</xdr:rowOff>
    </xdr:from>
    <xdr:to>
      <xdr:col>8</xdr:col>
      <xdr:colOff>333375</xdr:colOff>
      <xdr:row>24</xdr:row>
      <xdr:rowOff>142875</xdr:rowOff>
    </xdr:to>
    <xdr:grpSp>
      <xdr:nvGrpSpPr>
        <xdr:cNvPr id="12325" name="Group 1129"/>
        <xdr:cNvGrpSpPr>
          <a:grpSpLocks/>
        </xdr:cNvGrpSpPr>
      </xdr:nvGrpSpPr>
      <xdr:grpSpPr bwMode="auto">
        <a:xfrm>
          <a:off x="5048250" y="4181475"/>
          <a:ext cx="161925" cy="171450"/>
          <a:chOff x="646" y="934"/>
          <a:chExt cx="17" cy="18"/>
        </a:xfrm>
      </xdr:grpSpPr>
      <xdr:sp macro="" textlink="">
        <xdr:nvSpPr>
          <xdr:cNvPr id="12732" name="Freeform 1130"/>
          <xdr:cNvSpPr>
            <a:spLocks/>
          </xdr:cNvSpPr>
        </xdr:nvSpPr>
        <xdr:spPr bwMode="auto">
          <a:xfrm>
            <a:off x="650" y="934"/>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33" name="Freeform 1131"/>
          <xdr:cNvSpPr>
            <a:spLocks/>
          </xdr:cNvSpPr>
        </xdr:nvSpPr>
        <xdr:spPr bwMode="auto">
          <a:xfrm>
            <a:off x="646" y="936"/>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734" name="Freeform 1132"/>
          <xdr:cNvSpPr>
            <a:spLocks/>
          </xdr:cNvSpPr>
        </xdr:nvSpPr>
        <xdr:spPr bwMode="auto">
          <a:xfrm>
            <a:off x="649" y="934"/>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735" name="Freeform 1133"/>
          <xdr:cNvSpPr>
            <a:spLocks/>
          </xdr:cNvSpPr>
        </xdr:nvSpPr>
        <xdr:spPr bwMode="auto">
          <a:xfrm>
            <a:off x="656" y="938"/>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736" name="Freeform 1134"/>
          <xdr:cNvSpPr>
            <a:spLocks/>
          </xdr:cNvSpPr>
        </xdr:nvSpPr>
        <xdr:spPr bwMode="auto">
          <a:xfrm>
            <a:off x="656" y="946"/>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clientData/>
  </xdr:twoCellAnchor>
  <xdr:twoCellAnchor>
    <xdr:from>
      <xdr:col>1</xdr:col>
      <xdr:colOff>47625</xdr:colOff>
      <xdr:row>46</xdr:row>
      <xdr:rowOff>85725</xdr:rowOff>
    </xdr:from>
    <xdr:to>
      <xdr:col>7</xdr:col>
      <xdr:colOff>19050</xdr:colOff>
      <xdr:row>46</xdr:row>
      <xdr:rowOff>85725</xdr:rowOff>
    </xdr:to>
    <xdr:sp macro="" textlink="">
      <xdr:nvSpPr>
        <xdr:cNvPr id="12326" name="Line 1135"/>
        <xdr:cNvSpPr>
          <a:spLocks noChangeShapeType="1"/>
        </xdr:cNvSpPr>
      </xdr:nvSpPr>
      <xdr:spPr bwMode="auto">
        <a:xfrm>
          <a:off x="657225" y="7858125"/>
          <a:ext cx="3629025" cy="0"/>
        </a:xfrm>
        <a:prstGeom prst="line">
          <a:avLst/>
        </a:prstGeom>
        <a:noFill/>
        <a:ln w="28575">
          <a:solidFill>
            <a:srgbClr val="0000FF"/>
          </a:solidFill>
          <a:round/>
          <a:headEnd/>
          <a:tailEnd/>
        </a:ln>
      </xdr:spPr>
    </xdr:sp>
    <xdr:clientData/>
  </xdr:twoCellAnchor>
  <xdr:twoCellAnchor>
    <xdr:from>
      <xdr:col>3</xdr:col>
      <xdr:colOff>466725</xdr:colOff>
      <xdr:row>46</xdr:row>
      <xdr:rowOff>19050</xdr:rowOff>
    </xdr:from>
    <xdr:to>
      <xdr:col>4</xdr:col>
      <xdr:colOff>209550</xdr:colOff>
      <xdr:row>46</xdr:row>
      <xdr:rowOff>19050</xdr:rowOff>
    </xdr:to>
    <xdr:sp macro="" textlink="">
      <xdr:nvSpPr>
        <xdr:cNvPr id="12327" name="Line 1136"/>
        <xdr:cNvSpPr>
          <a:spLocks noChangeShapeType="1"/>
        </xdr:cNvSpPr>
      </xdr:nvSpPr>
      <xdr:spPr bwMode="auto">
        <a:xfrm>
          <a:off x="2295525" y="7791450"/>
          <a:ext cx="352425" cy="0"/>
        </a:xfrm>
        <a:prstGeom prst="line">
          <a:avLst/>
        </a:prstGeom>
        <a:noFill/>
        <a:ln w="28575">
          <a:solidFill>
            <a:srgbClr val="0000FF"/>
          </a:solidFill>
          <a:round/>
          <a:headEnd/>
          <a:tailEnd/>
        </a:ln>
      </xdr:spPr>
    </xdr:sp>
    <xdr:clientData/>
  </xdr:twoCellAnchor>
  <xdr:twoCellAnchor>
    <xdr:from>
      <xdr:col>1</xdr:col>
      <xdr:colOff>19050</xdr:colOff>
      <xdr:row>46</xdr:row>
      <xdr:rowOff>19050</xdr:rowOff>
    </xdr:from>
    <xdr:to>
      <xdr:col>1</xdr:col>
      <xdr:colOff>352425</xdr:colOff>
      <xdr:row>46</xdr:row>
      <xdr:rowOff>19050</xdr:rowOff>
    </xdr:to>
    <xdr:sp macro="" textlink="">
      <xdr:nvSpPr>
        <xdr:cNvPr id="12328" name="Line 1137"/>
        <xdr:cNvSpPr>
          <a:spLocks noChangeShapeType="1"/>
        </xdr:cNvSpPr>
      </xdr:nvSpPr>
      <xdr:spPr bwMode="auto">
        <a:xfrm>
          <a:off x="628650" y="7791450"/>
          <a:ext cx="333375" cy="0"/>
        </a:xfrm>
        <a:prstGeom prst="line">
          <a:avLst/>
        </a:prstGeom>
        <a:noFill/>
        <a:ln w="28575">
          <a:solidFill>
            <a:srgbClr val="0000FF"/>
          </a:solidFill>
          <a:round/>
          <a:headEnd/>
          <a:tailEnd/>
        </a:ln>
      </xdr:spPr>
    </xdr:sp>
    <xdr:clientData/>
  </xdr:twoCellAnchor>
  <xdr:twoCellAnchor>
    <xdr:from>
      <xdr:col>6</xdr:col>
      <xdr:colOff>314325</xdr:colOff>
      <xdr:row>46</xdr:row>
      <xdr:rowOff>19050</xdr:rowOff>
    </xdr:from>
    <xdr:to>
      <xdr:col>7</xdr:col>
      <xdr:colOff>57150</xdr:colOff>
      <xdr:row>46</xdr:row>
      <xdr:rowOff>19050</xdr:rowOff>
    </xdr:to>
    <xdr:sp macro="" textlink="">
      <xdr:nvSpPr>
        <xdr:cNvPr id="12329" name="Line 1138"/>
        <xdr:cNvSpPr>
          <a:spLocks noChangeShapeType="1"/>
        </xdr:cNvSpPr>
      </xdr:nvSpPr>
      <xdr:spPr bwMode="auto">
        <a:xfrm>
          <a:off x="3971925" y="7791450"/>
          <a:ext cx="352425" cy="0"/>
        </a:xfrm>
        <a:prstGeom prst="line">
          <a:avLst/>
        </a:prstGeom>
        <a:noFill/>
        <a:ln w="28575">
          <a:solidFill>
            <a:srgbClr val="0000FF"/>
          </a:solidFill>
          <a:round/>
          <a:headEnd/>
          <a:tailEnd/>
        </a:ln>
      </xdr:spPr>
    </xdr:sp>
    <xdr:clientData/>
  </xdr:twoCellAnchor>
  <xdr:twoCellAnchor>
    <xdr:from>
      <xdr:col>1</xdr:col>
      <xdr:colOff>104775</xdr:colOff>
      <xdr:row>46</xdr:row>
      <xdr:rowOff>19050</xdr:rowOff>
    </xdr:from>
    <xdr:to>
      <xdr:col>1</xdr:col>
      <xdr:colOff>104775</xdr:colOff>
      <xdr:row>46</xdr:row>
      <xdr:rowOff>85725</xdr:rowOff>
    </xdr:to>
    <xdr:sp macro="" textlink="">
      <xdr:nvSpPr>
        <xdr:cNvPr id="12330" name="Line 1139"/>
        <xdr:cNvSpPr>
          <a:spLocks noChangeShapeType="1"/>
        </xdr:cNvSpPr>
      </xdr:nvSpPr>
      <xdr:spPr bwMode="auto">
        <a:xfrm flipV="1">
          <a:off x="714375" y="7791450"/>
          <a:ext cx="0" cy="66675"/>
        </a:xfrm>
        <a:prstGeom prst="line">
          <a:avLst/>
        </a:prstGeom>
        <a:noFill/>
        <a:ln w="28575">
          <a:solidFill>
            <a:srgbClr val="0000FF"/>
          </a:solidFill>
          <a:round/>
          <a:headEnd/>
          <a:tailEnd/>
        </a:ln>
      </xdr:spPr>
    </xdr:sp>
    <xdr:clientData/>
  </xdr:twoCellAnchor>
  <xdr:twoCellAnchor>
    <xdr:from>
      <xdr:col>1</xdr:col>
      <xdr:colOff>257175</xdr:colOff>
      <xdr:row>46</xdr:row>
      <xdr:rowOff>19050</xdr:rowOff>
    </xdr:from>
    <xdr:to>
      <xdr:col>1</xdr:col>
      <xdr:colOff>257175</xdr:colOff>
      <xdr:row>46</xdr:row>
      <xdr:rowOff>85725</xdr:rowOff>
    </xdr:to>
    <xdr:sp macro="" textlink="">
      <xdr:nvSpPr>
        <xdr:cNvPr id="12331" name="Line 1140"/>
        <xdr:cNvSpPr>
          <a:spLocks noChangeShapeType="1"/>
        </xdr:cNvSpPr>
      </xdr:nvSpPr>
      <xdr:spPr bwMode="auto">
        <a:xfrm flipV="1">
          <a:off x="866775" y="7791450"/>
          <a:ext cx="0" cy="66675"/>
        </a:xfrm>
        <a:prstGeom prst="line">
          <a:avLst/>
        </a:prstGeom>
        <a:noFill/>
        <a:ln w="28575">
          <a:solidFill>
            <a:srgbClr val="0000FF"/>
          </a:solidFill>
          <a:round/>
          <a:headEnd/>
          <a:tailEnd/>
        </a:ln>
      </xdr:spPr>
    </xdr:sp>
    <xdr:clientData/>
  </xdr:twoCellAnchor>
  <xdr:twoCellAnchor>
    <xdr:from>
      <xdr:col>6</xdr:col>
      <xdr:colOff>409575</xdr:colOff>
      <xdr:row>46</xdr:row>
      <xdr:rowOff>19050</xdr:rowOff>
    </xdr:from>
    <xdr:to>
      <xdr:col>6</xdr:col>
      <xdr:colOff>409575</xdr:colOff>
      <xdr:row>46</xdr:row>
      <xdr:rowOff>85725</xdr:rowOff>
    </xdr:to>
    <xdr:sp macro="" textlink="">
      <xdr:nvSpPr>
        <xdr:cNvPr id="12332" name="Line 1141"/>
        <xdr:cNvSpPr>
          <a:spLocks noChangeShapeType="1"/>
        </xdr:cNvSpPr>
      </xdr:nvSpPr>
      <xdr:spPr bwMode="auto">
        <a:xfrm flipV="1">
          <a:off x="4067175" y="7791450"/>
          <a:ext cx="0" cy="66675"/>
        </a:xfrm>
        <a:prstGeom prst="line">
          <a:avLst/>
        </a:prstGeom>
        <a:noFill/>
        <a:ln w="28575">
          <a:solidFill>
            <a:srgbClr val="0000FF"/>
          </a:solidFill>
          <a:round/>
          <a:headEnd/>
          <a:tailEnd/>
        </a:ln>
      </xdr:spPr>
    </xdr:sp>
    <xdr:clientData/>
  </xdr:twoCellAnchor>
  <xdr:twoCellAnchor>
    <xdr:from>
      <xdr:col>6</xdr:col>
      <xdr:colOff>561975</xdr:colOff>
      <xdr:row>46</xdr:row>
      <xdr:rowOff>19050</xdr:rowOff>
    </xdr:from>
    <xdr:to>
      <xdr:col>6</xdr:col>
      <xdr:colOff>561975</xdr:colOff>
      <xdr:row>46</xdr:row>
      <xdr:rowOff>85725</xdr:rowOff>
    </xdr:to>
    <xdr:sp macro="" textlink="">
      <xdr:nvSpPr>
        <xdr:cNvPr id="12333" name="Line 1142"/>
        <xdr:cNvSpPr>
          <a:spLocks noChangeShapeType="1"/>
        </xdr:cNvSpPr>
      </xdr:nvSpPr>
      <xdr:spPr bwMode="auto">
        <a:xfrm flipV="1">
          <a:off x="4219575" y="7791450"/>
          <a:ext cx="0" cy="66675"/>
        </a:xfrm>
        <a:prstGeom prst="line">
          <a:avLst/>
        </a:prstGeom>
        <a:noFill/>
        <a:ln w="28575">
          <a:solidFill>
            <a:srgbClr val="0000FF"/>
          </a:solidFill>
          <a:round/>
          <a:headEnd/>
          <a:tailEnd/>
        </a:ln>
      </xdr:spPr>
    </xdr:sp>
    <xdr:clientData/>
  </xdr:twoCellAnchor>
  <xdr:twoCellAnchor>
    <xdr:from>
      <xdr:col>3</xdr:col>
      <xdr:colOff>561975</xdr:colOff>
      <xdr:row>46</xdr:row>
      <xdr:rowOff>9525</xdr:rowOff>
    </xdr:from>
    <xdr:to>
      <xdr:col>3</xdr:col>
      <xdr:colOff>561975</xdr:colOff>
      <xdr:row>46</xdr:row>
      <xdr:rowOff>76200</xdr:rowOff>
    </xdr:to>
    <xdr:sp macro="" textlink="">
      <xdr:nvSpPr>
        <xdr:cNvPr id="12334" name="Line 1143"/>
        <xdr:cNvSpPr>
          <a:spLocks noChangeShapeType="1"/>
        </xdr:cNvSpPr>
      </xdr:nvSpPr>
      <xdr:spPr bwMode="auto">
        <a:xfrm flipV="1">
          <a:off x="2390775" y="7781925"/>
          <a:ext cx="0" cy="66675"/>
        </a:xfrm>
        <a:prstGeom prst="line">
          <a:avLst/>
        </a:prstGeom>
        <a:noFill/>
        <a:ln w="28575">
          <a:solidFill>
            <a:srgbClr val="0000FF"/>
          </a:solidFill>
          <a:round/>
          <a:headEnd/>
          <a:tailEnd/>
        </a:ln>
      </xdr:spPr>
    </xdr:sp>
    <xdr:clientData/>
  </xdr:twoCellAnchor>
  <xdr:twoCellAnchor>
    <xdr:from>
      <xdr:col>4</xdr:col>
      <xdr:colOff>104775</xdr:colOff>
      <xdr:row>46</xdr:row>
      <xdr:rowOff>9525</xdr:rowOff>
    </xdr:from>
    <xdr:to>
      <xdr:col>4</xdr:col>
      <xdr:colOff>104775</xdr:colOff>
      <xdr:row>46</xdr:row>
      <xdr:rowOff>76200</xdr:rowOff>
    </xdr:to>
    <xdr:sp macro="" textlink="">
      <xdr:nvSpPr>
        <xdr:cNvPr id="12335" name="Line 1144"/>
        <xdr:cNvSpPr>
          <a:spLocks noChangeShapeType="1"/>
        </xdr:cNvSpPr>
      </xdr:nvSpPr>
      <xdr:spPr bwMode="auto">
        <a:xfrm flipV="1">
          <a:off x="2543175" y="7781925"/>
          <a:ext cx="0" cy="66675"/>
        </a:xfrm>
        <a:prstGeom prst="line">
          <a:avLst/>
        </a:prstGeom>
        <a:noFill/>
        <a:ln w="28575">
          <a:solidFill>
            <a:srgbClr val="0000FF"/>
          </a:solidFill>
          <a:round/>
          <a:headEnd/>
          <a:tailEnd/>
        </a:ln>
      </xdr:spPr>
    </xdr:sp>
    <xdr:clientData/>
  </xdr:twoCellAnchor>
  <xdr:twoCellAnchor>
    <xdr:from>
      <xdr:col>9</xdr:col>
      <xdr:colOff>209550</xdr:colOff>
      <xdr:row>36</xdr:row>
      <xdr:rowOff>133350</xdr:rowOff>
    </xdr:from>
    <xdr:to>
      <xdr:col>9</xdr:col>
      <xdr:colOff>600075</xdr:colOff>
      <xdr:row>38</xdr:row>
      <xdr:rowOff>95250</xdr:rowOff>
    </xdr:to>
    <xdr:grpSp>
      <xdr:nvGrpSpPr>
        <xdr:cNvPr id="12336" name="Group 1145"/>
        <xdr:cNvGrpSpPr>
          <a:grpSpLocks/>
        </xdr:cNvGrpSpPr>
      </xdr:nvGrpSpPr>
      <xdr:grpSpPr bwMode="auto">
        <a:xfrm>
          <a:off x="5695950" y="6286500"/>
          <a:ext cx="390525" cy="285750"/>
          <a:chOff x="595" y="629"/>
          <a:chExt cx="59" cy="30"/>
        </a:xfrm>
      </xdr:grpSpPr>
      <xdr:sp macro="" textlink="">
        <xdr:nvSpPr>
          <xdr:cNvPr id="12730" name="Rectangle 1146" descr="Wide downward diagonal"/>
          <xdr:cNvSpPr>
            <a:spLocks noChangeArrowheads="1"/>
          </xdr:cNvSpPr>
        </xdr:nvSpPr>
        <xdr:spPr bwMode="auto">
          <a:xfrm>
            <a:off x="595" y="629"/>
            <a:ext cx="59" cy="30"/>
          </a:xfrm>
          <a:prstGeom prst="rect">
            <a:avLst/>
          </a:prstGeom>
          <a:pattFill prst="wdDnDiag">
            <a:fgClr>
              <a:srgbClr val="000000"/>
            </a:fgClr>
            <a:bgClr>
              <a:srgbClr val="FFFFFF"/>
            </a:bgClr>
          </a:pattFill>
          <a:ln w="9525">
            <a:solidFill>
              <a:srgbClr val="000000"/>
            </a:solidFill>
            <a:miter lim="800000"/>
            <a:headEnd/>
            <a:tailEnd/>
          </a:ln>
        </xdr:spPr>
      </xdr:sp>
      <xdr:sp macro="" textlink="">
        <xdr:nvSpPr>
          <xdr:cNvPr id="12731" name="Rectangle 1147"/>
          <xdr:cNvSpPr>
            <a:spLocks noChangeArrowheads="1"/>
          </xdr:cNvSpPr>
        </xdr:nvSpPr>
        <xdr:spPr bwMode="auto">
          <a:xfrm>
            <a:off x="598" y="629"/>
            <a:ext cx="53" cy="30"/>
          </a:xfrm>
          <a:prstGeom prst="rect">
            <a:avLst/>
          </a:prstGeom>
          <a:solidFill>
            <a:srgbClr val="FFFFFF"/>
          </a:solidFill>
          <a:ln w="9525">
            <a:solidFill>
              <a:srgbClr val="000000"/>
            </a:solidFill>
            <a:miter lim="800000"/>
            <a:headEnd/>
            <a:tailEnd/>
          </a:ln>
        </xdr:spPr>
      </xdr:sp>
    </xdr:grpSp>
    <xdr:clientData/>
  </xdr:twoCellAnchor>
  <xdr:twoCellAnchor>
    <xdr:from>
      <xdr:col>9</xdr:col>
      <xdr:colOff>57150</xdr:colOff>
      <xdr:row>46</xdr:row>
      <xdr:rowOff>76200</xdr:rowOff>
    </xdr:from>
    <xdr:to>
      <xdr:col>15</xdr:col>
      <xdr:colOff>209550</xdr:colOff>
      <xdr:row>46</xdr:row>
      <xdr:rowOff>76200</xdr:rowOff>
    </xdr:to>
    <xdr:sp macro="" textlink="">
      <xdr:nvSpPr>
        <xdr:cNvPr id="12337" name="Line 1148"/>
        <xdr:cNvSpPr>
          <a:spLocks noChangeShapeType="1"/>
        </xdr:cNvSpPr>
      </xdr:nvSpPr>
      <xdr:spPr bwMode="auto">
        <a:xfrm>
          <a:off x="5543550" y="7848600"/>
          <a:ext cx="3810000" cy="0"/>
        </a:xfrm>
        <a:prstGeom prst="line">
          <a:avLst/>
        </a:prstGeom>
        <a:noFill/>
        <a:ln w="19050">
          <a:solidFill>
            <a:srgbClr val="0000FF"/>
          </a:solidFill>
          <a:round/>
          <a:headEnd/>
          <a:tailEnd/>
        </a:ln>
      </xdr:spPr>
    </xdr:sp>
    <xdr:clientData/>
  </xdr:twoCellAnchor>
  <xdr:twoCellAnchor>
    <xdr:from>
      <xdr:col>13</xdr:col>
      <xdr:colOff>47625</xdr:colOff>
      <xdr:row>46</xdr:row>
      <xdr:rowOff>9525</xdr:rowOff>
    </xdr:from>
    <xdr:to>
      <xdr:col>13</xdr:col>
      <xdr:colOff>361950</xdr:colOff>
      <xdr:row>46</xdr:row>
      <xdr:rowOff>9525</xdr:rowOff>
    </xdr:to>
    <xdr:sp macro="" textlink="">
      <xdr:nvSpPr>
        <xdr:cNvPr id="12338" name="Line 1149"/>
        <xdr:cNvSpPr>
          <a:spLocks noChangeShapeType="1"/>
        </xdr:cNvSpPr>
      </xdr:nvSpPr>
      <xdr:spPr bwMode="auto">
        <a:xfrm>
          <a:off x="7972425" y="7781925"/>
          <a:ext cx="314325" cy="0"/>
        </a:xfrm>
        <a:prstGeom prst="line">
          <a:avLst/>
        </a:prstGeom>
        <a:noFill/>
        <a:ln w="19050">
          <a:solidFill>
            <a:srgbClr val="0000FF"/>
          </a:solidFill>
          <a:round/>
          <a:headEnd/>
          <a:tailEnd/>
        </a:ln>
      </xdr:spPr>
    </xdr:sp>
    <xdr:clientData/>
  </xdr:twoCellAnchor>
  <xdr:twoCellAnchor>
    <xdr:from>
      <xdr:col>11</xdr:col>
      <xdr:colOff>38100</xdr:colOff>
      <xdr:row>46</xdr:row>
      <xdr:rowOff>9525</xdr:rowOff>
    </xdr:from>
    <xdr:to>
      <xdr:col>11</xdr:col>
      <xdr:colOff>352425</xdr:colOff>
      <xdr:row>46</xdr:row>
      <xdr:rowOff>9525</xdr:rowOff>
    </xdr:to>
    <xdr:sp macro="" textlink="">
      <xdr:nvSpPr>
        <xdr:cNvPr id="12339" name="Line 1150"/>
        <xdr:cNvSpPr>
          <a:spLocks noChangeShapeType="1"/>
        </xdr:cNvSpPr>
      </xdr:nvSpPr>
      <xdr:spPr bwMode="auto">
        <a:xfrm>
          <a:off x="6743700" y="7781925"/>
          <a:ext cx="314325" cy="0"/>
        </a:xfrm>
        <a:prstGeom prst="line">
          <a:avLst/>
        </a:prstGeom>
        <a:noFill/>
        <a:ln w="19050">
          <a:solidFill>
            <a:srgbClr val="0000FF"/>
          </a:solidFill>
          <a:round/>
          <a:headEnd/>
          <a:tailEnd/>
        </a:ln>
      </xdr:spPr>
    </xdr:sp>
    <xdr:clientData/>
  </xdr:twoCellAnchor>
  <xdr:twoCellAnchor>
    <xdr:from>
      <xdr:col>9</xdr:col>
      <xdr:colOff>142875</xdr:colOff>
      <xdr:row>46</xdr:row>
      <xdr:rowOff>0</xdr:rowOff>
    </xdr:from>
    <xdr:to>
      <xdr:col>9</xdr:col>
      <xdr:colOff>457200</xdr:colOff>
      <xdr:row>46</xdr:row>
      <xdr:rowOff>0</xdr:rowOff>
    </xdr:to>
    <xdr:sp macro="" textlink="">
      <xdr:nvSpPr>
        <xdr:cNvPr id="12340" name="Line 1151"/>
        <xdr:cNvSpPr>
          <a:spLocks noChangeShapeType="1"/>
        </xdr:cNvSpPr>
      </xdr:nvSpPr>
      <xdr:spPr bwMode="auto">
        <a:xfrm>
          <a:off x="5629275" y="7772400"/>
          <a:ext cx="314325" cy="0"/>
        </a:xfrm>
        <a:prstGeom prst="line">
          <a:avLst/>
        </a:prstGeom>
        <a:noFill/>
        <a:ln w="19050">
          <a:solidFill>
            <a:srgbClr val="0000FF"/>
          </a:solidFill>
          <a:round/>
          <a:headEnd/>
          <a:tailEnd/>
        </a:ln>
      </xdr:spPr>
    </xdr:sp>
    <xdr:clientData/>
  </xdr:twoCellAnchor>
  <xdr:twoCellAnchor>
    <xdr:from>
      <xdr:col>14</xdr:col>
      <xdr:colOff>514350</xdr:colOff>
      <xdr:row>46</xdr:row>
      <xdr:rowOff>9525</xdr:rowOff>
    </xdr:from>
    <xdr:to>
      <xdr:col>15</xdr:col>
      <xdr:colOff>219075</xdr:colOff>
      <xdr:row>46</xdr:row>
      <xdr:rowOff>9525</xdr:rowOff>
    </xdr:to>
    <xdr:sp macro="" textlink="">
      <xdr:nvSpPr>
        <xdr:cNvPr id="12341" name="Line 1152"/>
        <xdr:cNvSpPr>
          <a:spLocks noChangeShapeType="1"/>
        </xdr:cNvSpPr>
      </xdr:nvSpPr>
      <xdr:spPr bwMode="auto">
        <a:xfrm>
          <a:off x="9048750" y="7781925"/>
          <a:ext cx="314325" cy="0"/>
        </a:xfrm>
        <a:prstGeom prst="line">
          <a:avLst/>
        </a:prstGeom>
        <a:noFill/>
        <a:ln w="19050">
          <a:solidFill>
            <a:srgbClr val="0000FF"/>
          </a:solidFill>
          <a:round/>
          <a:headEnd/>
          <a:tailEnd/>
        </a:ln>
      </xdr:spPr>
    </xdr:sp>
    <xdr:clientData/>
  </xdr:twoCellAnchor>
  <xdr:twoCellAnchor>
    <xdr:from>
      <xdr:col>9</xdr:col>
      <xdr:colOff>142875</xdr:colOff>
      <xdr:row>45</xdr:row>
      <xdr:rowOff>142875</xdr:rowOff>
    </xdr:from>
    <xdr:to>
      <xdr:col>9</xdr:col>
      <xdr:colOff>142875</xdr:colOff>
      <xdr:row>46</xdr:row>
      <xdr:rowOff>76200</xdr:rowOff>
    </xdr:to>
    <xdr:sp macro="" textlink="">
      <xdr:nvSpPr>
        <xdr:cNvPr id="12342" name="Line 1153"/>
        <xdr:cNvSpPr>
          <a:spLocks noChangeShapeType="1"/>
        </xdr:cNvSpPr>
      </xdr:nvSpPr>
      <xdr:spPr bwMode="auto">
        <a:xfrm flipH="1" flipV="1">
          <a:off x="5629275" y="7753350"/>
          <a:ext cx="0" cy="95250"/>
        </a:xfrm>
        <a:prstGeom prst="line">
          <a:avLst/>
        </a:prstGeom>
        <a:noFill/>
        <a:ln w="19050">
          <a:solidFill>
            <a:srgbClr val="0000FF"/>
          </a:solidFill>
          <a:round/>
          <a:headEnd/>
          <a:tailEnd/>
        </a:ln>
      </xdr:spPr>
    </xdr:sp>
    <xdr:clientData/>
  </xdr:twoCellAnchor>
  <xdr:twoCellAnchor>
    <xdr:from>
      <xdr:col>12</xdr:col>
      <xdr:colOff>38100</xdr:colOff>
      <xdr:row>38</xdr:row>
      <xdr:rowOff>95250</xdr:rowOff>
    </xdr:from>
    <xdr:to>
      <xdr:col>12</xdr:col>
      <xdr:colOff>409575</xdr:colOff>
      <xdr:row>39</xdr:row>
      <xdr:rowOff>9525</xdr:rowOff>
    </xdr:to>
    <xdr:sp macro="" textlink="">
      <xdr:nvSpPr>
        <xdr:cNvPr id="12343" name="AutoShape 1154"/>
        <xdr:cNvSpPr>
          <a:spLocks noChangeArrowheads="1"/>
        </xdr:cNvSpPr>
      </xdr:nvSpPr>
      <xdr:spPr bwMode="auto">
        <a:xfrm flipH="1">
          <a:off x="7353300" y="6572250"/>
          <a:ext cx="371475" cy="76200"/>
        </a:xfrm>
        <a:prstGeom prst="rightArrow">
          <a:avLst>
            <a:gd name="adj1" fmla="val 50000"/>
            <a:gd name="adj2" fmla="val 121875"/>
          </a:avLst>
        </a:prstGeom>
        <a:solidFill>
          <a:srgbClr val="33CCCC"/>
        </a:solidFill>
        <a:ln w="9525">
          <a:solidFill>
            <a:srgbClr val="000000"/>
          </a:solidFill>
          <a:miter lim="800000"/>
          <a:headEnd/>
          <a:tailEnd/>
        </a:ln>
      </xdr:spPr>
    </xdr:sp>
    <xdr:clientData/>
  </xdr:twoCellAnchor>
  <xdr:twoCellAnchor>
    <xdr:from>
      <xdr:col>13</xdr:col>
      <xdr:colOff>533400</xdr:colOff>
      <xdr:row>45</xdr:row>
      <xdr:rowOff>152400</xdr:rowOff>
    </xdr:from>
    <xdr:to>
      <xdr:col>14</xdr:col>
      <xdr:colOff>295275</xdr:colOff>
      <xdr:row>46</xdr:row>
      <xdr:rowOff>66675</xdr:rowOff>
    </xdr:to>
    <xdr:sp macro="" textlink="">
      <xdr:nvSpPr>
        <xdr:cNvPr id="12344" name="AutoShape 1156"/>
        <xdr:cNvSpPr>
          <a:spLocks noChangeArrowheads="1"/>
        </xdr:cNvSpPr>
      </xdr:nvSpPr>
      <xdr:spPr bwMode="auto">
        <a:xfrm rot="10800000" flipH="1">
          <a:off x="8458200" y="7762875"/>
          <a:ext cx="371475" cy="76200"/>
        </a:xfrm>
        <a:prstGeom prst="rightArrow">
          <a:avLst>
            <a:gd name="adj1" fmla="val 50000"/>
            <a:gd name="adj2" fmla="val 121875"/>
          </a:avLst>
        </a:prstGeom>
        <a:solidFill>
          <a:srgbClr val="33CCCC"/>
        </a:solidFill>
        <a:ln w="9525">
          <a:solidFill>
            <a:srgbClr val="000000"/>
          </a:solidFill>
          <a:miter lim="800000"/>
          <a:headEnd/>
          <a:tailEnd/>
        </a:ln>
      </xdr:spPr>
    </xdr:sp>
    <xdr:clientData/>
  </xdr:twoCellAnchor>
  <xdr:twoCellAnchor>
    <xdr:from>
      <xdr:col>9</xdr:col>
      <xdr:colOff>142875</xdr:colOff>
      <xdr:row>39</xdr:row>
      <xdr:rowOff>9525</xdr:rowOff>
    </xdr:from>
    <xdr:to>
      <xdr:col>15</xdr:col>
      <xdr:colOff>266700</xdr:colOff>
      <xdr:row>45</xdr:row>
      <xdr:rowOff>152400</xdr:rowOff>
    </xdr:to>
    <xdr:sp macro="" textlink="">
      <xdr:nvSpPr>
        <xdr:cNvPr id="12345" name="AutoShape 1158"/>
        <xdr:cNvSpPr>
          <a:spLocks noChangeArrowheads="1"/>
        </xdr:cNvSpPr>
      </xdr:nvSpPr>
      <xdr:spPr bwMode="auto">
        <a:xfrm>
          <a:off x="5629275" y="6648450"/>
          <a:ext cx="3781425" cy="1114425"/>
        </a:xfrm>
        <a:prstGeom prst="roundRect">
          <a:avLst>
            <a:gd name="adj" fmla="val 4917"/>
          </a:avLst>
        </a:prstGeom>
        <a:noFill/>
        <a:ln w="19050">
          <a:solidFill>
            <a:srgbClr val="993366"/>
          </a:solidFill>
          <a:round/>
          <a:headEnd/>
          <a:tailEnd/>
        </a:ln>
      </xdr:spPr>
    </xdr:sp>
    <xdr:clientData/>
  </xdr:twoCellAnchor>
  <xdr:twoCellAnchor>
    <xdr:from>
      <xdr:col>10</xdr:col>
      <xdr:colOff>523875</xdr:colOff>
      <xdr:row>40</xdr:row>
      <xdr:rowOff>19050</xdr:rowOff>
    </xdr:from>
    <xdr:to>
      <xdr:col>11</xdr:col>
      <xdr:colOff>485775</xdr:colOff>
      <xdr:row>41</xdr:row>
      <xdr:rowOff>123825</xdr:rowOff>
    </xdr:to>
    <xdr:grpSp>
      <xdr:nvGrpSpPr>
        <xdr:cNvPr id="12346" name="Group 1159"/>
        <xdr:cNvGrpSpPr>
          <a:grpSpLocks/>
        </xdr:cNvGrpSpPr>
      </xdr:nvGrpSpPr>
      <xdr:grpSpPr bwMode="auto">
        <a:xfrm>
          <a:off x="6619875" y="6819900"/>
          <a:ext cx="571500" cy="266700"/>
          <a:chOff x="692" y="685"/>
          <a:chExt cx="60" cy="28"/>
        </a:xfrm>
      </xdr:grpSpPr>
      <xdr:grpSp>
        <xdr:nvGrpSpPr>
          <xdr:cNvPr id="12720" name="Group 1160"/>
          <xdr:cNvGrpSpPr>
            <a:grpSpLocks/>
          </xdr:cNvGrpSpPr>
        </xdr:nvGrpSpPr>
        <xdr:grpSpPr bwMode="auto">
          <a:xfrm>
            <a:off x="692" y="685"/>
            <a:ext cx="60" cy="28"/>
            <a:chOff x="692" y="685"/>
            <a:chExt cx="60" cy="28"/>
          </a:xfrm>
        </xdr:grpSpPr>
        <xdr:sp macro="" textlink="">
          <xdr:nvSpPr>
            <xdr:cNvPr id="12725" name="Oval 1161"/>
            <xdr:cNvSpPr>
              <a:spLocks noChangeArrowheads="1"/>
            </xdr:cNvSpPr>
          </xdr:nvSpPr>
          <xdr:spPr bwMode="auto">
            <a:xfrm>
              <a:off x="692" y="685"/>
              <a:ext cx="28" cy="28"/>
            </a:xfrm>
            <a:prstGeom prst="ellipse">
              <a:avLst/>
            </a:prstGeom>
            <a:solidFill>
              <a:srgbClr val="FF9933"/>
            </a:solidFill>
            <a:ln w="9525">
              <a:solidFill>
                <a:srgbClr val="000000"/>
              </a:solidFill>
              <a:round/>
              <a:headEnd/>
              <a:tailEnd/>
            </a:ln>
          </xdr:spPr>
        </xdr:sp>
        <xdr:sp macro="" textlink="">
          <xdr:nvSpPr>
            <xdr:cNvPr id="12726" name="Oval 1162"/>
            <xdr:cNvSpPr>
              <a:spLocks noChangeArrowheads="1"/>
            </xdr:cNvSpPr>
          </xdr:nvSpPr>
          <xdr:spPr bwMode="auto">
            <a:xfrm>
              <a:off x="724" y="685"/>
              <a:ext cx="28" cy="28"/>
            </a:xfrm>
            <a:prstGeom prst="ellipse">
              <a:avLst/>
            </a:prstGeom>
            <a:solidFill>
              <a:srgbClr val="FF9933"/>
            </a:solidFill>
            <a:ln w="9525">
              <a:solidFill>
                <a:srgbClr val="000000"/>
              </a:solidFill>
              <a:round/>
              <a:headEnd/>
              <a:tailEnd/>
            </a:ln>
          </xdr:spPr>
        </xdr:sp>
        <xdr:sp macro="" textlink="">
          <xdr:nvSpPr>
            <xdr:cNvPr id="12727" name="Rectangle 1163"/>
            <xdr:cNvSpPr>
              <a:spLocks noChangeArrowheads="1"/>
            </xdr:cNvSpPr>
          </xdr:nvSpPr>
          <xdr:spPr bwMode="auto">
            <a:xfrm>
              <a:off x="706" y="685"/>
              <a:ext cx="32" cy="28"/>
            </a:xfrm>
            <a:prstGeom prst="rect">
              <a:avLst/>
            </a:prstGeom>
            <a:solidFill>
              <a:srgbClr val="FF9933"/>
            </a:solidFill>
            <a:ln w="9525">
              <a:noFill/>
              <a:miter lim="800000"/>
              <a:headEnd/>
              <a:tailEnd/>
            </a:ln>
          </xdr:spPr>
        </xdr:sp>
        <xdr:sp macro="" textlink="">
          <xdr:nvSpPr>
            <xdr:cNvPr id="12728" name="Line 1164"/>
            <xdr:cNvSpPr>
              <a:spLocks noChangeShapeType="1"/>
            </xdr:cNvSpPr>
          </xdr:nvSpPr>
          <xdr:spPr bwMode="auto">
            <a:xfrm>
              <a:off x="706" y="685"/>
              <a:ext cx="32" cy="0"/>
            </a:xfrm>
            <a:prstGeom prst="line">
              <a:avLst/>
            </a:prstGeom>
            <a:noFill/>
            <a:ln w="9525">
              <a:solidFill>
                <a:srgbClr val="000000"/>
              </a:solidFill>
              <a:round/>
              <a:headEnd/>
              <a:tailEnd/>
            </a:ln>
          </xdr:spPr>
        </xdr:sp>
        <xdr:sp macro="" textlink="">
          <xdr:nvSpPr>
            <xdr:cNvPr id="12729" name="Line 1165"/>
            <xdr:cNvSpPr>
              <a:spLocks noChangeShapeType="1"/>
            </xdr:cNvSpPr>
          </xdr:nvSpPr>
          <xdr:spPr bwMode="auto">
            <a:xfrm>
              <a:off x="705" y="713"/>
              <a:ext cx="32" cy="0"/>
            </a:xfrm>
            <a:prstGeom prst="line">
              <a:avLst/>
            </a:prstGeom>
            <a:noFill/>
            <a:ln w="9525">
              <a:solidFill>
                <a:srgbClr val="000000"/>
              </a:solidFill>
              <a:round/>
              <a:headEnd/>
              <a:tailEnd/>
            </a:ln>
          </xdr:spPr>
        </xdr:sp>
      </xdr:grpSp>
      <xdr:sp macro="" textlink="">
        <xdr:nvSpPr>
          <xdr:cNvPr id="12721" name="AutoShape 1166"/>
          <xdr:cNvSpPr>
            <a:spLocks noChangeArrowheads="1"/>
          </xdr:cNvSpPr>
        </xdr:nvSpPr>
        <xdr:spPr bwMode="auto">
          <a:xfrm>
            <a:off x="695"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722" name="Oval 1167"/>
          <xdr:cNvSpPr>
            <a:spLocks noChangeArrowheads="1"/>
          </xdr:cNvSpPr>
        </xdr:nvSpPr>
        <xdr:spPr bwMode="auto">
          <a:xfrm>
            <a:off x="700" y="693"/>
            <a:ext cx="12" cy="12"/>
          </a:xfrm>
          <a:prstGeom prst="ellipse">
            <a:avLst/>
          </a:prstGeom>
          <a:solidFill>
            <a:srgbClr val="FF9933"/>
          </a:solidFill>
          <a:ln w="9525">
            <a:solidFill>
              <a:srgbClr val="000000"/>
            </a:solidFill>
            <a:round/>
            <a:headEnd/>
            <a:tailEnd/>
          </a:ln>
        </xdr:spPr>
      </xdr:sp>
      <xdr:sp macro="" textlink="">
        <xdr:nvSpPr>
          <xdr:cNvPr id="12723" name="AutoShape 1168"/>
          <xdr:cNvSpPr>
            <a:spLocks noChangeArrowheads="1"/>
          </xdr:cNvSpPr>
        </xdr:nvSpPr>
        <xdr:spPr bwMode="auto">
          <a:xfrm>
            <a:off x="727"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724" name="Oval 1169"/>
          <xdr:cNvSpPr>
            <a:spLocks noChangeArrowheads="1"/>
          </xdr:cNvSpPr>
        </xdr:nvSpPr>
        <xdr:spPr bwMode="auto">
          <a:xfrm>
            <a:off x="732" y="693"/>
            <a:ext cx="12" cy="12"/>
          </a:xfrm>
          <a:prstGeom prst="ellipse">
            <a:avLst/>
          </a:prstGeom>
          <a:solidFill>
            <a:srgbClr val="FF9933"/>
          </a:solidFill>
          <a:ln w="9525">
            <a:solidFill>
              <a:srgbClr val="000000"/>
            </a:solidFill>
            <a:round/>
            <a:headEnd/>
            <a:tailEnd/>
          </a:ln>
        </xdr:spPr>
      </xdr:sp>
    </xdr:grpSp>
    <xdr:clientData/>
  </xdr:twoCellAnchor>
  <xdr:twoCellAnchor>
    <xdr:from>
      <xdr:col>12</xdr:col>
      <xdr:colOff>533400</xdr:colOff>
      <xdr:row>40</xdr:row>
      <xdr:rowOff>19050</xdr:rowOff>
    </xdr:from>
    <xdr:to>
      <xdr:col>13</xdr:col>
      <xdr:colOff>495300</xdr:colOff>
      <xdr:row>41</xdr:row>
      <xdr:rowOff>123825</xdr:rowOff>
    </xdr:to>
    <xdr:grpSp>
      <xdr:nvGrpSpPr>
        <xdr:cNvPr id="12347" name="Group 1170"/>
        <xdr:cNvGrpSpPr>
          <a:grpSpLocks/>
        </xdr:cNvGrpSpPr>
      </xdr:nvGrpSpPr>
      <xdr:grpSpPr bwMode="auto">
        <a:xfrm>
          <a:off x="7848600" y="6819900"/>
          <a:ext cx="571500" cy="266700"/>
          <a:chOff x="692" y="685"/>
          <a:chExt cx="60" cy="28"/>
        </a:xfrm>
      </xdr:grpSpPr>
      <xdr:grpSp>
        <xdr:nvGrpSpPr>
          <xdr:cNvPr id="12710" name="Group 1171"/>
          <xdr:cNvGrpSpPr>
            <a:grpSpLocks/>
          </xdr:cNvGrpSpPr>
        </xdr:nvGrpSpPr>
        <xdr:grpSpPr bwMode="auto">
          <a:xfrm>
            <a:off x="692" y="685"/>
            <a:ext cx="60" cy="28"/>
            <a:chOff x="692" y="685"/>
            <a:chExt cx="60" cy="28"/>
          </a:xfrm>
        </xdr:grpSpPr>
        <xdr:sp macro="" textlink="">
          <xdr:nvSpPr>
            <xdr:cNvPr id="12715" name="Oval 1172"/>
            <xdr:cNvSpPr>
              <a:spLocks noChangeArrowheads="1"/>
            </xdr:cNvSpPr>
          </xdr:nvSpPr>
          <xdr:spPr bwMode="auto">
            <a:xfrm>
              <a:off x="692" y="685"/>
              <a:ext cx="28" cy="28"/>
            </a:xfrm>
            <a:prstGeom prst="ellipse">
              <a:avLst/>
            </a:prstGeom>
            <a:solidFill>
              <a:srgbClr val="FF9933"/>
            </a:solidFill>
            <a:ln w="9525">
              <a:solidFill>
                <a:srgbClr val="000000"/>
              </a:solidFill>
              <a:round/>
              <a:headEnd/>
              <a:tailEnd/>
            </a:ln>
          </xdr:spPr>
        </xdr:sp>
        <xdr:sp macro="" textlink="">
          <xdr:nvSpPr>
            <xdr:cNvPr id="12716" name="Oval 1173"/>
            <xdr:cNvSpPr>
              <a:spLocks noChangeArrowheads="1"/>
            </xdr:cNvSpPr>
          </xdr:nvSpPr>
          <xdr:spPr bwMode="auto">
            <a:xfrm>
              <a:off x="724" y="685"/>
              <a:ext cx="28" cy="28"/>
            </a:xfrm>
            <a:prstGeom prst="ellipse">
              <a:avLst/>
            </a:prstGeom>
            <a:solidFill>
              <a:srgbClr val="FF9933"/>
            </a:solidFill>
            <a:ln w="9525">
              <a:solidFill>
                <a:srgbClr val="000000"/>
              </a:solidFill>
              <a:round/>
              <a:headEnd/>
              <a:tailEnd/>
            </a:ln>
          </xdr:spPr>
        </xdr:sp>
        <xdr:sp macro="" textlink="">
          <xdr:nvSpPr>
            <xdr:cNvPr id="12717" name="Rectangle 1174"/>
            <xdr:cNvSpPr>
              <a:spLocks noChangeArrowheads="1"/>
            </xdr:cNvSpPr>
          </xdr:nvSpPr>
          <xdr:spPr bwMode="auto">
            <a:xfrm>
              <a:off x="706" y="685"/>
              <a:ext cx="32" cy="28"/>
            </a:xfrm>
            <a:prstGeom prst="rect">
              <a:avLst/>
            </a:prstGeom>
            <a:solidFill>
              <a:srgbClr val="FF9933"/>
            </a:solidFill>
            <a:ln w="9525">
              <a:noFill/>
              <a:miter lim="800000"/>
              <a:headEnd/>
              <a:tailEnd/>
            </a:ln>
          </xdr:spPr>
        </xdr:sp>
        <xdr:sp macro="" textlink="">
          <xdr:nvSpPr>
            <xdr:cNvPr id="12718" name="Line 1175"/>
            <xdr:cNvSpPr>
              <a:spLocks noChangeShapeType="1"/>
            </xdr:cNvSpPr>
          </xdr:nvSpPr>
          <xdr:spPr bwMode="auto">
            <a:xfrm>
              <a:off x="706" y="685"/>
              <a:ext cx="32" cy="0"/>
            </a:xfrm>
            <a:prstGeom prst="line">
              <a:avLst/>
            </a:prstGeom>
            <a:noFill/>
            <a:ln w="9525">
              <a:solidFill>
                <a:srgbClr val="000000"/>
              </a:solidFill>
              <a:round/>
              <a:headEnd/>
              <a:tailEnd/>
            </a:ln>
          </xdr:spPr>
        </xdr:sp>
        <xdr:sp macro="" textlink="">
          <xdr:nvSpPr>
            <xdr:cNvPr id="12719" name="Line 1176"/>
            <xdr:cNvSpPr>
              <a:spLocks noChangeShapeType="1"/>
            </xdr:cNvSpPr>
          </xdr:nvSpPr>
          <xdr:spPr bwMode="auto">
            <a:xfrm>
              <a:off x="705" y="713"/>
              <a:ext cx="32" cy="0"/>
            </a:xfrm>
            <a:prstGeom prst="line">
              <a:avLst/>
            </a:prstGeom>
            <a:noFill/>
            <a:ln w="9525">
              <a:solidFill>
                <a:srgbClr val="000000"/>
              </a:solidFill>
              <a:round/>
              <a:headEnd/>
              <a:tailEnd/>
            </a:ln>
          </xdr:spPr>
        </xdr:sp>
      </xdr:grpSp>
      <xdr:sp macro="" textlink="">
        <xdr:nvSpPr>
          <xdr:cNvPr id="12711" name="AutoShape 1177"/>
          <xdr:cNvSpPr>
            <a:spLocks noChangeArrowheads="1"/>
          </xdr:cNvSpPr>
        </xdr:nvSpPr>
        <xdr:spPr bwMode="auto">
          <a:xfrm>
            <a:off x="695"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712" name="Oval 1178"/>
          <xdr:cNvSpPr>
            <a:spLocks noChangeArrowheads="1"/>
          </xdr:cNvSpPr>
        </xdr:nvSpPr>
        <xdr:spPr bwMode="auto">
          <a:xfrm>
            <a:off x="700" y="693"/>
            <a:ext cx="12" cy="12"/>
          </a:xfrm>
          <a:prstGeom prst="ellipse">
            <a:avLst/>
          </a:prstGeom>
          <a:solidFill>
            <a:srgbClr val="FF9933"/>
          </a:solidFill>
          <a:ln w="9525">
            <a:solidFill>
              <a:srgbClr val="000000"/>
            </a:solidFill>
            <a:round/>
            <a:headEnd/>
            <a:tailEnd/>
          </a:ln>
        </xdr:spPr>
      </xdr:sp>
      <xdr:sp macro="" textlink="">
        <xdr:nvSpPr>
          <xdr:cNvPr id="12713" name="AutoShape 1179"/>
          <xdr:cNvSpPr>
            <a:spLocks noChangeArrowheads="1"/>
          </xdr:cNvSpPr>
        </xdr:nvSpPr>
        <xdr:spPr bwMode="auto">
          <a:xfrm>
            <a:off x="727"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714" name="Oval 1180"/>
          <xdr:cNvSpPr>
            <a:spLocks noChangeArrowheads="1"/>
          </xdr:cNvSpPr>
        </xdr:nvSpPr>
        <xdr:spPr bwMode="auto">
          <a:xfrm>
            <a:off x="732" y="693"/>
            <a:ext cx="12" cy="12"/>
          </a:xfrm>
          <a:prstGeom prst="ellipse">
            <a:avLst/>
          </a:prstGeom>
          <a:solidFill>
            <a:srgbClr val="FF9933"/>
          </a:solidFill>
          <a:ln w="9525">
            <a:solidFill>
              <a:srgbClr val="000000"/>
            </a:solidFill>
            <a:round/>
            <a:headEnd/>
            <a:tailEnd/>
          </a:ln>
        </xdr:spPr>
      </xdr:sp>
    </xdr:grpSp>
    <xdr:clientData/>
  </xdr:twoCellAnchor>
  <xdr:twoCellAnchor>
    <xdr:from>
      <xdr:col>11</xdr:col>
      <xdr:colOff>190500</xdr:colOff>
      <xdr:row>46</xdr:row>
      <xdr:rowOff>9525</xdr:rowOff>
    </xdr:from>
    <xdr:to>
      <xdr:col>11</xdr:col>
      <xdr:colOff>190500</xdr:colOff>
      <xdr:row>46</xdr:row>
      <xdr:rowOff>85725</xdr:rowOff>
    </xdr:to>
    <xdr:sp macro="" textlink="">
      <xdr:nvSpPr>
        <xdr:cNvPr id="12348" name="Line 1181"/>
        <xdr:cNvSpPr>
          <a:spLocks noChangeShapeType="1"/>
        </xdr:cNvSpPr>
      </xdr:nvSpPr>
      <xdr:spPr bwMode="auto">
        <a:xfrm>
          <a:off x="6896100" y="7781925"/>
          <a:ext cx="0" cy="76200"/>
        </a:xfrm>
        <a:prstGeom prst="line">
          <a:avLst/>
        </a:prstGeom>
        <a:noFill/>
        <a:ln w="19050">
          <a:solidFill>
            <a:srgbClr val="0000FF"/>
          </a:solidFill>
          <a:prstDash val="sysDot"/>
          <a:round/>
          <a:headEnd/>
          <a:tailEnd/>
        </a:ln>
      </xdr:spPr>
    </xdr:sp>
    <xdr:clientData/>
  </xdr:twoCellAnchor>
  <xdr:twoCellAnchor>
    <xdr:from>
      <xdr:col>13</xdr:col>
      <xdr:colOff>200025</xdr:colOff>
      <xdr:row>46</xdr:row>
      <xdr:rowOff>9525</xdr:rowOff>
    </xdr:from>
    <xdr:to>
      <xdr:col>13</xdr:col>
      <xdr:colOff>200025</xdr:colOff>
      <xdr:row>46</xdr:row>
      <xdr:rowOff>85725</xdr:rowOff>
    </xdr:to>
    <xdr:sp macro="" textlink="">
      <xdr:nvSpPr>
        <xdr:cNvPr id="12349" name="Line 1182"/>
        <xdr:cNvSpPr>
          <a:spLocks noChangeShapeType="1"/>
        </xdr:cNvSpPr>
      </xdr:nvSpPr>
      <xdr:spPr bwMode="auto">
        <a:xfrm>
          <a:off x="8124825" y="7781925"/>
          <a:ext cx="0" cy="76200"/>
        </a:xfrm>
        <a:prstGeom prst="line">
          <a:avLst/>
        </a:prstGeom>
        <a:noFill/>
        <a:ln w="19050">
          <a:solidFill>
            <a:srgbClr val="0000FF"/>
          </a:solidFill>
          <a:prstDash val="sysDot"/>
          <a:round/>
          <a:headEnd/>
          <a:tailEnd/>
        </a:ln>
      </xdr:spPr>
    </xdr:sp>
    <xdr:clientData/>
  </xdr:twoCellAnchor>
  <xdr:twoCellAnchor>
    <xdr:from>
      <xdr:col>15</xdr:col>
      <xdr:colOff>57150</xdr:colOff>
      <xdr:row>46</xdr:row>
      <xdr:rowOff>9525</xdr:rowOff>
    </xdr:from>
    <xdr:to>
      <xdr:col>15</xdr:col>
      <xdr:colOff>57150</xdr:colOff>
      <xdr:row>46</xdr:row>
      <xdr:rowOff>85725</xdr:rowOff>
    </xdr:to>
    <xdr:sp macro="" textlink="">
      <xdr:nvSpPr>
        <xdr:cNvPr id="12350" name="Line 1183"/>
        <xdr:cNvSpPr>
          <a:spLocks noChangeShapeType="1"/>
        </xdr:cNvSpPr>
      </xdr:nvSpPr>
      <xdr:spPr bwMode="auto">
        <a:xfrm>
          <a:off x="9201150" y="7781925"/>
          <a:ext cx="0" cy="76200"/>
        </a:xfrm>
        <a:prstGeom prst="line">
          <a:avLst/>
        </a:prstGeom>
        <a:noFill/>
        <a:ln w="19050">
          <a:solidFill>
            <a:srgbClr val="0000FF"/>
          </a:solidFill>
          <a:prstDash val="sysDot"/>
          <a:round/>
          <a:headEnd/>
          <a:tailEnd/>
        </a:ln>
      </xdr:spPr>
    </xdr:sp>
    <xdr:clientData/>
  </xdr:twoCellAnchor>
  <xdr:twoCellAnchor>
    <xdr:from>
      <xdr:col>3</xdr:col>
      <xdr:colOff>561975</xdr:colOff>
      <xdr:row>40</xdr:row>
      <xdr:rowOff>19050</xdr:rowOff>
    </xdr:from>
    <xdr:to>
      <xdr:col>4</xdr:col>
      <xdr:colOff>66675</xdr:colOff>
      <xdr:row>41</xdr:row>
      <xdr:rowOff>123825</xdr:rowOff>
    </xdr:to>
    <xdr:grpSp>
      <xdr:nvGrpSpPr>
        <xdr:cNvPr id="12351" name="Group 1184"/>
        <xdr:cNvGrpSpPr>
          <a:grpSpLocks/>
        </xdr:cNvGrpSpPr>
      </xdr:nvGrpSpPr>
      <xdr:grpSpPr bwMode="auto">
        <a:xfrm>
          <a:off x="2390775" y="6819900"/>
          <a:ext cx="114300" cy="266700"/>
          <a:chOff x="248" y="685"/>
          <a:chExt cx="12" cy="28"/>
        </a:xfrm>
      </xdr:grpSpPr>
      <xdr:sp macro="" textlink="">
        <xdr:nvSpPr>
          <xdr:cNvPr id="12706" name="Rectangle 1185"/>
          <xdr:cNvSpPr>
            <a:spLocks noChangeArrowheads="1"/>
          </xdr:cNvSpPr>
        </xdr:nvSpPr>
        <xdr:spPr bwMode="auto">
          <a:xfrm>
            <a:off x="248" y="693"/>
            <a:ext cx="12" cy="11"/>
          </a:xfrm>
          <a:prstGeom prst="rect">
            <a:avLst/>
          </a:prstGeom>
          <a:solidFill>
            <a:srgbClr val="FF9933"/>
          </a:solidFill>
          <a:ln w="9525">
            <a:solidFill>
              <a:srgbClr val="000000"/>
            </a:solidFill>
            <a:miter lim="800000"/>
            <a:headEnd/>
            <a:tailEnd/>
          </a:ln>
        </xdr:spPr>
      </xdr:sp>
      <xdr:sp macro="" textlink="">
        <xdr:nvSpPr>
          <xdr:cNvPr id="12707" name="Rectangle 1186"/>
          <xdr:cNvSpPr>
            <a:spLocks noChangeArrowheads="1"/>
          </xdr:cNvSpPr>
        </xdr:nvSpPr>
        <xdr:spPr bwMode="auto">
          <a:xfrm>
            <a:off x="254" y="690"/>
            <a:ext cx="4" cy="18"/>
          </a:xfrm>
          <a:prstGeom prst="rect">
            <a:avLst/>
          </a:prstGeom>
          <a:solidFill>
            <a:srgbClr val="FFCC00"/>
          </a:solidFill>
          <a:ln w="9525">
            <a:solidFill>
              <a:srgbClr val="000000"/>
            </a:solidFill>
            <a:miter lim="800000"/>
            <a:headEnd/>
            <a:tailEnd/>
          </a:ln>
        </xdr:spPr>
      </xdr:sp>
      <xdr:sp macro="" textlink="">
        <xdr:nvSpPr>
          <xdr:cNvPr id="12708" name="Rectangle 1187"/>
          <xdr:cNvSpPr>
            <a:spLocks noChangeArrowheads="1"/>
          </xdr:cNvSpPr>
        </xdr:nvSpPr>
        <xdr:spPr bwMode="auto">
          <a:xfrm>
            <a:off x="251" y="685"/>
            <a:ext cx="3" cy="28"/>
          </a:xfrm>
          <a:prstGeom prst="rect">
            <a:avLst/>
          </a:prstGeom>
          <a:solidFill>
            <a:srgbClr val="FF9933"/>
          </a:solidFill>
          <a:ln w="9525">
            <a:solidFill>
              <a:srgbClr val="000000"/>
            </a:solidFill>
            <a:miter lim="800000"/>
            <a:headEnd/>
            <a:tailEnd/>
          </a:ln>
        </xdr:spPr>
      </xdr:sp>
      <xdr:sp macro="" textlink="">
        <xdr:nvSpPr>
          <xdr:cNvPr id="12709" name="Rectangle 1188"/>
          <xdr:cNvSpPr>
            <a:spLocks noChangeArrowheads="1"/>
          </xdr:cNvSpPr>
        </xdr:nvSpPr>
        <xdr:spPr bwMode="auto">
          <a:xfrm>
            <a:off x="248" y="687"/>
            <a:ext cx="3" cy="24"/>
          </a:xfrm>
          <a:prstGeom prst="rect">
            <a:avLst/>
          </a:prstGeom>
          <a:solidFill>
            <a:srgbClr val="FF9933"/>
          </a:solidFill>
          <a:ln w="9525">
            <a:solidFill>
              <a:srgbClr val="000000"/>
            </a:solidFill>
            <a:miter lim="800000"/>
            <a:headEnd/>
            <a:tailEnd/>
          </a:ln>
        </xdr:spPr>
      </xdr:sp>
    </xdr:grpSp>
    <xdr:clientData/>
  </xdr:twoCellAnchor>
  <xdr:twoCellAnchor>
    <xdr:from>
      <xdr:col>4</xdr:col>
      <xdr:colOff>0</xdr:colOff>
      <xdr:row>43</xdr:row>
      <xdr:rowOff>0</xdr:rowOff>
    </xdr:from>
    <xdr:to>
      <xdr:col>4</xdr:col>
      <xdr:colOff>114300</xdr:colOff>
      <xdr:row>44</xdr:row>
      <xdr:rowOff>104775</xdr:rowOff>
    </xdr:to>
    <xdr:grpSp>
      <xdr:nvGrpSpPr>
        <xdr:cNvPr id="12352" name="Group 1189"/>
        <xdr:cNvGrpSpPr>
          <a:grpSpLocks/>
        </xdr:cNvGrpSpPr>
      </xdr:nvGrpSpPr>
      <xdr:grpSpPr bwMode="auto">
        <a:xfrm rot="10800000">
          <a:off x="2438400" y="7286625"/>
          <a:ext cx="114300" cy="266700"/>
          <a:chOff x="248" y="685"/>
          <a:chExt cx="12" cy="28"/>
        </a:xfrm>
      </xdr:grpSpPr>
      <xdr:sp macro="" textlink="">
        <xdr:nvSpPr>
          <xdr:cNvPr id="12702" name="Rectangle 1190"/>
          <xdr:cNvSpPr>
            <a:spLocks noChangeArrowheads="1"/>
          </xdr:cNvSpPr>
        </xdr:nvSpPr>
        <xdr:spPr bwMode="auto">
          <a:xfrm>
            <a:off x="248" y="693"/>
            <a:ext cx="12" cy="11"/>
          </a:xfrm>
          <a:prstGeom prst="rect">
            <a:avLst/>
          </a:prstGeom>
          <a:solidFill>
            <a:srgbClr val="FF9933"/>
          </a:solidFill>
          <a:ln w="9525">
            <a:solidFill>
              <a:srgbClr val="000000"/>
            </a:solidFill>
            <a:miter lim="800000"/>
            <a:headEnd/>
            <a:tailEnd/>
          </a:ln>
        </xdr:spPr>
      </xdr:sp>
      <xdr:sp macro="" textlink="">
        <xdr:nvSpPr>
          <xdr:cNvPr id="12703" name="Rectangle 1191"/>
          <xdr:cNvSpPr>
            <a:spLocks noChangeArrowheads="1"/>
          </xdr:cNvSpPr>
        </xdr:nvSpPr>
        <xdr:spPr bwMode="auto">
          <a:xfrm>
            <a:off x="254" y="690"/>
            <a:ext cx="4" cy="18"/>
          </a:xfrm>
          <a:prstGeom prst="rect">
            <a:avLst/>
          </a:prstGeom>
          <a:solidFill>
            <a:srgbClr val="FFCC00"/>
          </a:solidFill>
          <a:ln w="9525">
            <a:solidFill>
              <a:srgbClr val="000000"/>
            </a:solidFill>
            <a:miter lim="800000"/>
            <a:headEnd/>
            <a:tailEnd/>
          </a:ln>
        </xdr:spPr>
      </xdr:sp>
      <xdr:sp macro="" textlink="">
        <xdr:nvSpPr>
          <xdr:cNvPr id="12704" name="Rectangle 1192"/>
          <xdr:cNvSpPr>
            <a:spLocks noChangeArrowheads="1"/>
          </xdr:cNvSpPr>
        </xdr:nvSpPr>
        <xdr:spPr bwMode="auto">
          <a:xfrm>
            <a:off x="251" y="685"/>
            <a:ext cx="3" cy="28"/>
          </a:xfrm>
          <a:prstGeom prst="rect">
            <a:avLst/>
          </a:prstGeom>
          <a:solidFill>
            <a:srgbClr val="FF9933"/>
          </a:solidFill>
          <a:ln w="9525">
            <a:solidFill>
              <a:srgbClr val="000000"/>
            </a:solidFill>
            <a:miter lim="800000"/>
            <a:headEnd/>
            <a:tailEnd/>
          </a:ln>
        </xdr:spPr>
      </xdr:sp>
      <xdr:sp macro="" textlink="">
        <xdr:nvSpPr>
          <xdr:cNvPr id="12705" name="Rectangle 1193"/>
          <xdr:cNvSpPr>
            <a:spLocks noChangeArrowheads="1"/>
          </xdr:cNvSpPr>
        </xdr:nvSpPr>
        <xdr:spPr bwMode="auto">
          <a:xfrm>
            <a:off x="248" y="687"/>
            <a:ext cx="3" cy="24"/>
          </a:xfrm>
          <a:prstGeom prst="rect">
            <a:avLst/>
          </a:prstGeom>
          <a:solidFill>
            <a:srgbClr val="FF9933"/>
          </a:solidFill>
          <a:ln w="9525">
            <a:solidFill>
              <a:srgbClr val="000000"/>
            </a:solidFill>
            <a:miter lim="800000"/>
            <a:headEnd/>
            <a:tailEnd/>
          </a:ln>
        </xdr:spPr>
      </xdr:sp>
    </xdr:grpSp>
    <xdr:clientData/>
  </xdr:twoCellAnchor>
  <xdr:twoCellAnchor>
    <xdr:from>
      <xdr:col>10</xdr:col>
      <xdr:colOff>523875</xdr:colOff>
      <xdr:row>43</xdr:row>
      <xdr:rowOff>0</xdr:rowOff>
    </xdr:from>
    <xdr:to>
      <xdr:col>11</xdr:col>
      <xdr:colOff>485775</xdr:colOff>
      <xdr:row>44</xdr:row>
      <xdr:rowOff>104775</xdr:rowOff>
    </xdr:to>
    <xdr:grpSp>
      <xdr:nvGrpSpPr>
        <xdr:cNvPr id="12353" name="Group 1194"/>
        <xdr:cNvGrpSpPr>
          <a:grpSpLocks/>
        </xdr:cNvGrpSpPr>
      </xdr:nvGrpSpPr>
      <xdr:grpSpPr bwMode="auto">
        <a:xfrm>
          <a:off x="6619875" y="7286625"/>
          <a:ext cx="571500" cy="266700"/>
          <a:chOff x="692" y="734"/>
          <a:chExt cx="60" cy="28"/>
        </a:xfrm>
      </xdr:grpSpPr>
      <xdr:sp macro="" textlink="">
        <xdr:nvSpPr>
          <xdr:cNvPr id="12693" name="Oval 1195"/>
          <xdr:cNvSpPr>
            <a:spLocks noChangeArrowheads="1"/>
          </xdr:cNvSpPr>
        </xdr:nvSpPr>
        <xdr:spPr bwMode="auto">
          <a:xfrm>
            <a:off x="692" y="734"/>
            <a:ext cx="28" cy="28"/>
          </a:xfrm>
          <a:prstGeom prst="ellipse">
            <a:avLst/>
          </a:prstGeom>
          <a:solidFill>
            <a:srgbClr val="C0C0C0"/>
          </a:solidFill>
          <a:ln w="9525">
            <a:solidFill>
              <a:srgbClr val="000000"/>
            </a:solidFill>
            <a:prstDash val="sysDot"/>
            <a:round/>
            <a:headEnd/>
            <a:tailEnd/>
          </a:ln>
        </xdr:spPr>
      </xdr:sp>
      <xdr:sp macro="" textlink="">
        <xdr:nvSpPr>
          <xdr:cNvPr id="12694" name="Oval 1196"/>
          <xdr:cNvSpPr>
            <a:spLocks noChangeArrowheads="1"/>
          </xdr:cNvSpPr>
        </xdr:nvSpPr>
        <xdr:spPr bwMode="auto">
          <a:xfrm>
            <a:off x="724" y="734"/>
            <a:ext cx="28" cy="28"/>
          </a:xfrm>
          <a:prstGeom prst="ellipse">
            <a:avLst/>
          </a:prstGeom>
          <a:solidFill>
            <a:srgbClr val="C0C0C0"/>
          </a:solidFill>
          <a:ln w="9525">
            <a:solidFill>
              <a:srgbClr val="000000"/>
            </a:solidFill>
            <a:prstDash val="sysDot"/>
            <a:round/>
            <a:headEnd/>
            <a:tailEnd/>
          </a:ln>
        </xdr:spPr>
      </xdr:sp>
      <xdr:sp macro="" textlink="">
        <xdr:nvSpPr>
          <xdr:cNvPr id="12695" name="Rectangle 1197"/>
          <xdr:cNvSpPr>
            <a:spLocks noChangeArrowheads="1"/>
          </xdr:cNvSpPr>
        </xdr:nvSpPr>
        <xdr:spPr bwMode="auto">
          <a:xfrm>
            <a:off x="706" y="734"/>
            <a:ext cx="32" cy="28"/>
          </a:xfrm>
          <a:prstGeom prst="rect">
            <a:avLst/>
          </a:prstGeom>
          <a:solidFill>
            <a:srgbClr val="C0C0C0"/>
          </a:solidFill>
          <a:ln w="9525">
            <a:noFill/>
            <a:miter lim="800000"/>
            <a:headEnd/>
            <a:tailEnd/>
          </a:ln>
        </xdr:spPr>
      </xdr:sp>
      <xdr:sp macro="" textlink="">
        <xdr:nvSpPr>
          <xdr:cNvPr id="12696" name="Line 1198"/>
          <xdr:cNvSpPr>
            <a:spLocks noChangeShapeType="1"/>
          </xdr:cNvSpPr>
        </xdr:nvSpPr>
        <xdr:spPr bwMode="auto">
          <a:xfrm>
            <a:off x="706" y="734"/>
            <a:ext cx="32" cy="0"/>
          </a:xfrm>
          <a:prstGeom prst="line">
            <a:avLst/>
          </a:prstGeom>
          <a:noFill/>
          <a:ln w="9525">
            <a:solidFill>
              <a:srgbClr val="000000"/>
            </a:solidFill>
            <a:prstDash val="sysDot"/>
            <a:round/>
            <a:headEnd/>
            <a:tailEnd/>
          </a:ln>
        </xdr:spPr>
      </xdr:sp>
      <xdr:sp macro="" textlink="">
        <xdr:nvSpPr>
          <xdr:cNvPr id="12697" name="Line 1199"/>
          <xdr:cNvSpPr>
            <a:spLocks noChangeShapeType="1"/>
          </xdr:cNvSpPr>
        </xdr:nvSpPr>
        <xdr:spPr bwMode="auto">
          <a:xfrm>
            <a:off x="705" y="762"/>
            <a:ext cx="32" cy="0"/>
          </a:xfrm>
          <a:prstGeom prst="line">
            <a:avLst/>
          </a:prstGeom>
          <a:noFill/>
          <a:ln w="9525">
            <a:solidFill>
              <a:srgbClr val="000000"/>
            </a:solidFill>
            <a:prstDash val="sysDot"/>
            <a:round/>
            <a:headEnd/>
            <a:tailEnd/>
          </a:ln>
        </xdr:spPr>
      </xdr:sp>
      <xdr:sp macro="" textlink="">
        <xdr:nvSpPr>
          <xdr:cNvPr id="12698" name="AutoShape 1200"/>
          <xdr:cNvSpPr>
            <a:spLocks noChangeArrowheads="1"/>
          </xdr:cNvSpPr>
        </xdr:nvSpPr>
        <xdr:spPr bwMode="auto">
          <a:xfrm>
            <a:off x="695" y="739"/>
            <a:ext cx="22" cy="18"/>
          </a:xfrm>
          <a:prstGeom prst="hexagon">
            <a:avLst>
              <a:gd name="adj" fmla="val 30556"/>
              <a:gd name="vf" fmla="val 115470"/>
            </a:avLst>
          </a:prstGeom>
          <a:solidFill>
            <a:srgbClr val="C0C0C0"/>
          </a:solidFill>
          <a:ln w="9525">
            <a:solidFill>
              <a:srgbClr val="000000"/>
            </a:solidFill>
            <a:prstDash val="sysDot"/>
            <a:miter lim="800000"/>
            <a:headEnd/>
            <a:tailEnd/>
          </a:ln>
        </xdr:spPr>
      </xdr:sp>
      <xdr:sp macro="" textlink="">
        <xdr:nvSpPr>
          <xdr:cNvPr id="12699" name="Oval 1201"/>
          <xdr:cNvSpPr>
            <a:spLocks noChangeArrowheads="1"/>
          </xdr:cNvSpPr>
        </xdr:nvSpPr>
        <xdr:spPr bwMode="auto">
          <a:xfrm>
            <a:off x="700" y="742"/>
            <a:ext cx="12" cy="12"/>
          </a:xfrm>
          <a:prstGeom prst="ellipse">
            <a:avLst/>
          </a:prstGeom>
          <a:solidFill>
            <a:srgbClr val="C0C0C0"/>
          </a:solidFill>
          <a:ln w="9525">
            <a:solidFill>
              <a:srgbClr val="000000"/>
            </a:solidFill>
            <a:prstDash val="sysDot"/>
            <a:round/>
            <a:headEnd/>
            <a:tailEnd/>
          </a:ln>
        </xdr:spPr>
      </xdr:sp>
      <xdr:sp macro="" textlink="">
        <xdr:nvSpPr>
          <xdr:cNvPr id="12700" name="AutoShape 1202"/>
          <xdr:cNvSpPr>
            <a:spLocks noChangeArrowheads="1"/>
          </xdr:cNvSpPr>
        </xdr:nvSpPr>
        <xdr:spPr bwMode="auto">
          <a:xfrm>
            <a:off x="727" y="739"/>
            <a:ext cx="22" cy="18"/>
          </a:xfrm>
          <a:prstGeom prst="hexagon">
            <a:avLst>
              <a:gd name="adj" fmla="val 30556"/>
              <a:gd name="vf" fmla="val 115470"/>
            </a:avLst>
          </a:prstGeom>
          <a:solidFill>
            <a:srgbClr val="C0C0C0"/>
          </a:solidFill>
          <a:ln w="9525">
            <a:solidFill>
              <a:srgbClr val="000000"/>
            </a:solidFill>
            <a:prstDash val="sysDot"/>
            <a:miter lim="800000"/>
            <a:headEnd/>
            <a:tailEnd/>
          </a:ln>
        </xdr:spPr>
      </xdr:sp>
      <xdr:sp macro="" textlink="">
        <xdr:nvSpPr>
          <xdr:cNvPr id="12701" name="Oval 1203"/>
          <xdr:cNvSpPr>
            <a:spLocks noChangeArrowheads="1"/>
          </xdr:cNvSpPr>
        </xdr:nvSpPr>
        <xdr:spPr bwMode="auto">
          <a:xfrm>
            <a:off x="732" y="742"/>
            <a:ext cx="12" cy="12"/>
          </a:xfrm>
          <a:prstGeom prst="ellipse">
            <a:avLst/>
          </a:prstGeom>
          <a:solidFill>
            <a:srgbClr val="C0C0C0"/>
          </a:solidFill>
          <a:ln w="9525">
            <a:solidFill>
              <a:srgbClr val="000000"/>
            </a:solidFill>
            <a:prstDash val="sysDot"/>
            <a:round/>
            <a:headEnd/>
            <a:tailEnd/>
          </a:ln>
        </xdr:spPr>
      </xdr:sp>
    </xdr:grpSp>
    <xdr:clientData/>
  </xdr:twoCellAnchor>
  <xdr:twoCellAnchor>
    <xdr:from>
      <xdr:col>12</xdr:col>
      <xdr:colOff>533400</xdr:colOff>
      <xdr:row>43</xdr:row>
      <xdr:rowOff>0</xdr:rowOff>
    </xdr:from>
    <xdr:to>
      <xdr:col>13</xdr:col>
      <xdr:colOff>190500</xdr:colOff>
      <xdr:row>44</xdr:row>
      <xdr:rowOff>104775</xdr:rowOff>
    </xdr:to>
    <xdr:sp macro="" textlink="">
      <xdr:nvSpPr>
        <xdr:cNvPr id="12354" name="Oval 1204"/>
        <xdr:cNvSpPr>
          <a:spLocks noChangeArrowheads="1"/>
        </xdr:cNvSpPr>
      </xdr:nvSpPr>
      <xdr:spPr bwMode="auto">
        <a:xfrm>
          <a:off x="7848600" y="7286625"/>
          <a:ext cx="266700" cy="266700"/>
        </a:xfrm>
        <a:prstGeom prst="ellipse">
          <a:avLst/>
        </a:prstGeom>
        <a:solidFill>
          <a:srgbClr val="C0C0C0"/>
        </a:solidFill>
        <a:ln w="9525">
          <a:solidFill>
            <a:srgbClr val="000000"/>
          </a:solidFill>
          <a:prstDash val="sysDot"/>
          <a:round/>
          <a:headEnd/>
          <a:tailEnd/>
        </a:ln>
      </xdr:spPr>
    </xdr:sp>
    <xdr:clientData/>
  </xdr:twoCellAnchor>
  <xdr:twoCellAnchor>
    <xdr:from>
      <xdr:col>13</xdr:col>
      <xdr:colOff>228600</xdr:colOff>
      <xdr:row>43</xdr:row>
      <xdr:rowOff>0</xdr:rowOff>
    </xdr:from>
    <xdr:to>
      <xdr:col>13</xdr:col>
      <xdr:colOff>495300</xdr:colOff>
      <xdr:row>44</xdr:row>
      <xdr:rowOff>104775</xdr:rowOff>
    </xdr:to>
    <xdr:sp macro="" textlink="">
      <xdr:nvSpPr>
        <xdr:cNvPr id="12355" name="Oval 1205"/>
        <xdr:cNvSpPr>
          <a:spLocks noChangeArrowheads="1"/>
        </xdr:cNvSpPr>
      </xdr:nvSpPr>
      <xdr:spPr bwMode="auto">
        <a:xfrm>
          <a:off x="8153400" y="7286625"/>
          <a:ext cx="266700" cy="266700"/>
        </a:xfrm>
        <a:prstGeom prst="ellipse">
          <a:avLst/>
        </a:prstGeom>
        <a:solidFill>
          <a:srgbClr val="C0C0C0"/>
        </a:solidFill>
        <a:ln w="9525">
          <a:solidFill>
            <a:srgbClr val="000000"/>
          </a:solidFill>
          <a:prstDash val="sysDot"/>
          <a:round/>
          <a:headEnd/>
          <a:tailEnd/>
        </a:ln>
      </xdr:spPr>
    </xdr:sp>
    <xdr:clientData/>
  </xdr:twoCellAnchor>
  <xdr:twoCellAnchor>
    <xdr:from>
      <xdr:col>13</xdr:col>
      <xdr:colOff>57150</xdr:colOff>
      <xdr:row>43</xdr:row>
      <xdr:rowOff>0</xdr:rowOff>
    </xdr:from>
    <xdr:to>
      <xdr:col>13</xdr:col>
      <xdr:colOff>361950</xdr:colOff>
      <xdr:row>44</xdr:row>
      <xdr:rowOff>104775</xdr:rowOff>
    </xdr:to>
    <xdr:sp macro="" textlink="">
      <xdr:nvSpPr>
        <xdr:cNvPr id="12356" name="Rectangle 1206"/>
        <xdr:cNvSpPr>
          <a:spLocks noChangeArrowheads="1"/>
        </xdr:cNvSpPr>
      </xdr:nvSpPr>
      <xdr:spPr bwMode="auto">
        <a:xfrm>
          <a:off x="7981950" y="7286625"/>
          <a:ext cx="304800" cy="266700"/>
        </a:xfrm>
        <a:prstGeom prst="rect">
          <a:avLst/>
        </a:prstGeom>
        <a:solidFill>
          <a:srgbClr val="C0C0C0"/>
        </a:solidFill>
        <a:ln w="9525">
          <a:noFill/>
          <a:miter lim="800000"/>
          <a:headEnd/>
          <a:tailEnd/>
        </a:ln>
      </xdr:spPr>
    </xdr:sp>
    <xdr:clientData/>
  </xdr:twoCellAnchor>
  <xdr:twoCellAnchor>
    <xdr:from>
      <xdr:col>13</xdr:col>
      <xdr:colOff>57150</xdr:colOff>
      <xdr:row>43</xdr:row>
      <xdr:rowOff>0</xdr:rowOff>
    </xdr:from>
    <xdr:to>
      <xdr:col>13</xdr:col>
      <xdr:colOff>361950</xdr:colOff>
      <xdr:row>43</xdr:row>
      <xdr:rowOff>0</xdr:rowOff>
    </xdr:to>
    <xdr:sp macro="" textlink="">
      <xdr:nvSpPr>
        <xdr:cNvPr id="12357" name="Line 1207"/>
        <xdr:cNvSpPr>
          <a:spLocks noChangeShapeType="1"/>
        </xdr:cNvSpPr>
      </xdr:nvSpPr>
      <xdr:spPr bwMode="auto">
        <a:xfrm>
          <a:off x="7981950" y="7286625"/>
          <a:ext cx="304800" cy="0"/>
        </a:xfrm>
        <a:prstGeom prst="line">
          <a:avLst/>
        </a:prstGeom>
        <a:noFill/>
        <a:ln w="9525">
          <a:solidFill>
            <a:srgbClr val="000000"/>
          </a:solidFill>
          <a:prstDash val="sysDot"/>
          <a:round/>
          <a:headEnd/>
          <a:tailEnd/>
        </a:ln>
      </xdr:spPr>
    </xdr:sp>
    <xdr:clientData/>
  </xdr:twoCellAnchor>
  <xdr:twoCellAnchor>
    <xdr:from>
      <xdr:col>13</xdr:col>
      <xdr:colOff>47625</xdr:colOff>
      <xdr:row>44</xdr:row>
      <xdr:rowOff>104775</xdr:rowOff>
    </xdr:from>
    <xdr:to>
      <xdr:col>13</xdr:col>
      <xdr:colOff>352425</xdr:colOff>
      <xdr:row>44</xdr:row>
      <xdr:rowOff>104775</xdr:rowOff>
    </xdr:to>
    <xdr:sp macro="" textlink="">
      <xdr:nvSpPr>
        <xdr:cNvPr id="12358" name="Line 1208"/>
        <xdr:cNvSpPr>
          <a:spLocks noChangeShapeType="1"/>
        </xdr:cNvSpPr>
      </xdr:nvSpPr>
      <xdr:spPr bwMode="auto">
        <a:xfrm>
          <a:off x="7972425" y="7553325"/>
          <a:ext cx="304800" cy="0"/>
        </a:xfrm>
        <a:prstGeom prst="line">
          <a:avLst/>
        </a:prstGeom>
        <a:noFill/>
        <a:ln w="9525">
          <a:solidFill>
            <a:srgbClr val="000000"/>
          </a:solidFill>
          <a:prstDash val="sysDot"/>
          <a:round/>
          <a:headEnd/>
          <a:tailEnd/>
        </a:ln>
      </xdr:spPr>
    </xdr:sp>
    <xdr:clientData/>
  </xdr:twoCellAnchor>
  <xdr:twoCellAnchor>
    <xdr:from>
      <xdr:col>12</xdr:col>
      <xdr:colOff>561975</xdr:colOff>
      <xdr:row>43</xdr:row>
      <xdr:rowOff>47625</xdr:rowOff>
    </xdr:from>
    <xdr:to>
      <xdr:col>13</xdr:col>
      <xdr:colOff>161925</xdr:colOff>
      <xdr:row>44</xdr:row>
      <xdr:rowOff>57150</xdr:rowOff>
    </xdr:to>
    <xdr:sp macro="" textlink="">
      <xdr:nvSpPr>
        <xdr:cNvPr id="12359" name="AutoShape 1209"/>
        <xdr:cNvSpPr>
          <a:spLocks noChangeArrowheads="1"/>
        </xdr:cNvSpPr>
      </xdr:nvSpPr>
      <xdr:spPr bwMode="auto">
        <a:xfrm>
          <a:off x="7877175" y="7334250"/>
          <a:ext cx="209550" cy="171450"/>
        </a:xfrm>
        <a:prstGeom prst="hexagon">
          <a:avLst>
            <a:gd name="adj" fmla="val 30556"/>
            <a:gd name="vf" fmla="val 115470"/>
          </a:avLst>
        </a:prstGeom>
        <a:solidFill>
          <a:srgbClr val="C0C0C0"/>
        </a:solidFill>
        <a:ln w="9525">
          <a:solidFill>
            <a:srgbClr val="000000"/>
          </a:solidFill>
          <a:prstDash val="sysDot"/>
          <a:miter lim="800000"/>
          <a:headEnd/>
          <a:tailEnd/>
        </a:ln>
      </xdr:spPr>
    </xdr:sp>
    <xdr:clientData/>
  </xdr:twoCellAnchor>
  <xdr:twoCellAnchor>
    <xdr:from>
      <xdr:col>13</xdr:col>
      <xdr:colOff>0</xdr:colOff>
      <xdr:row>43</xdr:row>
      <xdr:rowOff>76200</xdr:rowOff>
    </xdr:from>
    <xdr:to>
      <xdr:col>13</xdr:col>
      <xdr:colOff>114300</xdr:colOff>
      <xdr:row>44</xdr:row>
      <xdr:rowOff>28575</xdr:rowOff>
    </xdr:to>
    <xdr:sp macro="" textlink="">
      <xdr:nvSpPr>
        <xdr:cNvPr id="12360" name="Oval 1210"/>
        <xdr:cNvSpPr>
          <a:spLocks noChangeArrowheads="1"/>
        </xdr:cNvSpPr>
      </xdr:nvSpPr>
      <xdr:spPr bwMode="auto">
        <a:xfrm>
          <a:off x="7924800" y="7362825"/>
          <a:ext cx="114300" cy="114300"/>
        </a:xfrm>
        <a:prstGeom prst="ellipse">
          <a:avLst/>
        </a:prstGeom>
        <a:solidFill>
          <a:srgbClr val="C0C0C0"/>
        </a:solidFill>
        <a:ln w="9525">
          <a:solidFill>
            <a:srgbClr val="000000"/>
          </a:solidFill>
          <a:prstDash val="sysDot"/>
          <a:round/>
          <a:headEnd/>
          <a:tailEnd/>
        </a:ln>
      </xdr:spPr>
    </xdr:sp>
    <xdr:clientData/>
  </xdr:twoCellAnchor>
  <xdr:twoCellAnchor>
    <xdr:from>
      <xdr:col>13</xdr:col>
      <xdr:colOff>257175</xdr:colOff>
      <xdr:row>43</xdr:row>
      <xdr:rowOff>47625</xdr:rowOff>
    </xdr:from>
    <xdr:to>
      <xdr:col>13</xdr:col>
      <xdr:colOff>466725</xdr:colOff>
      <xdr:row>44</xdr:row>
      <xdr:rowOff>57150</xdr:rowOff>
    </xdr:to>
    <xdr:sp macro="" textlink="">
      <xdr:nvSpPr>
        <xdr:cNvPr id="12361" name="AutoShape 1211"/>
        <xdr:cNvSpPr>
          <a:spLocks noChangeArrowheads="1"/>
        </xdr:cNvSpPr>
      </xdr:nvSpPr>
      <xdr:spPr bwMode="auto">
        <a:xfrm>
          <a:off x="8181975" y="7334250"/>
          <a:ext cx="209550" cy="171450"/>
        </a:xfrm>
        <a:prstGeom prst="hexagon">
          <a:avLst>
            <a:gd name="adj" fmla="val 30556"/>
            <a:gd name="vf" fmla="val 115470"/>
          </a:avLst>
        </a:prstGeom>
        <a:solidFill>
          <a:srgbClr val="C0C0C0"/>
        </a:solidFill>
        <a:ln w="9525">
          <a:solidFill>
            <a:srgbClr val="000000"/>
          </a:solidFill>
          <a:prstDash val="sysDot"/>
          <a:miter lim="800000"/>
          <a:headEnd/>
          <a:tailEnd/>
        </a:ln>
      </xdr:spPr>
    </xdr:sp>
    <xdr:clientData/>
  </xdr:twoCellAnchor>
  <xdr:twoCellAnchor>
    <xdr:from>
      <xdr:col>13</xdr:col>
      <xdr:colOff>304800</xdr:colOff>
      <xdr:row>43</xdr:row>
      <xdr:rowOff>76200</xdr:rowOff>
    </xdr:from>
    <xdr:to>
      <xdr:col>13</xdr:col>
      <xdr:colOff>419100</xdr:colOff>
      <xdr:row>44</xdr:row>
      <xdr:rowOff>28575</xdr:rowOff>
    </xdr:to>
    <xdr:sp macro="" textlink="">
      <xdr:nvSpPr>
        <xdr:cNvPr id="12362" name="Oval 1212"/>
        <xdr:cNvSpPr>
          <a:spLocks noChangeArrowheads="1"/>
        </xdr:cNvSpPr>
      </xdr:nvSpPr>
      <xdr:spPr bwMode="auto">
        <a:xfrm>
          <a:off x="8229600" y="7362825"/>
          <a:ext cx="114300" cy="114300"/>
        </a:xfrm>
        <a:prstGeom prst="ellipse">
          <a:avLst/>
        </a:prstGeom>
        <a:solidFill>
          <a:srgbClr val="C0C0C0"/>
        </a:solidFill>
        <a:ln w="9525">
          <a:solidFill>
            <a:srgbClr val="000000"/>
          </a:solidFill>
          <a:prstDash val="sysDot"/>
          <a:round/>
          <a:headEnd/>
          <a:tailEnd/>
        </a:ln>
      </xdr:spPr>
    </xdr:sp>
    <xdr:clientData/>
  </xdr:twoCellAnchor>
  <xdr:twoCellAnchor>
    <xdr:from>
      <xdr:col>14</xdr:col>
      <xdr:colOff>542925</xdr:colOff>
      <xdr:row>43</xdr:row>
      <xdr:rowOff>0</xdr:rowOff>
    </xdr:from>
    <xdr:to>
      <xdr:col>15</xdr:col>
      <xdr:colOff>200025</xdr:colOff>
      <xdr:row>44</xdr:row>
      <xdr:rowOff>104775</xdr:rowOff>
    </xdr:to>
    <xdr:sp macro="" textlink="">
      <xdr:nvSpPr>
        <xdr:cNvPr id="12363" name="Oval 1213"/>
        <xdr:cNvSpPr>
          <a:spLocks noChangeArrowheads="1"/>
        </xdr:cNvSpPr>
      </xdr:nvSpPr>
      <xdr:spPr bwMode="auto">
        <a:xfrm rot="-5400000">
          <a:off x="9077325" y="7286625"/>
          <a:ext cx="266700" cy="266700"/>
        </a:xfrm>
        <a:prstGeom prst="ellipse">
          <a:avLst/>
        </a:prstGeom>
        <a:solidFill>
          <a:srgbClr val="FF9933"/>
        </a:solidFill>
        <a:ln w="9525">
          <a:solidFill>
            <a:srgbClr val="000000"/>
          </a:solidFill>
          <a:prstDash val="sysDot"/>
          <a:round/>
          <a:headEnd/>
          <a:tailEnd/>
        </a:ln>
      </xdr:spPr>
    </xdr:sp>
    <xdr:clientData/>
  </xdr:twoCellAnchor>
  <xdr:twoCellAnchor>
    <xdr:from>
      <xdr:col>14</xdr:col>
      <xdr:colOff>542925</xdr:colOff>
      <xdr:row>40</xdr:row>
      <xdr:rowOff>9525</xdr:rowOff>
    </xdr:from>
    <xdr:to>
      <xdr:col>15</xdr:col>
      <xdr:colOff>200025</xdr:colOff>
      <xdr:row>41</xdr:row>
      <xdr:rowOff>114300</xdr:rowOff>
    </xdr:to>
    <xdr:sp macro="" textlink="">
      <xdr:nvSpPr>
        <xdr:cNvPr id="12364" name="Oval 1214"/>
        <xdr:cNvSpPr>
          <a:spLocks noChangeArrowheads="1"/>
        </xdr:cNvSpPr>
      </xdr:nvSpPr>
      <xdr:spPr bwMode="auto">
        <a:xfrm rot="-5400000">
          <a:off x="9077325" y="6810375"/>
          <a:ext cx="266700" cy="266700"/>
        </a:xfrm>
        <a:prstGeom prst="ellipse">
          <a:avLst/>
        </a:prstGeom>
        <a:solidFill>
          <a:srgbClr val="FF9933"/>
        </a:solidFill>
        <a:ln w="9525">
          <a:solidFill>
            <a:srgbClr val="000000"/>
          </a:solidFill>
          <a:round/>
          <a:headEnd/>
          <a:tailEnd/>
        </a:ln>
      </xdr:spPr>
    </xdr:sp>
    <xdr:clientData/>
  </xdr:twoCellAnchor>
  <xdr:twoCellAnchor>
    <xdr:from>
      <xdr:col>14</xdr:col>
      <xdr:colOff>542925</xdr:colOff>
      <xdr:row>40</xdr:row>
      <xdr:rowOff>152400</xdr:rowOff>
    </xdr:from>
    <xdr:to>
      <xdr:col>15</xdr:col>
      <xdr:colOff>200025</xdr:colOff>
      <xdr:row>42</xdr:row>
      <xdr:rowOff>133350</xdr:rowOff>
    </xdr:to>
    <xdr:sp macro="" textlink="">
      <xdr:nvSpPr>
        <xdr:cNvPr id="12365" name="Rectangle 1215"/>
        <xdr:cNvSpPr>
          <a:spLocks noChangeArrowheads="1"/>
        </xdr:cNvSpPr>
      </xdr:nvSpPr>
      <xdr:spPr bwMode="auto">
        <a:xfrm rot="-5400000">
          <a:off x="9058275" y="6972300"/>
          <a:ext cx="304800" cy="266700"/>
        </a:xfrm>
        <a:prstGeom prst="rect">
          <a:avLst/>
        </a:prstGeom>
        <a:solidFill>
          <a:srgbClr val="FF9933"/>
        </a:solidFill>
        <a:ln w="9525">
          <a:noFill/>
          <a:miter lim="800000"/>
          <a:headEnd/>
          <a:tailEnd/>
        </a:ln>
      </xdr:spPr>
    </xdr:sp>
    <xdr:clientData/>
  </xdr:twoCellAnchor>
  <xdr:twoCellAnchor>
    <xdr:from>
      <xdr:col>14</xdr:col>
      <xdr:colOff>542925</xdr:colOff>
      <xdr:row>42</xdr:row>
      <xdr:rowOff>95250</xdr:rowOff>
    </xdr:from>
    <xdr:to>
      <xdr:col>14</xdr:col>
      <xdr:colOff>542925</xdr:colOff>
      <xdr:row>43</xdr:row>
      <xdr:rowOff>114300</xdr:rowOff>
    </xdr:to>
    <xdr:sp macro="" textlink="">
      <xdr:nvSpPr>
        <xdr:cNvPr id="12366" name="Line 1216"/>
        <xdr:cNvSpPr>
          <a:spLocks noChangeShapeType="1"/>
        </xdr:cNvSpPr>
      </xdr:nvSpPr>
      <xdr:spPr bwMode="auto">
        <a:xfrm rot="-5400000">
          <a:off x="8986837" y="7310438"/>
          <a:ext cx="180975" cy="0"/>
        </a:xfrm>
        <a:prstGeom prst="line">
          <a:avLst/>
        </a:prstGeom>
        <a:noFill/>
        <a:ln w="9525">
          <a:solidFill>
            <a:srgbClr val="000000"/>
          </a:solidFill>
          <a:prstDash val="sysDot"/>
          <a:round/>
          <a:headEnd/>
          <a:tailEnd/>
        </a:ln>
      </xdr:spPr>
    </xdr:sp>
    <xdr:clientData/>
  </xdr:twoCellAnchor>
  <xdr:twoCellAnchor>
    <xdr:from>
      <xdr:col>14</xdr:col>
      <xdr:colOff>571500</xdr:colOff>
      <xdr:row>40</xdr:row>
      <xdr:rowOff>85725</xdr:rowOff>
    </xdr:from>
    <xdr:to>
      <xdr:col>15</xdr:col>
      <xdr:colOff>171450</xdr:colOff>
      <xdr:row>41</xdr:row>
      <xdr:rowOff>95250</xdr:rowOff>
    </xdr:to>
    <xdr:sp macro="" textlink="">
      <xdr:nvSpPr>
        <xdr:cNvPr id="12367" name="AutoShape 1217"/>
        <xdr:cNvSpPr>
          <a:spLocks noChangeArrowheads="1"/>
        </xdr:cNvSpPr>
      </xdr:nvSpPr>
      <xdr:spPr bwMode="auto">
        <a:xfrm>
          <a:off x="9105900" y="6886575"/>
          <a:ext cx="209550" cy="171450"/>
        </a:xfrm>
        <a:prstGeom prst="hexagon">
          <a:avLst>
            <a:gd name="adj" fmla="val 30556"/>
            <a:gd name="vf" fmla="val 115470"/>
          </a:avLst>
        </a:prstGeom>
        <a:solidFill>
          <a:srgbClr val="FFCC00"/>
        </a:solidFill>
        <a:ln w="9525">
          <a:solidFill>
            <a:srgbClr val="000000"/>
          </a:solidFill>
          <a:miter lim="800000"/>
          <a:headEnd/>
          <a:tailEnd/>
        </a:ln>
      </xdr:spPr>
    </xdr:sp>
    <xdr:clientData/>
  </xdr:twoCellAnchor>
  <xdr:twoCellAnchor>
    <xdr:from>
      <xdr:col>15</xdr:col>
      <xdr:colOff>9525</xdr:colOff>
      <xdr:row>40</xdr:row>
      <xdr:rowOff>114300</xdr:rowOff>
    </xdr:from>
    <xdr:to>
      <xdr:col>15</xdr:col>
      <xdr:colOff>123825</xdr:colOff>
      <xdr:row>41</xdr:row>
      <xdr:rowOff>66675</xdr:rowOff>
    </xdr:to>
    <xdr:sp macro="" textlink="">
      <xdr:nvSpPr>
        <xdr:cNvPr id="12368" name="Oval 1218"/>
        <xdr:cNvSpPr>
          <a:spLocks noChangeArrowheads="1"/>
        </xdr:cNvSpPr>
      </xdr:nvSpPr>
      <xdr:spPr bwMode="auto">
        <a:xfrm>
          <a:off x="9153525" y="6915150"/>
          <a:ext cx="114300" cy="114300"/>
        </a:xfrm>
        <a:prstGeom prst="ellipse">
          <a:avLst/>
        </a:prstGeom>
        <a:solidFill>
          <a:srgbClr val="FF9933"/>
        </a:solidFill>
        <a:ln w="9525">
          <a:solidFill>
            <a:srgbClr val="000000"/>
          </a:solidFill>
          <a:round/>
          <a:headEnd/>
          <a:tailEnd/>
        </a:ln>
      </xdr:spPr>
    </xdr:sp>
    <xdr:clientData/>
  </xdr:twoCellAnchor>
  <xdr:twoCellAnchor>
    <xdr:from>
      <xdr:col>14</xdr:col>
      <xdr:colOff>542925</xdr:colOff>
      <xdr:row>43</xdr:row>
      <xdr:rowOff>0</xdr:rowOff>
    </xdr:from>
    <xdr:to>
      <xdr:col>15</xdr:col>
      <xdr:colOff>200025</xdr:colOff>
      <xdr:row>44</xdr:row>
      <xdr:rowOff>104775</xdr:rowOff>
    </xdr:to>
    <xdr:sp macro="" textlink="">
      <xdr:nvSpPr>
        <xdr:cNvPr id="12369" name="Oval 1219"/>
        <xdr:cNvSpPr>
          <a:spLocks noChangeArrowheads="1"/>
        </xdr:cNvSpPr>
      </xdr:nvSpPr>
      <xdr:spPr bwMode="auto">
        <a:xfrm>
          <a:off x="9077325" y="7286625"/>
          <a:ext cx="266700" cy="266700"/>
        </a:xfrm>
        <a:prstGeom prst="ellipse">
          <a:avLst/>
        </a:prstGeom>
        <a:solidFill>
          <a:srgbClr val="C0C0C0"/>
        </a:solidFill>
        <a:ln w="9525">
          <a:solidFill>
            <a:srgbClr val="000000"/>
          </a:solidFill>
          <a:prstDash val="sysDot"/>
          <a:round/>
          <a:headEnd/>
          <a:tailEnd/>
        </a:ln>
      </xdr:spPr>
    </xdr:sp>
    <xdr:clientData/>
  </xdr:twoCellAnchor>
  <xdr:twoCellAnchor>
    <xdr:from>
      <xdr:col>14</xdr:col>
      <xdr:colOff>542925</xdr:colOff>
      <xdr:row>42</xdr:row>
      <xdr:rowOff>95250</xdr:rowOff>
    </xdr:from>
    <xdr:to>
      <xdr:col>15</xdr:col>
      <xdr:colOff>200025</xdr:colOff>
      <xdr:row>43</xdr:row>
      <xdr:rowOff>123825</xdr:rowOff>
    </xdr:to>
    <xdr:sp macro="" textlink="">
      <xdr:nvSpPr>
        <xdr:cNvPr id="12370" name="Rectangle 1220"/>
        <xdr:cNvSpPr>
          <a:spLocks noChangeArrowheads="1"/>
        </xdr:cNvSpPr>
      </xdr:nvSpPr>
      <xdr:spPr bwMode="auto">
        <a:xfrm rot="-5400000">
          <a:off x="9115425" y="7181850"/>
          <a:ext cx="190500" cy="266700"/>
        </a:xfrm>
        <a:prstGeom prst="rect">
          <a:avLst/>
        </a:prstGeom>
        <a:solidFill>
          <a:srgbClr val="C0C0C0"/>
        </a:solidFill>
        <a:ln w="9525">
          <a:noFill/>
          <a:miter lim="800000"/>
          <a:headEnd/>
          <a:tailEnd/>
        </a:ln>
      </xdr:spPr>
    </xdr:sp>
    <xdr:clientData/>
  </xdr:twoCellAnchor>
  <xdr:twoCellAnchor>
    <xdr:from>
      <xdr:col>14</xdr:col>
      <xdr:colOff>571500</xdr:colOff>
      <xdr:row>43</xdr:row>
      <xdr:rowOff>47625</xdr:rowOff>
    </xdr:from>
    <xdr:to>
      <xdr:col>15</xdr:col>
      <xdr:colOff>171450</xdr:colOff>
      <xdr:row>44</xdr:row>
      <xdr:rowOff>57150</xdr:rowOff>
    </xdr:to>
    <xdr:sp macro="" textlink="">
      <xdr:nvSpPr>
        <xdr:cNvPr id="12371" name="AutoShape 1221"/>
        <xdr:cNvSpPr>
          <a:spLocks noChangeArrowheads="1"/>
        </xdr:cNvSpPr>
      </xdr:nvSpPr>
      <xdr:spPr bwMode="auto">
        <a:xfrm>
          <a:off x="9105900" y="7334250"/>
          <a:ext cx="209550" cy="171450"/>
        </a:xfrm>
        <a:prstGeom prst="hexagon">
          <a:avLst>
            <a:gd name="adj" fmla="val 30556"/>
            <a:gd name="vf" fmla="val 115470"/>
          </a:avLst>
        </a:prstGeom>
        <a:solidFill>
          <a:srgbClr val="C0C0C0"/>
        </a:solidFill>
        <a:ln w="9525">
          <a:solidFill>
            <a:srgbClr val="000000"/>
          </a:solidFill>
          <a:prstDash val="sysDot"/>
          <a:miter lim="800000"/>
          <a:headEnd/>
          <a:tailEnd/>
        </a:ln>
      </xdr:spPr>
    </xdr:sp>
    <xdr:clientData/>
  </xdr:twoCellAnchor>
  <xdr:twoCellAnchor>
    <xdr:from>
      <xdr:col>15</xdr:col>
      <xdr:colOff>9525</xdr:colOff>
      <xdr:row>43</xdr:row>
      <xdr:rowOff>76200</xdr:rowOff>
    </xdr:from>
    <xdr:to>
      <xdr:col>15</xdr:col>
      <xdr:colOff>123825</xdr:colOff>
      <xdr:row>44</xdr:row>
      <xdr:rowOff>28575</xdr:rowOff>
    </xdr:to>
    <xdr:sp macro="" textlink="">
      <xdr:nvSpPr>
        <xdr:cNvPr id="12372" name="Oval 1222"/>
        <xdr:cNvSpPr>
          <a:spLocks noChangeArrowheads="1"/>
        </xdr:cNvSpPr>
      </xdr:nvSpPr>
      <xdr:spPr bwMode="auto">
        <a:xfrm>
          <a:off x="9153525" y="7362825"/>
          <a:ext cx="114300" cy="114300"/>
        </a:xfrm>
        <a:prstGeom prst="ellipse">
          <a:avLst/>
        </a:prstGeom>
        <a:solidFill>
          <a:srgbClr val="C0C0C0"/>
        </a:solidFill>
        <a:ln w="9525">
          <a:solidFill>
            <a:srgbClr val="000000"/>
          </a:solidFill>
          <a:prstDash val="sysDot"/>
          <a:round/>
          <a:headEnd/>
          <a:tailEnd/>
        </a:ln>
      </xdr:spPr>
    </xdr:sp>
    <xdr:clientData/>
  </xdr:twoCellAnchor>
  <xdr:twoCellAnchor>
    <xdr:from>
      <xdr:col>14</xdr:col>
      <xdr:colOff>542925</xdr:colOff>
      <xdr:row>42</xdr:row>
      <xdr:rowOff>95250</xdr:rowOff>
    </xdr:from>
    <xdr:to>
      <xdr:col>15</xdr:col>
      <xdr:colOff>200025</xdr:colOff>
      <xdr:row>42</xdr:row>
      <xdr:rowOff>95250</xdr:rowOff>
    </xdr:to>
    <xdr:sp macro="" textlink="">
      <xdr:nvSpPr>
        <xdr:cNvPr id="12373" name="Line 1223"/>
        <xdr:cNvSpPr>
          <a:spLocks noChangeShapeType="1"/>
        </xdr:cNvSpPr>
      </xdr:nvSpPr>
      <xdr:spPr bwMode="auto">
        <a:xfrm>
          <a:off x="9077325" y="7219950"/>
          <a:ext cx="266700" cy="0"/>
        </a:xfrm>
        <a:prstGeom prst="line">
          <a:avLst/>
        </a:prstGeom>
        <a:noFill/>
        <a:ln w="9525">
          <a:solidFill>
            <a:srgbClr val="000000"/>
          </a:solidFill>
          <a:round/>
          <a:headEnd/>
          <a:tailEnd/>
        </a:ln>
      </xdr:spPr>
    </xdr:sp>
    <xdr:clientData/>
  </xdr:twoCellAnchor>
  <xdr:twoCellAnchor>
    <xdr:from>
      <xdr:col>14</xdr:col>
      <xdr:colOff>542925</xdr:colOff>
      <xdr:row>42</xdr:row>
      <xdr:rowOff>104775</xdr:rowOff>
    </xdr:from>
    <xdr:to>
      <xdr:col>14</xdr:col>
      <xdr:colOff>542925</xdr:colOff>
      <xdr:row>43</xdr:row>
      <xdr:rowOff>133350</xdr:rowOff>
    </xdr:to>
    <xdr:sp macro="" textlink="">
      <xdr:nvSpPr>
        <xdr:cNvPr id="12374" name="Line 1224"/>
        <xdr:cNvSpPr>
          <a:spLocks noChangeShapeType="1"/>
        </xdr:cNvSpPr>
      </xdr:nvSpPr>
      <xdr:spPr bwMode="auto">
        <a:xfrm>
          <a:off x="9077325" y="7229475"/>
          <a:ext cx="0" cy="190500"/>
        </a:xfrm>
        <a:prstGeom prst="line">
          <a:avLst/>
        </a:prstGeom>
        <a:noFill/>
        <a:ln w="9525" cap="rnd">
          <a:solidFill>
            <a:srgbClr val="000000"/>
          </a:solidFill>
          <a:prstDash val="sysDot"/>
          <a:round/>
          <a:headEnd/>
          <a:tailEnd/>
        </a:ln>
      </xdr:spPr>
    </xdr:sp>
    <xdr:clientData/>
  </xdr:twoCellAnchor>
  <xdr:twoCellAnchor>
    <xdr:from>
      <xdr:col>15</xdr:col>
      <xdr:colOff>200025</xdr:colOff>
      <xdr:row>40</xdr:row>
      <xdr:rowOff>152400</xdr:rowOff>
    </xdr:from>
    <xdr:to>
      <xdr:col>15</xdr:col>
      <xdr:colOff>200025</xdr:colOff>
      <xdr:row>42</xdr:row>
      <xdr:rowOff>85725</xdr:rowOff>
    </xdr:to>
    <xdr:sp macro="" textlink="">
      <xdr:nvSpPr>
        <xdr:cNvPr id="12375" name="Line 1225"/>
        <xdr:cNvSpPr>
          <a:spLocks noChangeShapeType="1"/>
        </xdr:cNvSpPr>
      </xdr:nvSpPr>
      <xdr:spPr bwMode="auto">
        <a:xfrm>
          <a:off x="9344025" y="6953250"/>
          <a:ext cx="0" cy="257175"/>
        </a:xfrm>
        <a:prstGeom prst="line">
          <a:avLst/>
        </a:prstGeom>
        <a:noFill/>
        <a:ln w="9525">
          <a:solidFill>
            <a:srgbClr val="000000"/>
          </a:solidFill>
          <a:round/>
          <a:headEnd/>
          <a:tailEnd/>
        </a:ln>
      </xdr:spPr>
    </xdr:sp>
    <xdr:clientData/>
  </xdr:twoCellAnchor>
  <xdr:twoCellAnchor>
    <xdr:from>
      <xdr:col>9</xdr:col>
      <xdr:colOff>238125</xdr:colOff>
      <xdr:row>46</xdr:row>
      <xdr:rowOff>95250</xdr:rowOff>
    </xdr:from>
    <xdr:to>
      <xdr:col>10</xdr:col>
      <xdr:colOff>19050</xdr:colOff>
      <xdr:row>48</xdr:row>
      <xdr:rowOff>57150</xdr:rowOff>
    </xdr:to>
    <xdr:grpSp>
      <xdr:nvGrpSpPr>
        <xdr:cNvPr id="12376" name="Group 1226"/>
        <xdr:cNvGrpSpPr>
          <a:grpSpLocks/>
        </xdr:cNvGrpSpPr>
      </xdr:nvGrpSpPr>
      <xdr:grpSpPr bwMode="auto">
        <a:xfrm>
          <a:off x="5724525" y="7867650"/>
          <a:ext cx="390525" cy="285750"/>
          <a:chOff x="595" y="629"/>
          <a:chExt cx="59" cy="30"/>
        </a:xfrm>
      </xdr:grpSpPr>
      <xdr:sp macro="" textlink="">
        <xdr:nvSpPr>
          <xdr:cNvPr id="12691" name="Rectangle 1227" descr="Wide downward diagonal"/>
          <xdr:cNvSpPr>
            <a:spLocks noChangeArrowheads="1"/>
          </xdr:cNvSpPr>
        </xdr:nvSpPr>
        <xdr:spPr bwMode="auto">
          <a:xfrm>
            <a:off x="595" y="629"/>
            <a:ext cx="59" cy="30"/>
          </a:xfrm>
          <a:prstGeom prst="rect">
            <a:avLst/>
          </a:prstGeom>
          <a:pattFill prst="wdDnDiag">
            <a:fgClr>
              <a:srgbClr val="000000"/>
            </a:fgClr>
            <a:bgClr>
              <a:srgbClr val="FFFFFF"/>
            </a:bgClr>
          </a:pattFill>
          <a:ln w="9525">
            <a:solidFill>
              <a:srgbClr val="000000"/>
            </a:solidFill>
            <a:miter lim="800000"/>
            <a:headEnd/>
            <a:tailEnd/>
          </a:ln>
        </xdr:spPr>
      </xdr:sp>
      <xdr:sp macro="" textlink="">
        <xdr:nvSpPr>
          <xdr:cNvPr id="12692" name="Rectangle 1228"/>
          <xdr:cNvSpPr>
            <a:spLocks noChangeArrowheads="1"/>
          </xdr:cNvSpPr>
        </xdr:nvSpPr>
        <xdr:spPr bwMode="auto">
          <a:xfrm>
            <a:off x="598" y="629"/>
            <a:ext cx="53" cy="30"/>
          </a:xfrm>
          <a:prstGeom prst="rect">
            <a:avLst/>
          </a:prstGeom>
          <a:solidFill>
            <a:srgbClr val="FFFFFF"/>
          </a:solidFill>
          <a:ln w="9525">
            <a:solidFill>
              <a:srgbClr val="000000"/>
            </a:solidFill>
            <a:miter lim="800000"/>
            <a:headEnd/>
            <a:tailEnd/>
          </a:ln>
        </xdr:spPr>
      </xdr:sp>
    </xdr:grpSp>
    <xdr:clientData/>
  </xdr:twoCellAnchor>
  <xdr:twoCellAnchor>
    <xdr:from>
      <xdr:col>9</xdr:col>
      <xdr:colOff>390525</xdr:colOff>
      <xdr:row>38</xdr:row>
      <xdr:rowOff>19050</xdr:rowOff>
    </xdr:from>
    <xdr:to>
      <xdr:col>9</xdr:col>
      <xdr:colOff>533400</xdr:colOff>
      <xdr:row>38</xdr:row>
      <xdr:rowOff>152400</xdr:rowOff>
    </xdr:to>
    <xdr:sp macro="" textlink="">
      <xdr:nvSpPr>
        <xdr:cNvPr id="12377" name="AutoShape 1229"/>
        <xdr:cNvSpPr>
          <a:spLocks noChangeArrowheads="1"/>
        </xdr:cNvSpPr>
      </xdr:nvSpPr>
      <xdr:spPr bwMode="auto">
        <a:xfrm rot="5514549" flipH="1" flipV="1">
          <a:off x="5881688" y="6491287"/>
          <a:ext cx="133350" cy="14287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33CCCC"/>
        </a:solidFill>
        <a:ln w="9525">
          <a:solidFill>
            <a:srgbClr val="000000"/>
          </a:solidFill>
          <a:miter lim="800000"/>
          <a:headEnd/>
          <a:tailEnd/>
        </a:ln>
      </xdr:spPr>
    </xdr:sp>
    <xdr:clientData/>
  </xdr:twoCellAnchor>
  <xdr:twoCellAnchor>
    <xdr:from>
      <xdr:col>8</xdr:col>
      <xdr:colOff>495300</xdr:colOff>
      <xdr:row>40</xdr:row>
      <xdr:rowOff>19050</xdr:rowOff>
    </xdr:from>
    <xdr:to>
      <xdr:col>9</xdr:col>
      <xdr:colOff>466725</xdr:colOff>
      <xdr:row>41</xdr:row>
      <xdr:rowOff>123825</xdr:rowOff>
    </xdr:to>
    <xdr:grpSp>
      <xdr:nvGrpSpPr>
        <xdr:cNvPr id="12378" name="Group 1230"/>
        <xdr:cNvGrpSpPr>
          <a:grpSpLocks/>
        </xdr:cNvGrpSpPr>
      </xdr:nvGrpSpPr>
      <xdr:grpSpPr bwMode="auto">
        <a:xfrm>
          <a:off x="5372100" y="6819900"/>
          <a:ext cx="581025" cy="266700"/>
          <a:chOff x="561" y="685"/>
          <a:chExt cx="61" cy="28"/>
        </a:xfrm>
      </xdr:grpSpPr>
      <xdr:sp macro="" textlink="">
        <xdr:nvSpPr>
          <xdr:cNvPr id="12685" name="Rectangle 1231"/>
          <xdr:cNvSpPr>
            <a:spLocks noChangeArrowheads="1"/>
          </xdr:cNvSpPr>
        </xdr:nvSpPr>
        <xdr:spPr bwMode="auto">
          <a:xfrm>
            <a:off x="569" y="686"/>
            <a:ext cx="20" cy="23"/>
          </a:xfrm>
          <a:prstGeom prst="rect">
            <a:avLst/>
          </a:prstGeom>
          <a:solidFill>
            <a:srgbClr val="FFFF99"/>
          </a:solidFill>
          <a:ln w="9525">
            <a:solidFill>
              <a:srgbClr val="000000"/>
            </a:solidFill>
            <a:miter lim="800000"/>
            <a:headEnd/>
            <a:tailEnd/>
          </a:ln>
        </xdr:spPr>
      </xdr:sp>
      <xdr:sp macro="" textlink="">
        <xdr:nvSpPr>
          <xdr:cNvPr id="12686" name="Rectangle 1232"/>
          <xdr:cNvSpPr>
            <a:spLocks noChangeArrowheads="1"/>
          </xdr:cNvSpPr>
        </xdr:nvSpPr>
        <xdr:spPr bwMode="auto">
          <a:xfrm>
            <a:off x="561" y="690"/>
            <a:ext cx="39" cy="15"/>
          </a:xfrm>
          <a:prstGeom prst="rect">
            <a:avLst/>
          </a:prstGeom>
          <a:solidFill>
            <a:srgbClr val="FF9933"/>
          </a:solidFill>
          <a:ln w="9525">
            <a:solidFill>
              <a:srgbClr val="000000"/>
            </a:solidFill>
            <a:miter lim="800000"/>
            <a:headEnd/>
            <a:tailEnd/>
          </a:ln>
        </xdr:spPr>
      </xdr:sp>
      <xdr:sp macro="" textlink="">
        <xdr:nvSpPr>
          <xdr:cNvPr id="12687" name="Oval 1233"/>
          <xdr:cNvSpPr>
            <a:spLocks noChangeArrowheads="1"/>
          </xdr:cNvSpPr>
        </xdr:nvSpPr>
        <xdr:spPr bwMode="auto">
          <a:xfrm>
            <a:off x="596" y="685"/>
            <a:ext cx="26" cy="28"/>
          </a:xfrm>
          <a:prstGeom prst="ellipse">
            <a:avLst/>
          </a:prstGeom>
          <a:solidFill>
            <a:srgbClr val="FF9933"/>
          </a:solidFill>
          <a:ln w="9525">
            <a:solidFill>
              <a:srgbClr val="000000"/>
            </a:solidFill>
            <a:round/>
            <a:headEnd/>
            <a:tailEnd/>
          </a:ln>
        </xdr:spPr>
      </xdr:sp>
      <xdr:sp macro="" textlink="">
        <xdr:nvSpPr>
          <xdr:cNvPr id="12688" name="Rectangle 1234"/>
          <xdr:cNvSpPr>
            <a:spLocks noChangeArrowheads="1"/>
          </xdr:cNvSpPr>
        </xdr:nvSpPr>
        <xdr:spPr bwMode="auto">
          <a:xfrm>
            <a:off x="591" y="691"/>
            <a:ext cx="8" cy="13"/>
          </a:xfrm>
          <a:prstGeom prst="rect">
            <a:avLst/>
          </a:prstGeom>
          <a:solidFill>
            <a:srgbClr val="FF9933"/>
          </a:solidFill>
          <a:ln w="9525">
            <a:noFill/>
            <a:miter lim="800000"/>
            <a:headEnd/>
            <a:tailEnd/>
          </a:ln>
        </xdr:spPr>
      </xdr:sp>
      <xdr:sp macro="" textlink="">
        <xdr:nvSpPr>
          <xdr:cNvPr id="12689" name="AutoShape 1235"/>
          <xdr:cNvSpPr>
            <a:spLocks noChangeArrowheads="1"/>
          </xdr:cNvSpPr>
        </xdr:nvSpPr>
        <xdr:spPr bwMode="auto">
          <a:xfrm>
            <a:off x="598"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690" name="Oval 1236"/>
          <xdr:cNvSpPr>
            <a:spLocks noChangeArrowheads="1"/>
          </xdr:cNvSpPr>
        </xdr:nvSpPr>
        <xdr:spPr bwMode="auto">
          <a:xfrm>
            <a:off x="603" y="693"/>
            <a:ext cx="12" cy="12"/>
          </a:xfrm>
          <a:prstGeom prst="ellipse">
            <a:avLst/>
          </a:prstGeom>
          <a:solidFill>
            <a:srgbClr val="FF9933"/>
          </a:solidFill>
          <a:ln w="9525">
            <a:solidFill>
              <a:srgbClr val="000000"/>
            </a:solidFill>
            <a:round/>
            <a:headEnd/>
            <a:tailEnd/>
          </a:ln>
        </xdr:spPr>
      </xdr:sp>
    </xdr:grpSp>
    <xdr:clientData/>
  </xdr:twoCellAnchor>
  <xdr:twoCellAnchor>
    <xdr:from>
      <xdr:col>8</xdr:col>
      <xdr:colOff>552450</xdr:colOff>
      <xdr:row>43</xdr:row>
      <xdr:rowOff>9525</xdr:rowOff>
    </xdr:from>
    <xdr:to>
      <xdr:col>9</xdr:col>
      <xdr:colOff>133350</xdr:colOff>
      <xdr:row>44</xdr:row>
      <xdr:rowOff>66675</xdr:rowOff>
    </xdr:to>
    <xdr:sp macro="" textlink="">
      <xdr:nvSpPr>
        <xdr:cNvPr id="12379" name="Rectangle 1237"/>
        <xdr:cNvSpPr>
          <a:spLocks noChangeArrowheads="1"/>
        </xdr:cNvSpPr>
      </xdr:nvSpPr>
      <xdr:spPr bwMode="auto">
        <a:xfrm>
          <a:off x="5429250" y="7296150"/>
          <a:ext cx="190500" cy="219075"/>
        </a:xfrm>
        <a:prstGeom prst="rect">
          <a:avLst/>
        </a:prstGeom>
        <a:solidFill>
          <a:srgbClr val="C0C0C0"/>
        </a:solidFill>
        <a:ln w="9525" cap="rnd">
          <a:solidFill>
            <a:srgbClr val="000000"/>
          </a:solidFill>
          <a:prstDash val="sysDot"/>
          <a:miter lim="800000"/>
          <a:headEnd/>
          <a:tailEnd/>
        </a:ln>
      </xdr:spPr>
    </xdr:sp>
    <xdr:clientData/>
  </xdr:twoCellAnchor>
  <xdr:twoCellAnchor>
    <xdr:from>
      <xdr:col>8</xdr:col>
      <xdr:colOff>476250</xdr:colOff>
      <xdr:row>43</xdr:row>
      <xdr:rowOff>47625</xdr:rowOff>
    </xdr:from>
    <xdr:to>
      <xdr:col>9</xdr:col>
      <xdr:colOff>238125</xdr:colOff>
      <xdr:row>44</xdr:row>
      <xdr:rowOff>28575</xdr:rowOff>
    </xdr:to>
    <xdr:sp macro="" textlink="">
      <xdr:nvSpPr>
        <xdr:cNvPr id="12380" name="Rectangle 1238"/>
        <xdr:cNvSpPr>
          <a:spLocks noChangeArrowheads="1"/>
        </xdr:cNvSpPr>
      </xdr:nvSpPr>
      <xdr:spPr bwMode="auto">
        <a:xfrm>
          <a:off x="5353050" y="7334250"/>
          <a:ext cx="371475" cy="142875"/>
        </a:xfrm>
        <a:prstGeom prst="rect">
          <a:avLst/>
        </a:prstGeom>
        <a:solidFill>
          <a:srgbClr val="C0C0C0"/>
        </a:solidFill>
        <a:ln w="9525" cap="rnd">
          <a:solidFill>
            <a:srgbClr val="000000"/>
          </a:solidFill>
          <a:prstDash val="sysDot"/>
          <a:miter lim="800000"/>
          <a:headEnd/>
          <a:tailEnd/>
        </a:ln>
      </xdr:spPr>
    </xdr:sp>
    <xdr:clientData/>
  </xdr:twoCellAnchor>
  <xdr:twoCellAnchor>
    <xdr:from>
      <xdr:col>9</xdr:col>
      <xdr:colOff>200025</xdr:colOff>
      <xdr:row>43</xdr:row>
      <xdr:rowOff>0</xdr:rowOff>
    </xdr:from>
    <xdr:to>
      <xdr:col>9</xdr:col>
      <xdr:colOff>447675</xdr:colOff>
      <xdr:row>44</xdr:row>
      <xdr:rowOff>104775</xdr:rowOff>
    </xdr:to>
    <xdr:sp macro="" textlink="">
      <xdr:nvSpPr>
        <xdr:cNvPr id="12381" name="Oval 1239"/>
        <xdr:cNvSpPr>
          <a:spLocks noChangeArrowheads="1"/>
        </xdr:cNvSpPr>
      </xdr:nvSpPr>
      <xdr:spPr bwMode="auto">
        <a:xfrm>
          <a:off x="5686425" y="7286625"/>
          <a:ext cx="247650" cy="266700"/>
        </a:xfrm>
        <a:prstGeom prst="ellipse">
          <a:avLst/>
        </a:prstGeom>
        <a:solidFill>
          <a:srgbClr val="C0C0C0"/>
        </a:solidFill>
        <a:ln w="9525" cap="rnd">
          <a:solidFill>
            <a:srgbClr val="000000"/>
          </a:solidFill>
          <a:prstDash val="sysDot"/>
          <a:round/>
          <a:headEnd/>
          <a:tailEnd/>
        </a:ln>
      </xdr:spPr>
    </xdr:sp>
    <xdr:clientData/>
  </xdr:twoCellAnchor>
  <xdr:twoCellAnchor>
    <xdr:from>
      <xdr:col>9</xdr:col>
      <xdr:colOff>152400</xdr:colOff>
      <xdr:row>43</xdr:row>
      <xdr:rowOff>57150</xdr:rowOff>
    </xdr:from>
    <xdr:to>
      <xdr:col>9</xdr:col>
      <xdr:colOff>228600</xdr:colOff>
      <xdr:row>44</xdr:row>
      <xdr:rowOff>19050</xdr:rowOff>
    </xdr:to>
    <xdr:sp macro="" textlink="">
      <xdr:nvSpPr>
        <xdr:cNvPr id="12382" name="Rectangle 1240"/>
        <xdr:cNvSpPr>
          <a:spLocks noChangeArrowheads="1"/>
        </xdr:cNvSpPr>
      </xdr:nvSpPr>
      <xdr:spPr bwMode="auto">
        <a:xfrm>
          <a:off x="5638800" y="7343775"/>
          <a:ext cx="76200" cy="123825"/>
        </a:xfrm>
        <a:prstGeom prst="rect">
          <a:avLst/>
        </a:prstGeom>
        <a:solidFill>
          <a:srgbClr val="C0C0C0"/>
        </a:solidFill>
        <a:ln w="9525">
          <a:noFill/>
          <a:miter lim="800000"/>
          <a:headEnd/>
          <a:tailEnd/>
        </a:ln>
      </xdr:spPr>
    </xdr:sp>
    <xdr:clientData/>
  </xdr:twoCellAnchor>
  <xdr:twoCellAnchor>
    <xdr:from>
      <xdr:col>9</xdr:col>
      <xdr:colOff>219075</xdr:colOff>
      <xdr:row>43</xdr:row>
      <xdr:rowOff>47625</xdr:rowOff>
    </xdr:from>
    <xdr:to>
      <xdr:col>9</xdr:col>
      <xdr:colOff>428625</xdr:colOff>
      <xdr:row>44</xdr:row>
      <xdr:rowOff>57150</xdr:rowOff>
    </xdr:to>
    <xdr:sp macro="" textlink="">
      <xdr:nvSpPr>
        <xdr:cNvPr id="12383" name="AutoShape 1241"/>
        <xdr:cNvSpPr>
          <a:spLocks noChangeArrowheads="1"/>
        </xdr:cNvSpPr>
      </xdr:nvSpPr>
      <xdr:spPr bwMode="auto">
        <a:xfrm>
          <a:off x="5705475" y="7334250"/>
          <a:ext cx="209550" cy="171450"/>
        </a:xfrm>
        <a:prstGeom prst="hexagon">
          <a:avLst>
            <a:gd name="adj" fmla="val 30556"/>
            <a:gd name="vf" fmla="val 115470"/>
          </a:avLst>
        </a:prstGeom>
        <a:solidFill>
          <a:srgbClr val="C0C0C0"/>
        </a:solidFill>
        <a:ln w="9525" cap="rnd">
          <a:solidFill>
            <a:srgbClr val="000000"/>
          </a:solidFill>
          <a:prstDash val="sysDot"/>
          <a:miter lim="800000"/>
          <a:headEnd/>
          <a:tailEnd/>
        </a:ln>
      </xdr:spPr>
    </xdr:sp>
    <xdr:clientData/>
  </xdr:twoCellAnchor>
  <xdr:twoCellAnchor>
    <xdr:from>
      <xdr:col>9</xdr:col>
      <xdr:colOff>266700</xdr:colOff>
      <xdr:row>43</xdr:row>
      <xdr:rowOff>76200</xdr:rowOff>
    </xdr:from>
    <xdr:to>
      <xdr:col>9</xdr:col>
      <xdr:colOff>381000</xdr:colOff>
      <xdr:row>44</xdr:row>
      <xdr:rowOff>28575</xdr:rowOff>
    </xdr:to>
    <xdr:sp macro="" textlink="">
      <xdr:nvSpPr>
        <xdr:cNvPr id="12384" name="Oval 1242"/>
        <xdr:cNvSpPr>
          <a:spLocks noChangeArrowheads="1"/>
        </xdr:cNvSpPr>
      </xdr:nvSpPr>
      <xdr:spPr bwMode="auto">
        <a:xfrm>
          <a:off x="5753100" y="7362825"/>
          <a:ext cx="114300" cy="114300"/>
        </a:xfrm>
        <a:prstGeom prst="ellipse">
          <a:avLst/>
        </a:prstGeom>
        <a:solidFill>
          <a:srgbClr val="C0C0C0"/>
        </a:solidFill>
        <a:ln w="9525" cap="rnd">
          <a:solidFill>
            <a:srgbClr val="000000"/>
          </a:solidFill>
          <a:prstDash val="sysDot"/>
          <a:round/>
          <a:headEnd/>
          <a:tailEnd/>
        </a:ln>
      </xdr:spPr>
    </xdr:sp>
    <xdr:clientData/>
  </xdr:twoCellAnchor>
  <xdr:twoCellAnchor>
    <xdr:from>
      <xdr:col>5</xdr:col>
      <xdr:colOff>238125</xdr:colOff>
      <xdr:row>21</xdr:row>
      <xdr:rowOff>114300</xdr:rowOff>
    </xdr:from>
    <xdr:to>
      <xdr:col>5</xdr:col>
      <xdr:colOff>561975</xdr:colOff>
      <xdr:row>23</xdr:row>
      <xdr:rowOff>114300</xdr:rowOff>
    </xdr:to>
    <xdr:grpSp>
      <xdr:nvGrpSpPr>
        <xdr:cNvPr id="12385" name="Group 1243"/>
        <xdr:cNvGrpSpPr>
          <a:grpSpLocks/>
        </xdr:cNvGrpSpPr>
      </xdr:nvGrpSpPr>
      <xdr:grpSpPr bwMode="auto">
        <a:xfrm>
          <a:off x="3286125" y="3838575"/>
          <a:ext cx="323850" cy="323850"/>
          <a:chOff x="304" y="397"/>
          <a:chExt cx="34" cy="34"/>
        </a:xfrm>
      </xdr:grpSpPr>
      <xdr:sp macro="" textlink="">
        <xdr:nvSpPr>
          <xdr:cNvPr id="12679" name="Oval 1244"/>
          <xdr:cNvSpPr>
            <a:spLocks noChangeArrowheads="1"/>
          </xdr:cNvSpPr>
        </xdr:nvSpPr>
        <xdr:spPr bwMode="auto">
          <a:xfrm rot="-1760819">
            <a:off x="323" y="397"/>
            <a:ext cx="12" cy="27"/>
          </a:xfrm>
          <a:prstGeom prst="ellipse">
            <a:avLst/>
          </a:prstGeom>
          <a:solidFill>
            <a:srgbClr val="FFFFFF"/>
          </a:solidFill>
          <a:ln w="9525">
            <a:solidFill>
              <a:srgbClr val="000000"/>
            </a:solidFill>
            <a:round/>
            <a:headEnd/>
            <a:tailEnd/>
          </a:ln>
        </xdr:spPr>
      </xdr:sp>
      <xdr:sp macro="" textlink="">
        <xdr:nvSpPr>
          <xdr:cNvPr id="12680" name="Oval 1245"/>
          <xdr:cNvSpPr>
            <a:spLocks noChangeArrowheads="1"/>
          </xdr:cNvSpPr>
        </xdr:nvSpPr>
        <xdr:spPr bwMode="auto">
          <a:xfrm rot="-1760819">
            <a:off x="319" y="406"/>
            <a:ext cx="7" cy="17"/>
          </a:xfrm>
          <a:prstGeom prst="ellipse">
            <a:avLst/>
          </a:prstGeom>
          <a:solidFill>
            <a:srgbClr val="FFFFFF"/>
          </a:solidFill>
          <a:ln w="9525">
            <a:solidFill>
              <a:srgbClr val="000000"/>
            </a:solidFill>
            <a:round/>
            <a:headEnd/>
            <a:tailEnd/>
          </a:ln>
        </xdr:spPr>
      </xdr:sp>
      <xdr:sp macro="" textlink="">
        <xdr:nvSpPr>
          <xdr:cNvPr id="12681" name="Freeform 1246"/>
          <xdr:cNvSpPr>
            <a:spLocks/>
          </xdr:cNvSpPr>
        </xdr:nvSpPr>
        <xdr:spPr bwMode="auto">
          <a:xfrm>
            <a:off x="316" y="398"/>
            <a:ext cx="22" cy="28"/>
          </a:xfrm>
          <a:custGeom>
            <a:avLst/>
            <a:gdLst>
              <a:gd name="T0" fmla="*/ 0 w 22"/>
              <a:gd name="T1" fmla="*/ 5 h 28"/>
              <a:gd name="T2" fmla="*/ 8 w 22"/>
              <a:gd name="T3" fmla="*/ 0 h 28"/>
              <a:gd name="T4" fmla="*/ 10 w 22"/>
              <a:gd name="T5" fmla="*/ 1 h 28"/>
              <a:gd name="T6" fmla="*/ 12 w 22"/>
              <a:gd name="T7" fmla="*/ 2 h 28"/>
              <a:gd name="T8" fmla="*/ 15 w 22"/>
              <a:gd name="T9" fmla="*/ 5 h 28"/>
              <a:gd name="T10" fmla="*/ 18 w 22"/>
              <a:gd name="T11" fmla="*/ 8 h 28"/>
              <a:gd name="T12" fmla="*/ 20 w 22"/>
              <a:gd name="T13" fmla="*/ 12 h 28"/>
              <a:gd name="T14" fmla="*/ 21 w 22"/>
              <a:gd name="T15" fmla="*/ 15 h 28"/>
              <a:gd name="T16" fmla="*/ 22 w 22"/>
              <a:gd name="T17" fmla="*/ 18 h 28"/>
              <a:gd name="T18" fmla="*/ 22 w 22"/>
              <a:gd name="T19" fmla="*/ 21 h 28"/>
              <a:gd name="T20" fmla="*/ 21 w 22"/>
              <a:gd name="T21" fmla="*/ 23 h 28"/>
              <a:gd name="T22" fmla="*/ 19 w 22"/>
              <a:gd name="T23" fmla="*/ 26 h 28"/>
              <a:gd name="T24" fmla="*/ 14 w 22"/>
              <a:gd name="T25" fmla="*/ 28 h 2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2"/>
              <a:gd name="T40" fmla="*/ 0 h 28"/>
              <a:gd name="T41" fmla="*/ 22 w 22"/>
              <a:gd name="T42" fmla="*/ 28 h 28"/>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2" h="28">
                <a:moveTo>
                  <a:pt x="0" y="5"/>
                </a:moveTo>
                <a:lnTo>
                  <a:pt x="8" y="0"/>
                </a:lnTo>
                <a:lnTo>
                  <a:pt x="10" y="1"/>
                </a:lnTo>
                <a:lnTo>
                  <a:pt x="12" y="2"/>
                </a:lnTo>
                <a:lnTo>
                  <a:pt x="15" y="5"/>
                </a:lnTo>
                <a:lnTo>
                  <a:pt x="18" y="8"/>
                </a:lnTo>
                <a:lnTo>
                  <a:pt x="20" y="12"/>
                </a:lnTo>
                <a:lnTo>
                  <a:pt x="21" y="15"/>
                </a:lnTo>
                <a:lnTo>
                  <a:pt x="22" y="18"/>
                </a:lnTo>
                <a:lnTo>
                  <a:pt x="22" y="21"/>
                </a:lnTo>
                <a:lnTo>
                  <a:pt x="21" y="23"/>
                </a:lnTo>
                <a:lnTo>
                  <a:pt x="19" y="26"/>
                </a:lnTo>
                <a:lnTo>
                  <a:pt x="14" y="28"/>
                </a:lnTo>
              </a:path>
            </a:pathLst>
          </a:custGeom>
          <a:solidFill>
            <a:srgbClr val="FFFF99"/>
          </a:solidFill>
          <a:ln w="9525">
            <a:solidFill>
              <a:srgbClr val="000000"/>
            </a:solidFill>
            <a:round/>
            <a:headEnd/>
            <a:tailEnd/>
          </a:ln>
        </xdr:spPr>
      </xdr:sp>
      <xdr:sp macro="" textlink="">
        <xdr:nvSpPr>
          <xdr:cNvPr id="12682" name="Oval 1247"/>
          <xdr:cNvSpPr>
            <a:spLocks noChangeArrowheads="1"/>
          </xdr:cNvSpPr>
        </xdr:nvSpPr>
        <xdr:spPr bwMode="auto">
          <a:xfrm rot="-1760819">
            <a:off x="317" y="401"/>
            <a:ext cx="12" cy="27"/>
          </a:xfrm>
          <a:prstGeom prst="ellipse">
            <a:avLst/>
          </a:prstGeom>
          <a:solidFill>
            <a:srgbClr val="FFFF99"/>
          </a:solidFill>
          <a:ln w="9525">
            <a:solidFill>
              <a:srgbClr val="000000"/>
            </a:solidFill>
            <a:round/>
            <a:headEnd/>
            <a:tailEnd/>
          </a:ln>
        </xdr:spPr>
      </xdr:sp>
      <xdr:sp macro="" textlink="">
        <xdr:nvSpPr>
          <xdr:cNvPr id="12683" name="Freeform 1248"/>
          <xdr:cNvSpPr>
            <a:spLocks/>
          </xdr:cNvSpPr>
        </xdr:nvSpPr>
        <xdr:spPr bwMode="auto">
          <a:xfrm>
            <a:off x="304" y="407"/>
            <a:ext cx="24" cy="23"/>
          </a:xfrm>
          <a:custGeom>
            <a:avLst/>
            <a:gdLst>
              <a:gd name="T0" fmla="*/ 0 w 24"/>
              <a:gd name="T1" fmla="*/ 8 h 23"/>
              <a:gd name="T2" fmla="*/ 8 w 24"/>
              <a:gd name="T3" fmla="*/ 4 h 23"/>
              <a:gd name="T4" fmla="*/ 15 w 24"/>
              <a:gd name="T5" fmla="*/ 0 h 23"/>
              <a:gd name="T6" fmla="*/ 18 w 24"/>
              <a:gd name="T7" fmla="*/ 1 h 23"/>
              <a:gd name="T8" fmla="*/ 20 w 24"/>
              <a:gd name="T9" fmla="*/ 3 h 23"/>
              <a:gd name="T10" fmla="*/ 22 w 24"/>
              <a:gd name="T11" fmla="*/ 5 h 23"/>
              <a:gd name="T12" fmla="*/ 23 w 24"/>
              <a:gd name="T13" fmla="*/ 8 h 23"/>
              <a:gd name="T14" fmla="*/ 24 w 24"/>
              <a:gd name="T15" fmla="*/ 10 h 23"/>
              <a:gd name="T16" fmla="*/ 24 w 24"/>
              <a:gd name="T17" fmla="*/ 13 h 23"/>
              <a:gd name="T18" fmla="*/ 23 w 24"/>
              <a:gd name="T19" fmla="*/ 15 h 23"/>
              <a:gd name="T20" fmla="*/ 20 w 24"/>
              <a:gd name="T21" fmla="*/ 17 h 23"/>
              <a:gd name="T22" fmla="*/ 16 w 24"/>
              <a:gd name="T23" fmla="*/ 19 h 23"/>
              <a:gd name="T24" fmla="*/ 9 w 24"/>
              <a:gd name="T25" fmla="*/ 23 h 2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4"/>
              <a:gd name="T40" fmla="*/ 0 h 23"/>
              <a:gd name="T41" fmla="*/ 24 w 24"/>
              <a:gd name="T42" fmla="*/ 23 h 23"/>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4" h="23">
                <a:moveTo>
                  <a:pt x="0" y="8"/>
                </a:moveTo>
                <a:lnTo>
                  <a:pt x="8" y="4"/>
                </a:lnTo>
                <a:lnTo>
                  <a:pt x="15" y="0"/>
                </a:lnTo>
                <a:lnTo>
                  <a:pt x="18" y="1"/>
                </a:lnTo>
                <a:lnTo>
                  <a:pt x="20" y="3"/>
                </a:lnTo>
                <a:lnTo>
                  <a:pt x="22" y="5"/>
                </a:lnTo>
                <a:lnTo>
                  <a:pt x="23" y="8"/>
                </a:lnTo>
                <a:lnTo>
                  <a:pt x="24" y="10"/>
                </a:lnTo>
                <a:lnTo>
                  <a:pt x="24" y="13"/>
                </a:lnTo>
                <a:lnTo>
                  <a:pt x="23" y="15"/>
                </a:lnTo>
                <a:lnTo>
                  <a:pt x="20" y="17"/>
                </a:lnTo>
                <a:lnTo>
                  <a:pt x="16" y="19"/>
                </a:lnTo>
                <a:lnTo>
                  <a:pt x="9" y="23"/>
                </a:lnTo>
              </a:path>
            </a:pathLst>
          </a:custGeom>
          <a:solidFill>
            <a:srgbClr val="FF9933"/>
          </a:solidFill>
          <a:ln w="9525">
            <a:solidFill>
              <a:srgbClr val="000000"/>
            </a:solidFill>
            <a:round/>
            <a:headEnd/>
            <a:tailEnd/>
          </a:ln>
        </xdr:spPr>
      </xdr:sp>
      <xdr:sp macro="" textlink="">
        <xdr:nvSpPr>
          <xdr:cNvPr id="12684" name="Oval 1249"/>
          <xdr:cNvSpPr>
            <a:spLocks noChangeArrowheads="1"/>
          </xdr:cNvSpPr>
        </xdr:nvSpPr>
        <xdr:spPr bwMode="auto">
          <a:xfrm rot="-1760819">
            <a:off x="305" y="414"/>
            <a:ext cx="7" cy="17"/>
          </a:xfrm>
          <a:prstGeom prst="ellipse">
            <a:avLst/>
          </a:prstGeom>
          <a:solidFill>
            <a:srgbClr val="FF9933"/>
          </a:solidFill>
          <a:ln w="9525">
            <a:solidFill>
              <a:srgbClr val="000000"/>
            </a:solidFill>
            <a:round/>
            <a:headEnd/>
            <a:tailEnd/>
          </a:ln>
        </xdr:spPr>
      </xdr:sp>
    </xdr:grpSp>
    <xdr:clientData/>
  </xdr:twoCellAnchor>
  <xdr:twoCellAnchor>
    <xdr:from>
      <xdr:col>5</xdr:col>
      <xdr:colOff>514350</xdr:colOff>
      <xdr:row>24</xdr:row>
      <xdr:rowOff>104775</xdr:rowOff>
    </xdr:from>
    <xdr:to>
      <xdr:col>6</xdr:col>
      <xdr:colOff>228600</xdr:colOff>
      <xdr:row>26</xdr:row>
      <xdr:rowOff>104775</xdr:rowOff>
    </xdr:to>
    <xdr:grpSp>
      <xdr:nvGrpSpPr>
        <xdr:cNvPr id="12386" name="Group 1250"/>
        <xdr:cNvGrpSpPr>
          <a:grpSpLocks/>
        </xdr:cNvGrpSpPr>
      </xdr:nvGrpSpPr>
      <xdr:grpSpPr bwMode="auto">
        <a:xfrm>
          <a:off x="3562350" y="4314825"/>
          <a:ext cx="323850" cy="323850"/>
          <a:chOff x="333" y="447"/>
          <a:chExt cx="34" cy="34"/>
        </a:xfrm>
      </xdr:grpSpPr>
      <xdr:sp macro="" textlink="">
        <xdr:nvSpPr>
          <xdr:cNvPr id="12673" name="Oval 1251"/>
          <xdr:cNvSpPr>
            <a:spLocks noChangeArrowheads="1"/>
          </xdr:cNvSpPr>
        </xdr:nvSpPr>
        <xdr:spPr bwMode="auto">
          <a:xfrm rot="-1760819">
            <a:off x="352" y="447"/>
            <a:ext cx="12" cy="27"/>
          </a:xfrm>
          <a:prstGeom prst="ellipse">
            <a:avLst/>
          </a:prstGeom>
          <a:solidFill>
            <a:srgbClr val="FFFFFF"/>
          </a:solidFill>
          <a:ln w="9525">
            <a:solidFill>
              <a:srgbClr val="000000"/>
            </a:solidFill>
            <a:round/>
            <a:headEnd/>
            <a:tailEnd/>
          </a:ln>
        </xdr:spPr>
      </xdr:sp>
      <xdr:sp macro="" textlink="">
        <xdr:nvSpPr>
          <xdr:cNvPr id="12674" name="Oval 1252"/>
          <xdr:cNvSpPr>
            <a:spLocks noChangeArrowheads="1"/>
          </xdr:cNvSpPr>
        </xdr:nvSpPr>
        <xdr:spPr bwMode="auto">
          <a:xfrm rot="-1760819">
            <a:off x="348" y="456"/>
            <a:ext cx="7" cy="17"/>
          </a:xfrm>
          <a:prstGeom prst="ellipse">
            <a:avLst/>
          </a:prstGeom>
          <a:solidFill>
            <a:srgbClr val="FFFFFF"/>
          </a:solidFill>
          <a:ln w="9525">
            <a:solidFill>
              <a:srgbClr val="000000"/>
            </a:solidFill>
            <a:round/>
            <a:headEnd/>
            <a:tailEnd/>
          </a:ln>
        </xdr:spPr>
      </xdr:sp>
      <xdr:sp macro="" textlink="">
        <xdr:nvSpPr>
          <xdr:cNvPr id="12675" name="Freeform 1253"/>
          <xdr:cNvSpPr>
            <a:spLocks/>
          </xdr:cNvSpPr>
        </xdr:nvSpPr>
        <xdr:spPr bwMode="auto">
          <a:xfrm>
            <a:off x="345" y="448"/>
            <a:ext cx="22" cy="28"/>
          </a:xfrm>
          <a:custGeom>
            <a:avLst/>
            <a:gdLst>
              <a:gd name="T0" fmla="*/ 0 w 22"/>
              <a:gd name="T1" fmla="*/ 5 h 28"/>
              <a:gd name="T2" fmla="*/ 8 w 22"/>
              <a:gd name="T3" fmla="*/ 0 h 28"/>
              <a:gd name="T4" fmla="*/ 10 w 22"/>
              <a:gd name="T5" fmla="*/ 1 h 28"/>
              <a:gd name="T6" fmla="*/ 12 w 22"/>
              <a:gd name="T7" fmla="*/ 2 h 28"/>
              <a:gd name="T8" fmla="*/ 15 w 22"/>
              <a:gd name="T9" fmla="*/ 5 h 28"/>
              <a:gd name="T10" fmla="*/ 18 w 22"/>
              <a:gd name="T11" fmla="*/ 8 h 28"/>
              <a:gd name="T12" fmla="*/ 20 w 22"/>
              <a:gd name="T13" fmla="*/ 12 h 28"/>
              <a:gd name="T14" fmla="*/ 21 w 22"/>
              <a:gd name="T15" fmla="*/ 15 h 28"/>
              <a:gd name="T16" fmla="*/ 22 w 22"/>
              <a:gd name="T17" fmla="*/ 18 h 28"/>
              <a:gd name="T18" fmla="*/ 22 w 22"/>
              <a:gd name="T19" fmla="*/ 21 h 28"/>
              <a:gd name="T20" fmla="*/ 21 w 22"/>
              <a:gd name="T21" fmla="*/ 23 h 28"/>
              <a:gd name="T22" fmla="*/ 19 w 22"/>
              <a:gd name="T23" fmla="*/ 26 h 28"/>
              <a:gd name="T24" fmla="*/ 14 w 22"/>
              <a:gd name="T25" fmla="*/ 28 h 2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2"/>
              <a:gd name="T40" fmla="*/ 0 h 28"/>
              <a:gd name="T41" fmla="*/ 22 w 22"/>
              <a:gd name="T42" fmla="*/ 28 h 28"/>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2" h="28">
                <a:moveTo>
                  <a:pt x="0" y="5"/>
                </a:moveTo>
                <a:lnTo>
                  <a:pt x="8" y="0"/>
                </a:lnTo>
                <a:lnTo>
                  <a:pt x="10" y="1"/>
                </a:lnTo>
                <a:lnTo>
                  <a:pt x="12" y="2"/>
                </a:lnTo>
                <a:lnTo>
                  <a:pt x="15" y="5"/>
                </a:lnTo>
                <a:lnTo>
                  <a:pt x="18" y="8"/>
                </a:lnTo>
                <a:lnTo>
                  <a:pt x="20" y="12"/>
                </a:lnTo>
                <a:lnTo>
                  <a:pt x="21" y="15"/>
                </a:lnTo>
                <a:lnTo>
                  <a:pt x="22" y="18"/>
                </a:lnTo>
                <a:lnTo>
                  <a:pt x="22" y="21"/>
                </a:lnTo>
                <a:lnTo>
                  <a:pt x="21" y="23"/>
                </a:lnTo>
                <a:lnTo>
                  <a:pt x="19" y="26"/>
                </a:lnTo>
                <a:lnTo>
                  <a:pt x="14" y="28"/>
                </a:lnTo>
              </a:path>
            </a:pathLst>
          </a:custGeom>
          <a:solidFill>
            <a:srgbClr val="FFFF99"/>
          </a:solidFill>
          <a:ln w="9525">
            <a:solidFill>
              <a:srgbClr val="000000"/>
            </a:solidFill>
            <a:round/>
            <a:headEnd/>
            <a:tailEnd/>
          </a:ln>
        </xdr:spPr>
      </xdr:sp>
      <xdr:sp macro="" textlink="">
        <xdr:nvSpPr>
          <xdr:cNvPr id="12676" name="Oval 1254"/>
          <xdr:cNvSpPr>
            <a:spLocks noChangeArrowheads="1"/>
          </xdr:cNvSpPr>
        </xdr:nvSpPr>
        <xdr:spPr bwMode="auto">
          <a:xfrm rot="-1760819">
            <a:off x="346" y="451"/>
            <a:ext cx="12" cy="27"/>
          </a:xfrm>
          <a:prstGeom prst="ellipse">
            <a:avLst/>
          </a:prstGeom>
          <a:solidFill>
            <a:srgbClr val="FFFF99"/>
          </a:solidFill>
          <a:ln w="9525">
            <a:solidFill>
              <a:srgbClr val="000000"/>
            </a:solidFill>
            <a:round/>
            <a:headEnd/>
            <a:tailEnd/>
          </a:ln>
        </xdr:spPr>
      </xdr:sp>
      <xdr:sp macro="" textlink="">
        <xdr:nvSpPr>
          <xdr:cNvPr id="12677" name="Freeform 1255"/>
          <xdr:cNvSpPr>
            <a:spLocks/>
          </xdr:cNvSpPr>
        </xdr:nvSpPr>
        <xdr:spPr bwMode="auto">
          <a:xfrm>
            <a:off x="333" y="457"/>
            <a:ext cx="24" cy="23"/>
          </a:xfrm>
          <a:custGeom>
            <a:avLst/>
            <a:gdLst>
              <a:gd name="T0" fmla="*/ 0 w 24"/>
              <a:gd name="T1" fmla="*/ 8 h 23"/>
              <a:gd name="T2" fmla="*/ 8 w 24"/>
              <a:gd name="T3" fmla="*/ 4 h 23"/>
              <a:gd name="T4" fmla="*/ 15 w 24"/>
              <a:gd name="T5" fmla="*/ 0 h 23"/>
              <a:gd name="T6" fmla="*/ 18 w 24"/>
              <a:gd name="T7" fmla="*/ 1 h 23"/>
              <a:gd name="T8" fmla="*/ 20 w 24"/>
              <a:gd name="T9" fmla="*/ 3 h 23"/>
              <a:gd name="T10" fmla="*/ 22 w 24"/>
              <a:gd name="T11" fmla="*/ 5 h 23"/>
              <a:gd name="T12" fmla="*/ 23 w 24"/>
              <a:gd name="T13" fmla="*/ 8 h 23"/>
              <a:gd name="T14" fmla="*/ 24 w 24"/>
              <a:gd name="T15" fmla="*/ 10 h 23"/>
              <a:gd name="T16" fmla="*/ 24 w 24"/>
              <a:gd name="T17" fmla="*/ 13 h 23"/>
              <a:gd name="T18" fmla="*/ 23 w 24"/>
              <a:gd name="T19" fmla="*/ 15 h 23"/>
              <a:gd name="T20" fmla="*/ 20 w 24"/>
              <a:gd name="T21" fmla="*/ 17 h 23"/>
              <a:gd name="T22" fmla="*/ 16 w 24"/>
              <a:gd name="T23" fmla="*/ 19 h 23"/>
              <a:gd name="T24" fmla="*/ 9 w 24"/>
              <a:gd name="T25" fmla="*/ 23 h 2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4"/>
              <a:gd name="T40" fmla="*/ 0 h 23"/>
              <a:gd name="T41" fmla="*/ 24 w 24"/>
              <a:gd name="T42" fmla="*/ 23 h 23"/>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4" h="23">
                <a:moveTo>
                  <a:pt x="0" y="8"/>
                </a:moveTo>
                <a:lnTo>
                  <a:pt x="8" y="4"/>
                </a:lnTo>
                <a:lnTo>
                  <a:pt x="15" y="0"/>
                </a:lnTo>
                <a:lnTo>
                  <a:pt x="18" y="1"/>
                </a:lnTo>
                <a:lnTo>
                  <a:pt x="20" y="3"/>
                </a:lnTo>
                <a:lnTo>
                  <a:pt x="22" y="5"/>
                </a:lnTo>
                <a:lnTo>
                  <a:pt x="23" y="8"/>
                </a:lnTo>
                <a:lnTo>
                  <a:pt x="24" y="10"/>
                </a:lnTo>
                <a:lnTo>
                  <a:pt x="24" y="13"/>
                </a:lnTo>
                <a:lnTo>
                  <a:pt x="23" y="15"/>
                </a:lnTo>
                <a:lnTo>
                  <a:pt x="20" y="17"/>
                </a:lnTo>
                <a:lnTo>
                  <a:pt x="16" y="19"/>
                </a:lnTo>
                <a:lnTo>
                  <a:pt x="9" y="23"/>
                </a:lnTo>
              </a:path>
            </a:pathLst>
          </a:custGeom>
          <a:solidFill>
            <a:srgbClr val="FF9933"/>
          </a:solidFill>
          <a:ln w="9525">
            <a:solidFill>
              <a:srgbClr val="000000"/>
            </a:solidFill>
            <a:round/>
            <a:headEnd/>
            <a:tailEnd/>
          </a:ln>
        </xdr:spPr>
      </xdr:sp>
      <xdr:sp macro="" textlink="">
        <xdr:nvSpPr>
          <xdr:cNvPr id="12678" name="Oval 1256"/>
          <xdr:cNvSpPr>
            <a:spLocks noChangeArrowheads="1"/>
          </xdr:cNvSpPr>
        </xdr:nvSpPr>
        <xdr:spPr bwMode="auto">
          <a:xfrm rot="-1760819">
            <a:off x="334" y="464"/>
            <a:ext cx="7" cy="17"/>
          </a:xfrm>
          <a:prstGeom prst="ellipse">
            <a:avLst/>
          </a:prstGeom>
          <a:solidFill>
            <a:srgbClr val="FF9933"/>
          </a:solidFill>
          <a:ln w="9525">
            <a:solidFill>
              <a:srgbClr val="000000"/>
            </a:solidFill>
            <a:round/>
            <a:headEnd/>
            <a:tailEnd/>
          </a:ln>
        </xdr:spPr>
      </xdr:sp>
    </xdr:grpSp>
    <xdr:clientData/>
  </xdr:twoCellAnchor>
  <xdr:twoCellAnchor>
    <xdr:from>
      <xdr:col>5</xdr:col>
      <xdr:colOff>381000</xdr:colOff>
      <xdr:row>26</xdr:row>
      <xdr:rowOff>152400</xdr:rowOff>
    </xdr:from>
    <xdr:to>
      <xdr:col>5</xdr:col>
      <xdr:colOff>552450</xdr:colOff>
      <xdr:row>26</xdr:row>
      <xdr:rowOff>152400</xdr:rowOff>
    </xdr:to>
    <xdr:sp macro="" textlink="">
      <xdr:nvSpPr>
        <xdr:cNvPr id="12387" name="Line 1257"/>
        <xdr:cNvSpPr>
          <a:spLocks noChangeShapeType="1"/>
        </xdr:cNvSpPr>
      </xdr:nvSpPr>
      <xdr:spPr bwMode="auto">
        <a:xfrm>
          <a:off x="3429000" y="4686300"/>
          <a:ext cx="171450" cy="0"/>
        </a:xfrm>
        <a:prstGeom prst="line">
          <a:avLst/>
        </a:prstGeom>
        <a:noFill/>
        <a:ln w="38100">
          <a:solidFill>
            <a:srgbClr val="000000"/>
          </a:solidFill>
          <a:round/>
          <a:headEnd/>
          <a:tailEnd/>
        </a:ln>
      </xdr:spPr>
    </xdr:sp>
    <xdr:clientData/>
  </xdr:twoCellAnchor>
  <xdr:twoCellAnchor>
    <xdr:from>
      <xdr:col>5</xdr:col>
      <xdr:colOff>276225</xdr:colOff>
      <xdr:row>4</xdr:row>
      <xdr:rowOff>123825</xdr:rowOff>
    </xdr:from>
    <xdr:to>
      <xdr:col>12</xdr:col>
      <xdr:colOff>428625</xdr:colOff>
      <xdr:row>18</xdr:row>
      <xdr:rowOff>95250</xdr:rowOff>
    </xdr:to>
    <xdr:sp macro="" textlink="">
      <xdr:nvSpPr>
        <xdr:cNvPr id="12388" name="Line 1258"/>
        <xdr:cNvSpPr>
          <a:spLocks noChangeShapeType="1"/>
        </xdr:cNvSpPr>
      </xdr:nvSpPr>
      <xdr:spPr bwMode="auto">
        <a:xfrm>
          <a:off x="3324225" y="1095375"/>
          <a:ext cx="4419600" cy="2238375"/>
        </a:xfrm>
        <a:prstGeom prst="line">
          <a:avLst/>
        </a:prstGeom>
        <a:noFill/>
        <a:ln w="25400">
          <a:solidFill>
            <a:srgbClr val="000000"/>
          </a:solidFill>
          <a:prstDash val="lgDashDotDot"/>
          <a:round/>
          <a:headEnd/>
          <a:tailEnd/>
        </a:ln>
      </xdr:spPr>
    </xdr:sp>
    <xdr:clientData/>
  </xdr:twoCellAnchor>
  <xdr:twoCellAnchor>
    <xdr:from>
      <xdr:col>5</xdr:col>
      <xdr:colOff>276225</xdr:colOff>
      <xdr:row>4</xdr:row>
      <xdr:rowOff>133350</xdr:rowOff>
    </xdr:from>
    <xdr:to>
      <xdr:col>5</xdr:col>
      <xdr:colOff>276225</xdr:colOff>
      <xdr:row>8</xdr:row>
      <xdr:rowOff>9525</xdr:rowOff>
    </xdr:to>
    <xdr:sp macro="" textlink="">
      <xdr:nvSpPr>
        <xdr:cNvPr id="12389" name="Line 1259"/>
        <xdr:cNvSpPr>
          <a:spLocks noChangeShapeType="1"/>
        </xdr:cNvSpPr>
      </xdr:nvSpPr>
      <xdr:spPr bwMode="auto">
        <a:xfrm>
          <a:off x="3324225" y="1104900"/>
          <a:ext cx="0" cy="523875"/>
        </a:xfrm>
        <a:prstGeom prst="line">
          <a:avLst/>
        </a:prstGeom>
        <a:noFill/>
        <a:ln w="25400">
          <a:solidFill>
            <a:srgbClr val="000000"/>
          </a:solidFill>
          <a:round/>
          <a:headEnd/>
          <a:tailEnd type="triangle" w="lg" len="lg"/>
        </a:ln>
      </xdr:spPr>
    </xdr:sp>
    <xdr:clientData/>
  </xdr:twoCellAnchor>
  <xdr:twoCellAnchor>
    <xdr:from>
      <xdr:col>12</xdr:col>
      <xdr:colOff>438150</xdr:colOff>
      <xdr:row>18</xdr:row>
      <xdr:rowOff>95250</xdr:rowOff>
    </xdr:from>
    <xdr:to>
      <xdr:col>12</xdr:col>
      <xdr:colOff>438150</xdr:colOff>
      <xdr:row>21</xdr:row>
      <xdr:rowOff>133350</xdr:rowOff>
    </xdr:to>
    <xdr:sp macro="" textlink="">
      <xdr:nvSpPr>
        <xdr:cNvPr id="12390" name="Line 1260"/>
        <xdr:cNvSpPr>
          <a:spLocks noChangeShapeType="1"/>
        </xdr:cNvSpPr>
      </xdr:nvSpPr>
      <xdr:spPr bwMode="auto">
        <a:xfrm>
          <a:off x="7753350" y="3333750"/>
          <a:ext cx="0" cy="523875"/>
        </a:xfrm>
        <a:prstGeom prst="line">
          <a:avLst/>
        </a:prstGeom>
        <a:noFill/>
        <a:ln w="25400">
          <a:solidFill>
            <a:srgbClr val="000000"/>
          </a:solidFill>
          <a:round/>
          <a:headEnd/>
          <a:tailEnd type="triangle" w="lg" len="lg"/>
        </a:ln>
      </xdr:spPr>
    </xdr:sp>
    <xdr:clientData/>
  </xdr:twoCellAnchor>
  <xdr:twoCellAnchor>
    <xdr:from>
      <xdr:col>12</xdr:col>
      <xdr:colOff>142875</xdr:colOff>
      <xdr:row>22</xdr:row>
      <xdr:rowOff>19050</xdr:rowOff>
    </xdr:from>
    <xdr:to>
      <xdr:col>13</xdr:col>
      <xdr:colOff>142875</xdr:colOff>
      <xdr:row>24</xdr:row>
      <xdr:rowOff>114300</xdr:rowOff>
    </xdr:to>
    <xdr:sp macro="" textlink="">
      <xdr:nvSpPr>
        <xdr:cNvPr id="137453" name="Text Box 1261"/>
        <xdr:cNvSpPr txBox="1">
          <a:spLocks noChangeArrowheads="1"/>
        </xdr:cNvSpPr>
      </xdr:nvSpPr>
      <xdr:spPr bwMode="auto">
        <a:xfrm>
          <a:off x="7458075" y="3905250"/>
          <a:ext cx="609600" cy="419100"/>
        </a:xfrm>
        <a:prstGeom prst="rect">
          <a:avLst/>
        </a:prstGeom>
        <a:noFill/>
        <a:ln>
          <a:noFill/>
        </a:ln>
        <a:extLst/>
      </xdr:spPr>
      <xdr:txBody>
        <a:bodyPr vertOverflow="clip" wrap="square" lIns="54864" tIns="41148" rIns="54864" bIns="0" anchor="t" upright="1"/>
        <a:lstStyle/>
        <a:p>
          <a:pPr algn="ctr" rtl="0">
            <a:defRPr sz="1000"/>
          </a:pPr>
          <a:r>
            <a:rPr lang="en-US" sz="2400" b="1" i="0" u="none" strike="noStrike" baseline="0">
              <a:solidFill>
                <a:srgbClr val="000000"/>
              </a:solidFill>
              <a:latin typeface="Arial"/>
              <a:cs typeface="Arial"/>
            </a:rPr>
            <a:t>A</a:t>
          </a:r>
        </a:p>
      </xdr:txBody>
    </xdr:sp>
    <xdr:clientData/>
  </xdr:twoCellAnchor>
  <xdr:twoCellAnchor>
    <xdr:from>
      <xdr:col>4</xdr:col>
      <xdr:colOff>590550</xdr:colOff>
      <xdr:row>8</xdr:row>
      <xdr:rowOff>38100</xdr:rowOff>
    </xdr:from>
    <xdr:to>
      <xdr:col>5</xdr:col>
      <xdr:colOff>590550</xdr:colOff>
      <xdr:row>10</xdr:row>
      <xdr:rowOff>133350</xdr:rowOff>
    </xdr:to>
    <xdr:sp macro="" textlink="">
      <xdr:nvSpPr>
        <xdr:cNvPr id="137454" name="Text Box 1262"/>
        <xdr:cNvSpPr txBox="1">
          <a:spLocks noChangeArrowheads="1"/>
        </xdr:cNvSpPr>
      </xdr:nvSpPr>
      <xdr:spPr bwMode="auto">
        <a:xfrm>
          <a:off x="3028950" y="1657350"/>
          <a:ext cx="609600" cy="419100"/>
        </a:xfrm>
        <a:prstGeom prst="rect">
          <a:avLst/>
        </a:prstGeom>
        <a:noFill/>
        <a:ln>
          <a:noFill/>
        </a:ln>
        <a:extLst/>
      </xdr:spPr>
      <xdr:txBody>
        <a:bodyPr vertOverflow="clip" wrap="square" lIns="54864" tIns="41148" rIns="54864" bIns="0" anchor="t" upright="1"/>
        <a:lstStyle/>
        <a:p>
          <a:pPr algn="ctr" rtl="0">
            <a:defRPr sz="1000"/>
          </a:pPr>
          <a:r>
            <a:rPr lang="en-US" sz="2400" b="1" i="0" u="none" strike="noStrike" baseline="0">
              <a:solidFill>
                <a:srgbClr val="000000"/>
              </a:solidFill>
              <a:latin typeface="Arial"/>
              <a:cs typeface="Arial"/>
            </a:rPr>
            <a:t>A</a:t>
          </a:r>
        </a:p>
      </xdr:txBody>
    </xdr:sp>
    <xdr:clientData/>
  </xdr:twoCellAnchor>
  <xdr:twoCellAnchor>
    <xdr:from>
      <xdr:col>2</xdr:col>
      <xdr:colOff>247650</xdr:colOff>
      <xdr:row>47</xdr:row>
      <xdr:rowOff>152400</xdr:rowOff>
    </xdr:from>
    <xdr:to>
      <xdr:col>5</xdr:col>
      <xdr:colOff>390525</xdr:colOff>
      <xdr:row>50</xdr:row>
      <xdr:rowOff>57150</xdr:rowOff>
    </xdr:to>
    <xdr:sp macro="" textlink="">
      <xdr:nvSpPr>
        <xdr:cNvPr id="137455" name="Text Box 1263"/>
        <xdr:cNvSpPr txBox="1">
          <a:spLocks noChangeArrowheads="1"/>
        </xdr:cNvSpPr>
      </xdr:nvSpPr>
      <xdr:spPr bwMode="auto">
        <a:xfrm>
          <a:off x="1466850" y="7600950"/>
          <a:ext cx="1971675" cy="39052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200" b="1" i="0" u="none" strike="noStrike" baseline="0">
              <a:solidFill>
                <a:srgbClr val="000000"/>
              </a:solidFill>
              <a:latin typeface="Arial"/>
              <a:cs typeface="Arial"/>
            </a:rPr>
            <a:t>Section A-A</a:t>
          </a:r>
        </a:p>
      </xdr:txBody>
    </xdr:sp>
    <xdr:clientData/>
  </xdr:twoCellAnchor>
  <xdr:twoCellAnchor>
    <xdr:from>
      <xdr:col>11</xdr:col>
      <xdr:colOff>47625</xdr:colOff>
      <xdr:row>47</xdr:row>
      <xdr:rowOff>142875</xdr:rowOff>
    </xdr:from>
    <xdr:to>
      <xdr:col>14</xdr:col>
      <xdr:colOff>190500</xdr:colOff>
      <xdr:row>50</xdr:row>
      <xdr:rowOff>47625</xdr:rowOff>
    </xdr:to>
    <xdr:sp macro="" textlink="">
      <xdr:nvSpPr>
        <xdr:cNvPr id="137456" name="Text Box 1264"/>
        <xdr:cNvSpPr txBox="1">
          <a:spLocks noChangeArrowheads="1"/>
        </xdr:cNvSpPr>
      </xdr:nvSpPr>
      <xdr:spPr bwMode="auto">
        <a:xfrm>
          <a:off x="6753225" y="7591425"/>
          <a:ext cx="1971675" cy="39052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200" b="1" i="0" u="none" strike="noStrike" baseline="0">
              <a:solidFill>
                <a:srgbClr val="000000"/>
              </a:solidFill>
              <a:latin typeface="Arial"/>
              <a:cs typeface="Arial"/>
            </a:rPr>
            <a:t>Section B-B</a:t>
          </a:r>
        </a:p>
      </xdr:txBody>
    </xdr:sp>
    <xdr:clientData/>
  </xdr:twoCellAnchor>
  <xdr:twoCellAnchor>
    <xdr:from>
      <xdr:col>14</xdr:col>
      <xdr:colOff>542925</xdr:colOff>
      <xdr:row>40</xdr:row>
      <xdr:rowOff>152400</xdr:rowOff>
    </xdr:from>
    <xdr:to>
      <xdr:col>14</xdr:col>
      <xdr:colOff>542925</xdr:colOff>
      <xdr:row>42</xdr:row>
      <xdr:rowOff>95250</xdr:rowOff>
    </xdr:to>
    <xdr:sp macro="" textlink="">
      <xdr:nvSpPr>
        <xdr:cNvPr id="12395" name="Line 1265"/>
        <xdr:cNvSpPr>
          <a:spLocks noChangeShapeType="1"/>
        </xdr:cNvSpPr>
      </xdr:nvSpPr>
      <xdr:spPr bwMode="auto">
        <a:xfrm>
          <a:off x="9077325" y="6953250"/>
          <a:ext cx="0" cy="266700"/>
        </a:xfrm>
        <a:prstGeom prst="line">
          <a:avLst/>
        </a:prstGeom>
        <a:noFill/>
        <a:ln w="9525">
          <a:solidFill>
            <a:srgbClr val="000000"/>
          </a:solidFill>
          <a:round/>
          <a:headEnd/>
          <a:tailEnd/>
        </a:ln>
      </xdr:spPr>
    </xdr:sp>
    <xdr:clientData/>
  </xdr:twoCellAnchor>
  <xdr:twoCellAnchor>
    <xdr:from>
      <xdr:col>15</xdr:col>
      <xdr:colOff>200025</xdr:colOff>
      <xdr:row>42</xdr:row>
      <xdr:rowOff>95250</xdr:rowOff>
    </xdr:from>
    <xdr:to>
      <xdr:col>15</xdr:col>
      <xdr:colOff>200025</xdr:colOff>
      <xdr:row>43</xdr:row>
      <xdr:rowOff>133350</xdr:rowOff>
    </xdr:to>
    <xdr:sp macro="" textlink="">
      <xdr:nvSpPr>
        <xdr:cNvPr id="12396" name="Line 1266"/>
        <xdr:cNvSpPr>
          <a:spLocks noChangeShapeType="1"/>
        </xdr:cNvSpPr>
      </xdr:nvSpPr>
      <xdr:spPr bwMode="auto">
        <a:xfrm rot="-5400000">
          <a:off x="9244012" y="7319963"/>
          <a:ext cx="200025" cy="0"/>
        </a:xfrm>
        <a:prstGeom prst="line">
          <a:avLst/>
        </a:prstGeom>
        <a:noFill/>
        <a:ln w="9525">
          <a:solidFill>
            <a:srgbClr val="000000"/>
          </a:solidFill>
          <a:prstDash val="sysDot"/>
          <a:round/>
          <a:headEnd/>
          <a:tailEnd/>
        </a:ln>
      </xdr:spPr>
    </xdr:sp>
    <xdr:clientData/>
  </xdr:twoCellAnchor>
  <xdr:twoCellAnchor>
    <xdr:from>
      <xdr:col>5</xdr:col>
      <xdr:colOff>85725</xdr:colOff>
      <xdr:row>19</xdr:row>
      <xdr:rowOff>47625</xdr:rowOff>
    </xdr:from>
    <xdr:to>
      <xdr:col>6</xdr:col>
      <xdr:colOff>85725</xdr:colOff>
      <xdr:row>21</xdr:row>
      <xdr:rowOff>142875</xdr:rowOff>
    </xdr:to>
    <xdr:sp macro="" textlink="">
      <xdr:nvSpPr>
        <xdr:cNvPr id="137459" name="Text Box 1267"/>
        <xdr:cNvSpPr txBox="1">
          <a:spLocks noChangeArrowheads="1"/>
        </xdr:cNvSpPr>
      </xdr:nvSpPr>
      <xdr:spPr bwMode="auto">
        <a:xfrm>
          <a:off x="3133725" y="3448050"/>
          <a:ext cx="609600" cy="419100"/>
        </a:xfrm>
        <a:prstGeom prst="rect">
          <a:avLst/>
        </a:prstGeom>
        <a:noFill/>
        <a:ln>
          <a:noFill/>
        </a:ln>
        <a:extLst/>
      </xdr:spPr>
      <xdr:txBody>
        <a:bodyPr vertOverflow="clip" wrap="square" lIns="54864" tIns="41148" rIns="54864" bIns="0" anchor="t" upright="1"/>
        <a:lstStyle/>
        <a:p>
          <a:pPr algn="ctr" rtl="0">
            <a:defRPr sz="1000"/>
          </a:pPr>
          <a:r>
            <a:rPr lang="en-US" sz="2400" b="1" i="0" u="none" strike="noStrike" baseline="0">
              <a:solidFill>
                <a:srgbClr val="000000"/>
              </a:solidFill>
              <a:latin typeface="Arial"/>
              <a:cs typeface="Arial"/>
            </a:rPr>
            <a:t>B</a:t>
          </a:r>
        </a:p>
      </xdr:txBody>
    </xdr:sp>
    <xdr:clientData/>
  </xdr:twoCellAnchor>
  <xdr:twoCellAnchor>
    <xdr:from>
      <xdr:col>12</xdr:col>
      <xdr:colOff>200025</xdr:colOff>
      <xdr:row>1</xdr:row>
      <xdr:rowOff>161925</xdr:rowOff>
    </xdr:from>
    <xdr:to>
      <xdr:col>12</xdr:col>
      <xdr:colOff>200025</xdr:colOff>
      <xdr:row>4</xdr:row>
      <xdr:rowOff>28575</xdr:rowOff>
    </xdr:to>
    <xdr:sp macro="" textlink="">
      <xdr:nvSpPr>
        <xdr:cNvPr id="12398" name="Line 1268"/>
        <xdr:cNvSpPr>
          <a:spLocks noChangeShapeType="1"/>
        </xdr:cNvSpPr>
      </xdr:nvSpPr>
      <xdr:spPr bwMode="auto">
        <a:xfrm>
          <a:off x="7515225" y="514350"/>
          <a:ext cx="0" cy="485775"/>
        </a:xfrm>
        <a:prstGeom prst="line">
          <a:avLst/>
        </a:prstGeom>
        <a:noFill/>
        <a:ln w="25400">
          <a:solidFill>
            <a:srgbClr val="000000"/>
          </a:solidFill>
          <a:round/>
          <a:headEnd/>
          <a:tailEnd type="triangle" w="lg" len="lg"/>
        </a:ln>
      </xdr:spPr>
    </xdr:sp>
    <xdr:clientData/>
  </xdr:twoCellAnchor>
  <xdr:twoCellAnchor>
    <xdr:from>
      <xdr:col>11</xdr:col>
      <xdr:colOff>504825</xdr:colOff>
      <xdr:row>4</xdr:row>
      <xdr:rowOff>47625</xdr:rowOff>
    </xdr:from>
    <xdr:to>
      <xdr:col>12</xdr:col>
      <xdr:colOff>504825</xdr:colOff>
      <xdr:row>6</xdr:row>
      <xdr:rowOff>142875</xdr:rowOff>
    </xdr:to>
    <xdr:sp macro="" textlink="">
      <xdr:nvSpPr>
        <xdr:cNvPr id="137461" name="Text Box 1269"/>
        <xdr:cNvSpPr txBox="1">
          <a:spLocks noChangeArrowheads="1"/>
        </xdr:cNvSpPr>
      </xdr:nvSpPr>
      <xdr:spPr bwMode="auto">
        <a:xfrm>
          <a:off x="7210425" y="1019175"/>
          <a:ext cx="609600" cy="419100"/>
        </a:xfrm>
        <a:prstGeom prst="rect">
          <a:avLst/>
        </a:prstGeom>
        <a:noFill/>
        <a:ln>
          <a:noFill/>
        </a:ln>
        <a:extLst/>
      </xdr:spPr>
      <xdr:txBody>
        <a:bodyPr vertOverflow="clip" wrap="square" lIns="54864" tIns="41148" rIns="54864" bIns="0" anchor="t" upright="1"/>
        <a:lstStyle/>
        <a:p>
          <a:pPr algn="ctr" rtl="0">
            <a:defRPr sz="1000"/>
          </a:pPr>
          <a:r>
            <a:rPr lang="en-US" sz="2400" b="1" i="0" u="none" strike="noStrike" baseline="0">
              <a:solidFill>
                <a:srgbClr val="000000"/>
              </a:solidFill>
              <a:latin typeface="Arial"/>
              <a:cs typeface="Arial"/>
            </a:rPr>
            <a:t>B</a:t>
          </a:r>
        </a:p>
      </xdr:txBody>
    </xdr:sp>
    <xdr:clientData/>
  </xdr:twoCellAnchor>
  <xdr:twoCellAnchor>
    <xdr:from>
      <xdr:col>0</xdr:col>
      <xdr:colOff>180975</xdr:colOff>
      <xdr:row>30</xdr:row>
      <xdr:rowOff>19050</xdr:rowOff>
    </xdr:from>
    <xdr:to>
      <xdr:col>3</xdr:col>
      <xdr:colOff>66675</xdr:colOff>
      <xdr:row>36</xdr:row>
      <xdr:rowOff>28575</xdr:rowOff>
    </xdr:to>
    <xdr:sp macro="" textlink="">
      <xdr:nvSpPr>
        <xdr:cNvPr id="137462" name="AutoShape 1270"/>
        <xdr:cNvSpPr>
          <a:spLocks/>
        </xdr:cNvSpPr>
      </xdr:nvSpPr>
      <xdr:spPr bwMode="auto">
        <a:xfrm>
          <a:off x="180975" y="4714875"/>
          <a:ext cx="1714500" cy="981075"/>
        </a:xfrm>
        <a:prstGeom prst="accentCallout1">
          <a:avLst>
            <a:gd name="adj1" fmla="val 11653"/>
            <a:gd name="adj2" fmla="val 104444"/>
            <a:gd name="adj3" fmla="val -137866"/>
            <a:gd name="adj4" fmla="val 155000"/>
          </a:avLst>
        </a:prstGeom>
        <a:solidFill>
          <a:srgbClr val="FFFFFF"/>
        </a:solidFill>
        <a:ln w="19050">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Pack Cover Attached to Module Tray</a:t>
          </a:r>
        </a:p>
      </xdr:txBody>
    </xdr:sp>
    <xdr:clientData/>
  </xdr:twoCellAnchor>
  <xdr:twoCellAnchor>
    <xdr:from>
      <xdr:col>10</xdr:col>
      <xdr:colOff>25400</xdr:colOff>
      <xdr:row>30</xdr:row>
      <xdr:rowOff>114300</xdr:rowOff>
    </xdr:from>
    <xdr:to>
      <xdr:col>13</xdr:col>
      <xdr:colOff>539750</xdr:colOff>
      <xdr:row>35</xdr:row>
      <xdr:rowOff>57150</xdr:rowOff>
    </xdr:to>
    <xdr:sp macro="" textlink="">
      <xdr:nvSpPr>
        <xdr:cNvPr id="137463" name="AutoShape 1271"/>
        <xdr:cNvSpPr>
          <a:spLocks/>
        </xdr:cNvSpPr>
      </xdr:nvSpPr>
      <xdr:spPr bwMode="auto">
        <a:xfrm>
          <a:off x="6057900" y="5210175"/>
          <a:ext cx="2324100" cy="736600"/>
        </a:xfrm>
        <a:prstGeom prst="accentCallout1">
          <a:avLst>
            <a:gd name="adj1" fmla="val 15190"/>
            <a:gd name="adj2" fmla="val 103250"/>
            <a:gd name="adj3" fmla="val 162023"/>
            <a:gd name="adj4" fmla="val 112602"/>
          </a:avLst>
        </a:prstGeom>
        <a:solidFill>
          <a:srgbClr val="FFFFFF"/>
        </a:solidFill>
        <a:ln w="19050">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Compression Plate and Straps</a:t>
          </a:r>
        </a:p>
      </xdr:txBody>
    </xdr:sp>
    <xdr:clientData/>
  </xdr:twoCellAnchor>
  <xdr:twoCellAnchor>
    <xdr:from>
      <xdr:col>13</xdr:col>
      <xdr:colOff>590550</xdr:colOff>
      <xdr:row>32</xdr:row>
      <xdr:rowOff>47625</xdr:rowOff>
    </xdr:from>
    <xdr:to>
      <xdr:col>15</xdr:col>
      <xdr:colOff>228600</xdr:colOff>
      <xdr:row>39</xdr:row>
      <xdr:rowOff>152400</xdr:rowOff>
    </xdr:to>
    <xdr:sp macro="" textlink="">
      <xdr:nvSpPr>
        <xdr:cNvPr id="12402" name="Line 1272"/>
        <xdr:cNvSpPr>
          <a:spLocks noChangeShapeType="1"/>
        </xdr:cNvSpPr>
      </xdr:nvSpPr>
      <xdr:spPr bwMode="auto">
        <a:xfrm>
          <a:off x="8515350" y="5553075"/>
          <a:ext cx="857250" cy="1238250"/>
        </a:xfrm>
        <a:prstGeom prst="line">
          <a:avLst/>
        </a:prstGeom>
        <a:noFill/>
        <a:ln w="19050">
          <a:solidFill>
            <a:srgbClr val="000000"/>
          </a:solidFill>
          <a:round/>
          <a:headEnd/>
          <a:tailEnd/>
        </a:ln>
      </xdr:spPr>
    </xdr:sp>
    <xdr:clientData/>
  </xdr:twoCellAnchor>
  <xdr:twoCellAnchor>
    <xdr:from>
      <xdr:col>1</xdr:col>
      <xdr:colOff>333375</xdr:colOff>
      <xdr:row>7</xdr:row>
      <xdr:rowOff>0</xdr:rowOff>
    </xdr:from>
    <xdr:to>
      <xdr:col>3</xdr:col>
      <xdr:colOff>352425</xdr:colOff>
      <xdr:row>10</xdr:row>
      <xdr:rowOff>152400</xdr:rowOff>
    </xdr:to>
    <xdr:sp macro="" textlink="">
      <xdr:nvSpPr>
        <xdr:cNvPr id="137465" name="AutoShape 1273"/>
        <xdr:cNvSpPr>
          <a:spLocks/>
        </xdr:cNvSpPr>
      </xdr:nvSpPr>
      <xdr:spPr bwMode="auto">
        <a:xfrm>
          <a:off x="942975" y="971550"/>
          <a:ext cx="1238250" cy="638175"/>
        </a:xfrm>
        <a:prstGeom prst="accentCallout1">
          <a:avLst>
            <a:gd name="adj1" fmla="val 17912"/>
            <a:gd name="adj2" fmla="val 106153"/>
            <a:gd name="adj3" fmla="val 210449"/>
            <a:gd name="adj4" fmla="val 237694"/>
          </a:avLst>
        </a:prstGeom>
        <a:solidFill>
          <a:srgbClr val="FFFFFF"/>
        </a:solidFill>
        <a:ln w="19050">
          <a:solidFill>
            <a:srgbClr val="000000"/>
          </a:solidFill>
          <a:miter lim="800000"/>
          <a:headEnd/>
          <a:tailEnd/>
        </a:ln>
      </xdr:spPr>
      <xdr:txBody>
        <a:bodyPr vertOverflow="clip" wrap="square" lIns="45720" tIns="41148" rIns="45720" bIns="0" anchor="t" upright="1"/>
        <a:lstStyle/>
        <a:p>
          <a:pPr algn="ctr" rtl="0">
            <a:defRPr sz="1000"/>
          </a:pPr>
          <a:r>
            <a:rPr lang="en-US" sz="2000" b="1" i="0" u="none" strike="noStrike" baseline="0">
              <a:solidFill>
                <a:srgbClr val="000000"/>
              </a:solidFill>
              <a:latin typeface="Arial"/>
              <a:cs typeface="Arial"/>
            </a:rPr>
            <a:t>Coolant  Outlet</a:t>
          </a:r>
        </a:p>
      </xdr:txBody>
    </xdr:sp>
    <xdr:clientData/>
  </xdr:twoCellAnchor>
  <xdr:twoCellAnchor>
    <xdr:from>
      <xdr:col>6</xdr:col>
      <xdr:colOff>495300</xdr:colOff>
      <xdr:row>47</xdr:row>
      <xdr:rowOff>133350</xdr:rowOff>
    </xdr:from>
    <xdr:to>
      <xdr:col>8</xdr:col>
      <xdr:colOff>504825</xdr:colOff>
      <xdr:row>51</xdr:row>
      <xdr:rowOff>123825</xdr:rowOff>
    </xdr:to>
    <xdr:sp macro="" textlink="">
      <xdr:nvSpPr>
        <xdr:cNvPr id="137466" name="AutoShape 1274"/>
        <xdr:cNvSpPr>
          <a:spLocks/>
        </xdr:cNvSpPr>
      </xdr:nvSpPr>
      <xdr:spPr bwMode="auto">
        <a:xfrm>
          <a:off x="4152900" y="7581900"/>
          <a:ext cx="1228725" cy="638175"/>
        </a:xfrm>
        <a:prstGeom prst="accentCallout1">
          <a:avLst>
            <a:gd name="adj1" fmla="val 17912"/>
            <a:gd name="adj2" fmla="val 106204"/>
            <a:gd name="adj3" fmla="val -10449"/>
            <a:gd name="adj4" fmla="val 133333"/>
          </a:avLst>
        </a:prstGeom>
        <a:solidFill>
          <a:srgbClr val="FFFFFF"/>
        </a:solidFill>
        <a:ln w="19050">
          <a:solidFill>
            <a:srgbClr val="000000"/>
          </a:solidFill>
          <a:miter lim="800000"/>
          <a:headEnd/>
          <a:tailEnd/>
        </a:ln>
      </xdr:spPr>
      <xdr:txBody>
        <a:bodyPr vertOverflow="clip" wrap="square" lIns="45720" tIns="41148" rIns="45720" bIns="0" anchor="t" upright="1"/>
        <a:lstStyle/>
        <a:p>
          <a:pPr algn="ctr" rtl="0">
            <a:defRPr sz="1000"/>
          </a:pPr>
          <a:r>
            <a:rPr lang="en-US" sz="2000" b="1" i="0" u="none" strike="noStrike" baseline="0">
              <a:solidFill>
                <a:srgbClr val="000000"/>
              </a:solidFill>
              <a:latin typeface="Arial"/>
              <a:cs typeface="Arial"/>
            </a:rPr>
            <a:t>Coolant Inlet</a:t>
          </a:r>
        </a:p>
      </xdr:txBody>
    </xdr:sp>
    <xdr:clientData/>
  </xdr:twoCellAnchor>
  <xdr:twoCellAnchor>
    <xdr:from>
      <xdr:col>5</xdr:col>
      <xdr:colOff>57150</xdr:colOff>
      <xdr:row>23</xdr:row>
      <xdr:rowOff>95250</xdr:rowOff>
    </xdr:from>
    <xdr:to>
      <xdr:col>5</xdr:col>
      <xdr:colOff>228600</xdr:colOff>
      <xdr:row>24</xdr:row>
      <xdr:rowOff>95250</xdr:rowOff>
    </xdr:to>
    <xdr:grpSp>
      <xdr:nvGrpSpPr>
        <xdr:cNvPr id="12405" name="Group 1275"/>
        <xdr:cNvGrpSpPr>
          <a:grpSpLocks/>
        </xdr:cNvGrpSpPr>
      </xdr:nvGrpSpPr>
      <xdr:grpSpPr bwMode="auto">
        <a:xfrm>
          <a:off x="3105150" y="4143375"/>
          <a:ext cx="171450" cy="161925"/>
          <a:chOff x="295" y="443"/>
          <a:chExt cx="18" cy="17"/>
        </a:xfrm>
      </xdr:grpSpPr>
      <xdr:sp macro="" textlink="">
        <xdr:nvSpPr>
          <xdr:cNvPr id="12671" name="Line 1276"/>
          <xdr:cNvSpPr>
            <a:spLocks noChangeShapeType="1"/>
          </xdr:cNvSpPr>
        </xdr:nvSpPr>
        <xdr:spPr bwMode="auto">
          <a:xfrm>
            <a:off x="304" y="443"/>
            <a:ext cx="0" cy="17"/>
          </a:xfrm>
          <a:prstGeom prst="line">
            <a:avLst/>
          </a:prstGeom>
          <a:noFill/>
          <a:ln w="38100">
            <a:solidFill>
              <a:srgbClr val="000000"/>
            </a:solidFill>
            <a:round/>
            <a:headEnd/>
            <a:tailEnd/>
          </a:ln>
        </xdr:spPr>
      </xdr:sp>
      <xdr:sp macro="" textlink="">
        <xdr:nvSpPr>
          <xdr:cNvPr id="12672" name="Line 1277"/>
          <xdr:cNvSpPr>
            <a:spLocks noChangeShapeType="1"/>
          </xdr:cNvSpPr>
        </xdr:nvSpPr>
        <xdr:spPr bwMode="auto">
          <a:xfrm>
            <a:off x="295" y="451"/>
            <a:ext cx="18" cy="0"/>
          </a:xfrm>
          <a:prstGeom prst="line">
            <a:avLst/>
          </a:prstGeom>
          <a:noFill/>
          <a:ln w="38100">
            <a:solidFill>
              <a:srgbClr val="000000"/>
            </a:solidFill>
            <a:round/>
            <a:headEnd/>
            <a:tailEnd/>
          </a:ln>
        </xdr:spPr>
      </xdr:sp>
    </xdr:grpSp>
    <xdr:clientData/>
  </xdr:twoCellAnchor>
  <xdr:twoCellAnchor>
    <xdr:from>
      <xdr:col>3</xdr:col>
      <xdr:colOff>133350</xdr:colOff>
      <xdr:row>30</xdr:row>
      <xdr:rowOff>95250</xdr:rowOff>
    </xdr:from>
    <xdr:to>
      <xdr:col>3</xdr:col>
      <xdr:colOff>504825</xdr:colOff>
      <xdr:row>45</xdr:row>
      <xdr:rowOff>152400</xdr:rowOff>
    </xdr:to>
    <xdr:sp macro="" textlink="">
      <xdr:nvSpPr>
        <xdr:cNvPr id="12406" name="Line 1278"/>
        <xdr:cNvSpPr>
          <a:spLocks noChangeShapeType="1"/>
        </xdr:cNvSpPr>
      </xdr:nvSpPr>
      <xdr:spPr bwMode="auto">
        <a:xfrm>
          <a:off x="1962150" y="5276850"/>
          <a:ext cx="371475" cy="2486025"/>
        </a:xfrm>
        <a:prstGeom prst="line">
          <a:avLst/>
        </a:prstGeom>
        <a:noFill/>
        <a:ln w="19050">
          <a:solidFill>
            <a:srgbClr val="000000"/>
          </a:solidFill>
          <a:round/>
          <a:headEnd/>
          <a:tailEnd/>
        </a:ln>
      </xdr:spPr>
    </xdr:sp>
    <xdr:clientData/>
  </xdr:twoCellAnchor>
  <xdr:twoCellAnchor>
    <xdr:from>
      <xdr:col>4</xdr:col>
      <xdr:colOff>266700</xdr:colOff>
      <xdr:row>32</xdr:row>
      <xdr:rowOff>152400</xdr:rowOff>
    </xdr:from>
    <xdr:to>
      <xdr:col>7</xdr:col>
      <xdr:colOff>476250</xdr:colOff>
      <xdr:row>37</xdr:row>
      <xdr:rowOff>104775</xdr:rowOff>
    </xdr:to>
    <xdr:sp macro="" textlink="">
      <xdr:nvSpPr>
        <xdr:cNvPr id="137471" name="AutoShape 1279"/>
        <xdr:cNvSpPr>
          <a:spLocks/>
        </xdr:cNvSpPr>
      </xdr:nvSpPr>
      <xdr:spPr bwMode="auto">
        <a:xfrm>
          <a:off x="2705100" y="5172075"/>
          <a:ext cx="2038350" cy="762000"/>
        </a:xfrm>
        <a:prstGeom prst="accentCallout1">
          <a:avLst>
            <a:gd name="adj1" fmla="val 15000"/>
            <a:gd name="adj2" fmla="val -3736"/>
            <a:gd name="adj3" fmla="val 145000"/>
            <a:gd name="adj4" fmla="val -9815"/>
          </a:avLst>
        </a:prstGeom>
        <a:solidFill>
          <a:srgbClr val="FFFFFF"/>
        </a:solidFill>
        <a:ln w="19050">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Polymer Foam to Block Flow</a:t>
          </a:r>
        </a:p>
      </xdr:txBody>
    </xdr:sp>
    <xdr:clientData/>
  </xdr:twoCellAnchor>
  <xdr:twoCellAnchor>
    <xdr:from>
      <xdr:col>4</xdr:col>
      <xdr:colOff>333375</xdr:colOff>
      <xdr:row>13</xdr:row>
      <xdr:rowOff>104775</xdr:rowOff>
    </xdr:from>
    <xdr:to>
      <xdr:col>8</xdr:col>
      <xdr:colOff>333375</xdr:colOff>
      <xdr:row>21</xdr:row>
      <xdr:rowOff>114300</xdr:rowOff>
    </xdr:to>
    <xdr:sp macro="" textlink="">
      <xdr:nvSpPr>
        <xdr:cNvPr id="12408" name="Freeform 1280"/>
        <xdr:cNvSpPr>
          <a:spLocks/>
        </xdr:cNvSpPr>
      </xdr:nvSpPr>
      <xdr:spPr bwMode="auto">
        <a:xfrm>
          <a:off x="2771775" y="2533650"/>
          <a:ext cx="2438400" cy="1304925"/>
        </a:xfrm>
        <a:custGeom>
          <a:avLst/>
          <a:gdLst>
            <a:gd name="T0" fmla="*/ 0 w 256"/>
            <a:gd name="T1" fmla="*/ 2147483647 h 137"/>
            <a:gd name="T2" fmla="*/ 2147483647 w 256"/>
            <a:gd name="T3" fmla="*/ 2147483647 h 137"/>
            <a:gd name="T4" fmla="*/ 2147483647 w 256"/>
            <a:gd name="T5" fmla="*/ 2147483647 h 137"/>
            <a:gd name="T6" fmla="*/ 2147483647 w 256"/>
            <a:gd name="T7" fmla="*/ 0 h 137"/>
            <a:gd name="T8" fmla="*/ 0 w 256"/>
            <a:gd name="T9" fmla="*/ 2147483647 h 137"/>
            <a:gd name="T10" fmla="*/ 0 60000 65536"/>
            <a:gd name="T11" fmla="*/ 0 60000 65536"/>
            <a:gd name="T12" fmla="*/ 0 60000 65536"/>
            <a:gd name="T13" fmla="*/ 0 60000 65536"/>
            <a:gd name="T14" fmla="*/ 0 60000 65536"/>
            <a:gd name="T15" fmla="*/ 0 w 256"/>
            <a:gd name="T16" fmla="*/ 0 h 137"/>
            <a:gd name="T17" fmla="*/ 256 w 256"/>
            <a:gd name="T18" fmla="*/ 137 h 137"/>
          </a:gdLst>
          <a:ahLst/>
          <a:cxnLst>
            <a:cxn ang="T10">
              <a:pos x="T0" y="T1"/>
            </a:cxn>
            <a:cxn ang="T11">
              <a:pos x="T2" y="T3"/>
            </a:cxn>
            <a:cxn ang="T12">
              <a:pos x="T4" y="T5"/>
            </a:cxn>
            <a:cxn ang="T13">
              <a:pos x="T6" y="T7"/>
            </a:cxn>
            <a:cxn ang="T14">
              <a:pos x="T8" y="T9"/>
            </a:cxn>
          </a:cxnLst>
          <a:rect l="T15" t="T16" r="T17" b="T18"/>
          <a:pathLst>
            <a:path w="256" h="137">
              <a:moveTo>
                <a:pt x="0" y="16"/>
              </a:moveTo>
              <a:lnTo>
                <a:pt x="231" y="137"/>
              </a:lnTo>
              <a:lnTo>
                <a:pt x="256" y="122"/>
              </a:lnTo>
              <a:lnTo>
                <a:pt x="28" y="0"/>
              </a:lnTo>
              <a:lnTo>
                <a:pt x="0" y="16"/>
              </a:lnTo>
              <a:close/>
            </a:path>
          </a:pathLst>
        </a:custGeom>
        <a:solidFill>
          <a:srgbClr val="FFFFFF"/>
        </a:solidFill>
        <a:ln w="9525">
          <a:solidFill>
            <a:srgbClr val="000000"/>
          </a:solidFill>
          <a:round/>
          <a:headEnd/>
          <a:tailEnd/>
        </a:ln>
      </xdr:spPr>
    </xdr:sp>
    <xdr:clientData/>
  </xdr:twoCellAnchor>
  <xdr:twoCellAnchor>
    <xdr:from>
      <xdr:col>8</xdr:col>
      <xdr:colOff>95250</xdr:colOff>
      <xdr:row>20</xdr:row>
      <xdr:rowOff>19050</xdr:rowOff>
    </xdr:from>
    <xdr:to>
      <xdr:col>8</xdr:col>
      <xdr:colOff>333375</xdr:colOff>
      <xdr:row>21</xdr:row>
      <xdr:rowOff>114300</xdr:rowOff>
    </xdr:to>
    <xdr:sp macro="" textlink="">
      <xdr:nvSpPr>
        <xdr:cNvPr id="12409" name="Freeform 1281"/>
        <xdr:cNvSpPr>
          <a:spLocks/>
        </xdr:cNvSpPr>
      </xdr:nvSpPr>
      <xdr:spPr bwMode="auto">
        <a:xfrm>
          <a:off x="4972050" y="3581400"/>
          <a:ext cx="238125" cy="257175"/>
        </a:xfrm>
        <a:custGeom>
          <a:avLst/>
          <a:gdLst>
            <a:gd name="T0" fmla="*/ 0 w 25"/>
            <a:gd name="T1" fmla="*/ 2147483647 h 27"/>
            <a:gd name="T2" fmla="*/ 0 w 25"/>
            <a:gd name="T3" fmla="*/ 2147483647 h 27"/>
            <a:gd name="T4" fmla="*/ 0 w 25"/>
            <a:gd name="T5" fmla="*/ 2147483647 h 27"/>
            <a:gd name="T6" fmla="*/ 0 w 25"/>
            <a:gd name="T7" fmla="*/ 2147483647 h 27"/>
            <a:gd name="T8" fmla="*/ 2147483647 w 25"/>
            <a:gd name="T9" fmla="*/ 0 h 27"/>
            <a:gd name="T10" fmla="*/ 2147483647 w 25"/>
            <a:gd name="T11" fmla="*/ 2147483647 h 27"/>
            <a:gd name="T12" fmla="*/ 2147483647 w 25"/>
            <a:gd name="T13" fmla="*/ 2147483647 h 27"/>
            <a:gd name="T14" fmla="*/ 2147483647 w 25"/>
            <a:gd name="T15" fmla="*/ 2147483647 h 27"/>
            <a:gd name="T16" fmla="*/ 0 w 25"/>
            <a:gd name="T17" fmla="*/ 2147483647 h 2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5"/>
            <a:gd name="T28" fmla="*/ 0 h 27"/>
            <a:gd name="T29" fmla="*/ 25 w 25"/>
            <a:gd name="T30" fmla="*/ 27 h 2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5" h="27">
              <a:moveTo>
                <a:pt x="0" y="27"/>
              </a:moveTo>
              <a:lnTo>
                <a:pt x="0" y="22"/>
              </a:lnTo>
              <a:lnTo>
                <a:pt x="0" y="17"/>
              </a:lnTo>
              <a:lnTo>
                <a:pt x="0" y="14"/>
              </a:lnTo>
              <a:lnTo>
                <a:pt x="20" y="0"/>
              </a:lnTo>
              <a:lnTo>
                <a:pt x="23" y="2"/>
              </a:lnTo>
              <a:lnTo>
                <a:pt x="25" y="6"/>
              </a:lnTo>
              <a:lnTo>
                <a:pt x="25" y="11"/>
              </a:lnTo>
              <a:lnTo>
                <a:pt x="0" y="27"/>
              </a:lnTo>
              <a:close/>
            </a:path>
          </a:pathLst>
        </a:custGeom>
        <a:solidFill>
          <a:srgbClr val="CCFFCC"/>
        </a:solidFill>
        <a:ln w="9525">
          <a:solidFill>
            <a:srgbClr val="000000"/>
          </a:solidFill>
          <a:round/>
          <a:headEnd/>
          <a:tailEnd/>
        </a:ln>
      </xdr:spPr>
    </xdr:sp>
    <xdr:clientData/>
  </xdr:twoCellAnchor>
  <xdr:twoCellAnchor>
    <xdr:from>
      <xdr:col>4</xdr:col>
      <xdr:colOff>390525</xdr:colOff>
      <xdr:row>13</xdr:row>
      <xdr:rowOff>28575</xdr:rowOff>
    </xdr:from>
    <xdr:to>
      <xdr:col>8</xdr:col>
      <xdr:colOff>285750</xdr:colOff>
      <xdr:row>20</xdr:row>
      <xdr:rowOff>142875</xdr:rowOff>
    </xdr:to>
    <xdr:sp macro="" textlink="">
      <xdr:nvSpPr>
        <xdr:cNvPr id="12410" name="Freeform 1282"/>
        <xdr:cNvSpPr>
          <a:spLocks/>
        </xdr:cNvSpPr>
      </xdr:nvSpPr>
      <xdr:spPr bwMode="auto">
        <a:xfrm>
          <a:off x="2828925" y="2457450"/>
          <a:ext cx="2333625" cy="1247775"/>
        </a:xfrm>
        <a:custGeom>
          <a:avLst/>
          <a:gdLst>
            <a:gd name="T0" fmla="*/ 0 w 245"/>
            <a:gd name="T1" fmla="*/ 2147483647 h 131"/>
            <a:gd name="T2" fmla="*/ 2147483647 w 245"/>
            <a:gd name="T3" fmla="*/ 2147483647 h 131"/>
            <a:gd name="T4" fmla="*/ 2147483647 w 245"/>
            <a:gd name="T5" fmla="*/ 2147483647 h 131"/>
            <a:gd name="T6" fmla="*/ 2147483647 w 245"/>
            <a:gd name="T7" fmla="*/ 2147483647 h 131"/>
            <a:gd name="T8" fmla="*/ 2147483647 w 245"/>
            <a:gd name="T9" fmla="*/ 2147483647 h 131"/>
            <a:gd name="T10" fmla="*/ 2147483647 w 245"/>
            <a:gd name="T11" fmla="*/ 2147483647 h 131"/>
            <a:gd name="T12" fmla="*/ 2147483647 w 245"/>
            <a:gd name="T13" fmla="*/ 2147483647 h 131"/>
            <a:gd name="T14" fmla="*/ 2147483647 w 245"/>
            <a:gd name="T15" fmla="*/ 2147483647 h 131"/>
            <a:gd name="T16" fmla="*/ 2147483647 w 245"/>
            <a:gd name="T17" fmla="*/ 2147483647 h 131"/>
            <a:gd name="T18" fmla="*/ 2147483647 w 245"/>
            <a:gd name="T19" fmla="*/ 2147483647 h 131"/>
            <a:gd name="T20" fmla="*/ 2147483647 w 245"/>
            <a:gd name="T21" fmla="*/ 2147483647 h 131"/>
            <a:gd name="T22" fmla="*/ 2147483647 w 245"/>
            <a:gd name="T23" fmla="*/ 2147483647 h 131"/>
            <a:gd name="T24" fmla="*/ 2147483647 w 245"/>
            <a:gd name="T25" fmla="*/ 2147483647 h 131"/>
            <a:gd name="T26" fmla="*/ 2147483647 w 245"/>
            <a:gd name="T27" fmla="*/ 2147483647 h 131"/>
            <a:gd name="T28" fmla="*/ 2147483647 w 245"/>
            <a:gd name="T29" fmla="*/ 0 h 131"/>
            <a:gd name="T30" fmla="*/ 2147483647 w 245"/>
            <a:gd name="T31" fmla="*/ 0 h 131"/>
            <a:gd name="T32" fmla="*/ 2147483647 w 245"/>
            <a:gd name="T33" fmla="*/ 2147483647 h 131"/>
            <a:gd name="T34" fmla="*/ 2147483647 w 245"/>
            <a:gd name="T35" fmla="*/ 2147483647 h 131"/>
            <a:gd name="T36" fmla="*/ 0 w 245"/>
            <a:gd name="T37" fmla="*/ 2147483647 h 131"/>
            <a:gd name="T38" fmla="*/ 0 w 245"/>
            <a:gd name="T39" fmla="*/ 2147483647 h 131"/>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245"/>
            <a:gd name="T61" fmla="*/ 0 h 131"/>
            <a:gd name="T62" fmla="*/ 245 w 245"/>
            <a:gd name="T63" fmla="*/ 131 h 131"/>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245" h="131">
              <a:moveTo>
                <a:pt x="0" y="13"/>
              </a:moveTo>
              <a:lnTo>
                <a:pt x="4" y="15"/>
              </a:lnTo>
              <a:lnTo>
                <a:pt x="218" y="128"/>
              </a:lnTo>
              <a:lnTo>
                <a:pt x="220" y="129"/>
              </a:lnTo>
              <a:lnTo>
                <a:pt x="226" y="131"/>
              </a:lnTo>
              <a:lnTo>
                <a:pt x="230" y="130"/>
              </a:lnTo>
              <a:lnTo>
                <a:pt x="235" y="127"/>
              </a:lnTo>
              <a:lnTo>
                <a:pt x="239" y="125"/>
              </a:lnTo>
              <a:lnTo>
                <a:pt x="243" y="121"/>
              </a:lnTo>
              <a:lnTo>
                <a:pt x="245" y="119"/>
              </a:lnTo>
              <a:lnTo>
                <a:pt x="244" y="116"/>
              </a:lnTo>
              <a:lnTo>
                <a:pt x="241" y="113"/>
              </a:lnTo>
              <a:lnTo>
                <a:pt x="31" y="4"/>
              </a:lnTo>
              <a:lnTo>
                <a:pt x="25" y="1"/>
              </a:lnTo>
              <a:lnTo>
                <a:pt x="21" y="0"/>
              </a:lnTo>
              <a:lnTo>
                <a:pt x="16" y="0"/>
              </a:lnTo>
              <a:lnTo>
                <a:pt x="9" y="4"/>
              </a:lnTo>
              <a:lnTo>
                <a:pt x="3" y="8"/>
              </a:lnTo>
              <a:lnTo>
                <a:pt x="0" y="11"/>
              </a:lnTo>
              <a:lnTo>
                <a:pt x="0" y="13"/>
              </a:lnTo>
              <a:close/>
            </a:path>
          </a:pathLst>
        </a:custGeom>
        <a:solidFill>
          <a:srgbClr val="CCFFCC"/>
        </a:solidFill>
        <a:ln w="9525">
          <a:solidFill>
            <a:srgbClr val="000000"/>
          </a:solidFill>
          <a:round/>
          <a:headEnd/>
          <a:tailEnd/>
        </a:ln>
      </xdr:spPr>
    </xdr:sp>
    <xdr:clientData/>
  </xdr:twoCellAnchor>
  <xdr:twoCellAnchor>
    <xdr:from>
      <xdr:col>4</xdr:col>
      <xdr:colOff>342900</xdr:colOff>
      <xdr:row>13</xdr:row>
      <xdr:rowOff>142875</xdr:rowOff>
    </xdr:from>
    <xdr:to>
      <xdr:col>8</xdr:col>
      <xdr:colOff>95250</xdr:colOff>
      <xdr:row>21</xdr:row>
      <xdr:rowOff>114300</xdr:rowOff>
    </xdr:to>
    <xdr:sp macro="" textlink="">
      <xdr:nvSpPr>
        <xdr:cNvPr id="12411" name="Freeform 1283"/>
        <xdr:cNvSpPr>
          <a:spLocks/>
        </xdr:cNvSpPr>
      </xdr:nvSpPr>
      <xdr:spPr bwMode="auto">
        <a:xfrm>
          <a:off x="2781300" y="2571750"/>
          <a:ext cx="2190750" cy="1266825"/>
        </a:xfrm>
        <a:custGeom>
          <a:avLst/>
          <a:gdLst>
            <a:gd name="T0" fmla="*/ 2147483647 w 230"/>
            <a:gd name="T1" fmla="*/ 2147483647 h 133"/>
            <a:gd name="T2" fmla="*/ 0 w 230"/>
            <a:gd name="T3" fmla="*/ 2147483647 h 133"/>
            <a:gd name="T4" fmla="*/ 0 w 230"/>
            <a:gd name="T5" fmla="*/ 2147483647 h 133"/>
            <a:gd name="T6" fmla="*/ 2147483647 w 230"/>
            <a:gd name="T7" fmla="*/ 2147483647 h 133"/>
            <a:gd name="T8" fmla="*/ 2147483647 w 230"/>
            <a:gd name="T9" fmla="*/ 2147483647 h 133"/>
            <a:gd name="T10" fmla="*/ 2147483647 w 230"/>
            <a:gd name="T11" fmla="*/ 0 h 133"/>
            <a:gd name="T12" fmla="*/ 2147483647 w 230"/>
            <a:gd name="T13" fmla="*/ 2147483647 h 133"/>
            <a:gd name="T14" fmla="*/ 0 60000 65536"/>
            <a:gd name="T15" fmla="*/ 0 60000 65536"/>
            <a:gd name="T16" fmla="*/ 0 60000 65536"/>
            <a:gd name="T17" fmla="*/ 0 60000 65536"/>
            <a:gd name="T18" fmla="*/ 0 60000 65536"/>
            <a:gd name="T19" fmla="*/ 0 60000 65536"/>
            <a:gd name="T20" fmla="*/ 0 60000 65536"/>
            <a:gd name="T21" fmla="*/ 0 w 230"/>
            <a:gd name="T22" fmla="*/ 0 h 133"/>
            <a:gd name="T23" fmla="*/ 230 w 230"/>
            <a:gd name="T24" fmla="*/ 133 h 13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30" h="133">
              <a:moveTo>
                <a:pt x="2" y="2"/>
              </a:moveTo>
              <a:lnTo>
                <a:pt x="0" y="5"/>
              </a:lnTo>
              <a:lnTo>
                <a:pt x="0" y="12"/>
              </a:lnTo>
              <a:lnTo>
                <a:pt x="230" y="133"/>
              </a:lnTo>
              <a:lnTo>
                <a:pt x="230" y="120"/>
              </a:lnTo>
              <a:lnTo>
                <a:pt x="4" y="0"/>
              </a:lnTo>
              <a:lnTo>
                <a:pt x="2" y="2"/>
              </a:lnTo>
              <a:close/>
            </a:path>
          </a:pathLst>
        </a:custGeom>
        <a:solidFill>
          <a:srgbClr val="CCFFCC"/>
        </a:solidFill>
        <a:ln w="28575" cmpd="sng">
          <a:solidFill>
            <a:srgbClr val="00FFFF"/>
          </a:solidFill>
          <a:round/>
          <a:headEnd/>
          <a:tailEnd/>
        </a:ln>
      </xdr:spPr>
    </xdr:sp>
    <xdr:clientData/>
  </xdr:twoCellAnchor>
  <xdr:twoCellAnchor>
    <xdr:from>
      <xdr:col>6</xdr:col>
      <xdr:colOff>200025</xdr:colOff>
      <xdr:row>16</xdr:row>
      <xdr:rowOff>57150</xdr:rowOff>
    </xdr:from>
    <xdr:to>
      <xdr:col>6</xdr:col>
      <xdr:colOff>476250</xdr:colOff>
      <xdr:row>17</xdr:row>
      <xdr:rowOff>95250</xdr:rowOff>
    </xdr:to>
    <xdr:sp macro="" textlink="">
      <xdr:nvSpPr>
        <xdr:cNvPr id="12412" name="Oval 1284"/>
        <xdr:cNvSpPr>
          <a:spLocks noChangeArrowheads="1"/>
        </xdr:cNvSpPr>
      </xdr:nvSpPr>
      <xdr:spPr bwMode="auto">
        <a:xfrm>
          <a:off x="3857625" y="2971800"/>
          <a:ext cx="276225" cy="200025"/>
        </a:xfrm>
        <a:prstGeom prst="ellipse">
          <a:avLst/>
        </a:prstGeom>
        <a:gradFill rotWithShape="1">
          <a:gsLst>
            <a:gs pos="0">
              <a:srgbClr val="69FFFF"/>
            </a:gs>
            <a:gs pos="50000">
              <a:srgbClr val="CCFFCC"/>
            </a:gs>
            <a:gs pos="100000">
              <a:srgbClr val="69FFFF"/>
            </a:gs>
          </a:gsLst>
          <a:lin ang="0" scaled="1"/>
        </a:gradFill>
        <a:ln w="9525">
          <a:solidFill>
            <a:srgbClr val="000000"/>
          </a:solidFill>
          <a:round/>
          <a:headEnd/>
          <a:tailEnd/>
        </a:ln>
      </xdr:spPr>
    </xdr:sp>
    <xdr:clientData/>
  </xdr:twoCellAnchor>
  <xdr:twoCellAnchor>
    <xdr:from>
      <xdr:col>6</xdr:col>
      <xdr:colOff>200025</xdr:colOff>
      <xdr:row>15</xdr:row>
      <xdr:rowOff>142875</xdr:rowOff>
    </xdr:from>
    <xdr:to>
      <xdr:col>6</xdr:col>
      <xdr:colOff>476250</xdr:colOff>
      <xdr:row>17</xdr:row>
      <xdr:rowOff>0</xdr:rowOff>
    </xdr:to>
    <xdr:sp macro="" textlink="">
      <xdr:nvSpPr>
        <xdr:cNvPr id="12413" name="Rectangle 1285"/>
        <xdr:cNvSpPr>
          <a:spLocks noChangeArrowheads="1"/>
        </xdr:cNvSpPr>
      </xdr:nvSpPr>
      <xdr:spPr bwMode="auto">
        <a:xfrm>
          <a:off x="3857625" y="2895600"/>
          <a:ext cx="276225" cy="180975"/>
        </a:xfrm>
        <a:prstGeom prst="rect">
          <a:avLst/>
        </a:prstGeom>
        <a:gradFill rotWithShape="1">
          <a:gsLst>
            <a:gs pos="0">
              <a:srgbClr val="69FFFF"/>
            </a:gs>
            <a:gs pos="50000">
              <a:srgbClr val="CCFFCC"/>
            </a:gs>
            <a:gs pos="100000">
              <a:srgbClr val="69FFFF"/>
            </a:gs>
          </a:gsLst>
          <a:lin ang="0" scaled="1"/>
        </a:gradFill>
        <a:ln w="9525">
          <a:noFill/>
          <a:miter lim="800000"/>
          <a:headEnd/>
          <a:tailEnd/>
        </a:ln>
      </xdr:spPr>
    </xdr:sp>
    <xdr:clientData/>
  </xdr:twoCellAnchor>
  <xdr:twoCellAnchor>
    <xdr:from>
      <xdr:col>6</xdr:col>
      <xdr:colOff>209550</xdr:colOff>
      <xdr:row>15</xdr:row>
      <xdr:rowOff>38100</xdr:rowOff>
    </xdr:from>
    <xdr:to>
      <xdr:col>6</xdr:col>
      <xdr:colOff>457200</xdr:colOff>
      <xdr:row>16</xdr:row>
      <xdr:rowOff>47625</xdr:rowOff>
    </xdr:to>
    <xdr:sp macro="" textlink="">
      <xdr:nvSpPr>
        <xdr:cNvPr id="12414" name="Oval 1286"/>
        <xdr:cNvSpPr>
          <a:spLocks noChangeArrowheads="1"/>
        </xdr:cNvSpPr>
      </xdr:nvSpPr>
      <xdr:spPr bwMode="auto">
        <a:xfrm>
          <a:off x="3867150" y="2790825"/>
          <a:ext cx="247650" cy="171450"/>
        </a:xfrm>
        <a:prstGeom prst="ellipse">
          <a:avLst/>
        </a:prstGeom>
        <a:solidFill>
          <a:srgbClr val="C0C0C0"/>
        </a:solidFill>
        <a:ln w="38100">
          <a:solidFill>
            <a:srgbClr val="00FFFF"/>
          </a:solidFill>
          <a:round/>
          <a:headEnd/>
          <a:tailEnd/>
        </a:ln>
      </xdr:spPr>
    </xdr:sp>
    <xdr:clientData/>
  </xdr:twoCellAnchor>
  <xdr:twoCellAnchor>
    <xdr:from>
      <xdr:col>6</xdr:col>
      <xdr:colOff>200025</xdr:colOff>
      <xdr:row>15</xdr:row>
      <xdr:rowOff>133350</xdr:rowOff>
    </xdr:from>
    <xdr:to>
      <xdr:col>6</xdr:col>
      <xdr:colOff>200025</xdr:colOff>
      <xdr:row>17</xdr:row>
      <xdr:rowOff>9525</xdr:rowOff>
    </xdr:to>
    <xdr:sp macro="" textlink="">
      <xdr:nvSpPr>
        <xdr:cNvPr id="12415" name="Line 1287"/>
        <xdr:cNvSpPr>
          <a:spLocks noChangeShapeType="1"/>
        </xdr:cNvSpPr>
      </xdr:nvSpPr>
      <xdr:spPr bwMode="auto">
        <a:xfrm>
          <a:off x="3857625" y="2886075"/>
          <a:ext cx="0" cy="200025"/>
        </a:xfrm>
        <a:prstGeom prst="line">
          <a:avLst/>
        </a:prstGeom>
        <a:noFill/>
        <a:ln w="9525">
          <a:solidFill>
            <a:srgbClr val="000000"/>
          </a:solidFill>
          <a:round/>
          <a:headEnd/>
          <a:tailEnd/>
        </a:ln>
      </xdr:spPr>
    </xdr:sp>
    <xdr:clientData/>
  </xdr:twoCellAnchor>
  <xdr:twoCellAnchor>
    <xdr:from>
      <xdr:col>6</xdr:col>
      <xdr:colOff>476250</xdr:colOff>
      <xdr:row>15</xdr:row>
      <xdr:rowOff>133350</xdr:rowOff>
    </xdr:from>
    <xdr:to>
      <xdr:col>6</xdr:col>
      <xdr:colOff>476250</xdr:colOff>
      <xdr:row>17</xdr:row>
      <xdr:rowOff>9525</xdr:rowOff>
    </xdr:to>
    <xdr:sp macro="" textlink="">
      <xdr:nvSpPr>
        <xdr:cNvPr id="12416" name="Line 1288"/>
        <xdr:cNvSpPr>
          <a:spLocks noChangeShapeType="1"/>
        </xdr:cNvSpPr>
      </xdr:nvSpPr>
      <xdr:spPr bwMode="auto">
        <a:xfrm>
          <a:off x="4133850" y="2886075"/>
          <a:ext cx="0" cy="200025"/>
        </a:xfrm>
        <a:prstGeom prst="line">
          <a:avLst/>
        </a:prstGeom>
        <a:noFill/>
        <a:ln w="9525">
          <a:solidFill>
            <a:srgbClr val="000000"/>
          </a:solidFill>
          <a:round/>
          <a:headEnd/>
          <a:tailEnd/>
        </a:ln>
      </xdr:spPr>
    </xdr:sp>
    <xdr:clientData/>
  </xdr:twoCellAnchor>
  <xdr:twoCellAnchor>
    <xdr:from>
      <xdr:col>6</xdr:col>
      <xdr:colOff>200025</xdr:colOff>
      <xdr:row>15</xdr:row>
      <xdr:rowOff>28575</xdr:rowOff>
    </xdr:from>
    <xdr:to>
      <xdr:col>6</xdr:col>
      <xdr:colOff>476250</xdr:colOff>
      <xdr:row>16</xdr:row>
      <xdr:rowOff>57150</xdr:rowOff>
    </xdr:to>
    <xdr:sp macro="" textlink="">
      <xdr:nvSpPr>
        <xdr:cNvPr id="12417" name="Oval 1289"/>
        <xdr:cNvSpPr>
          <a:spLocks noChangeArrowheads="1"/>
        </xdr:cNvSpPr>
      </xdr:nvSpPr>
      <xdr:spPr bwMode="auto">
        <a:xfrm>
          <a:off x="3857625" y="2781300"/>
          <a:ext cx="276225" cy="190500"/>
        </a:xfrm>
        <a:prstGeom prst="ellipse">
          <a:avLst/>
        </a:prstGeom>
        <a:noFill/>
        <a:ln w="9525">
          <a:solidFill>
            <a:srgbClr val="000000"/>
          </a:solidFill>
          <a:round/>
          <a:headEnd/>
          <a:tailEnd/>
        </a:ln>
      </xdr:spPr>
    </xdr:sp>
    <xdr:clientData/>
  </xdr:twoCellAnchor>
  <xdr:twoCellAnchor>
    <xdr:from>
      <xdr:col>4</xdr:col>
      <xdr:colOff>342900</xdr:colOff>
      <xdr:row>14</xdr:row>
      <xdr:rowOff>95250</xdr:rowOff>
    </xdr:from>
    <xdr:to>
      <xdr:col>8</xdr:col>
      <xdr:colOff>95250</xdr:colOff>
      <xdr:row>21</xdr:row>
      <xdr:rowOff>114300</xdr:rowOff>
    </xdr:to>
    <xdr:sp macro="" textlink="">
      <xdr:nvSpPr>
        <xdr:cNvPr id="12418" name="Line 1290"/>
        <xdr:cNvSpPr>
          <a:spLocks noChangeShapeType="1"/>
        </xdr:cNvSpPr>
      </xdr:nvSpPr>
      <xdr:spPr bwMode="auto">
        <a:xfrm>
          <a:off x="2781300" y="2686050"/>
          <a:ext cx="2190750" cy="1152525"/>
        </a:xfrm>
        <a:prstGeom prst="line">
          <a:avLst/>
        </a:prstGeom>
        <a:noFill/>
        <a:ln w="9525">
          <a:solidFill>
            <a:srgbClr val="000000"/>
          </a:solidFill>
          <a:round/>
          <a:headEnd/>
          <a:tailEnd/>
        </a:ln>
      </xdr:spPr>
    </xdr:sp>
    <xdr:clientData/>
  </xdr:twoCellAnchor>
  <xdr:twoCellAnchor>
    <xdr:from>
      <xdr:col>8</xdr:col>
      <xdr:colOff>95250</xdr:colOff>
      <xdr:row>20</xdr:row>
      <xdr:rowOff>19050</xdr:rowOff>
    </xdr:from>
    <xdr:to>
      <xdr:col>8</xdr:col>
      <xdr:colOff>285750</xdr:colOff>
      <xdr:row>20</xdr:row>
      <xdr:rowOff>142875</xdr:rowOff>
    </xdr:to>
    <xdr:sp macro="" textlink="">
      <xdr:nvSpPr>
        <xdr:cNvPr id="12419" name="Freeform 1291"/>
        <xdr:cNvSpPr>
          <a:spLocks/>
        </xdr:cNvSpPr>
      </xdr:nvSpPr>
      <xdr:spPr bwMode="auto">
        <a:xfrm>
          <a:off x="4972050" y="3581400"/>
          <a:ext cx="190500" cy="123825"/>
        </a:xfrm>
        <a:custGeom>
          <a:avLst/>
          <a:gdLst>
            <a:gd name="T0" fmla="*/ 0 w 20"/>
            <a:gd name="T1" fmla="*/ 2147483647 h 13"/>
            <a:gd name="T2" fmla="*/ 2147483647 w 20"/>
            <a:gd name="T3" fmla="*/ 2147483647 h 13"/>
            <a:gd name="T4" fmla="*/ 2147483647 w 20"/>
            <a:gd name="T5" fmla="*/ 2147483647 h 13"/>
            <a:gd name="T6" fmla="*/ 2147483647 w 20"/>
            <a:gd name="T7" fmla="*/ 2147483647 h 13"/>
            <a:gd name="T8" fmla="*/ 2147483647 w 20"/>
            <a:gd name="T9" fmla="*/ 2147483647 h 13"/>
            <a:gd name="T10" fmla="*/ 2147483647 w 20"/>
            <a:gd name="T11" fmla="*/ 0 h 13"/>
            <a:gd name="T12" fmla="*/ 0 60000 65536"/>
            <a:gd name="T13" fmla="*/ 0 60000 65536"/>
            <a:gd name="T14" fmla="*/ 0 60000 65536"/>
            <a:gd name="T15" fmla="*/ 0 60000 65536"/>
            <a:gd name="T16" fmla="*/ 0 60000 65536"/>
            <a:gd name="T17" fmla="*/ 0 60000 65536"/>
            <a:gd name="T18" fmla="*/ 0 w 20"/>
            <a:gd name="T19" fmla="*/ 0 h 13"/>
            <a:gd name="T20" fmla="*/ 20 w 20"/>
            <a:gd name="T21" fmla="*/ 13 h 13"/>
          </a:gdLst>
          <a:ahLst/>
          <a:cxnLst>
            <a:cxn ang="T12">
              <a:pos x="T0" y="T1"/>
            </a:cxn>
            <a:cxn ang="T13">
              <a:pos x="T2" y="T3"/>
            </a:cxn>
            <a:cxn ang="T14">
              <a:pos x="T4" y="T5"/>
            </a:cxn>
            <a:cxn ang="T15">
              <a:pos x="T6" y="T7"/>
            </a:cxn>
            <a:cxn ang="T16">
              <a:pos x="T8" y="T9"/>
            </a:cxn>
            <a:cxn ang="T17">
              <a:pos x="T10" y="T11"/>
            </a:cxn>
          </a:cxnLst>
          <a:rect l="T18" t="T19" r="T20" b="T21"/>
          <a:pathLst>
            <a:path w="20" h="13">
              <a:moveTo>
                <a:pt x="0" y="13"/>
              </a:moveTo>
              <a:lnTo>
                <a:pt x="5" y="12"/>
              </a:lnTo>
              <a:lnTo>
                <a:pt x="10" y="10"/>
              </a:lnTo>
              <a:lnTo>
                <a:pt x="15" y="6"/>
              </a:lnTo>
              <a:lnTo>
                <a:pt x="19" y="2"/>
              </a:lnTo>
              <a:lnTo>
                <a:pt x="20" y="0"/>
              </a:lnTo>
            </a:path>
          </a:pathLst>
        </a:custGeom>
        <a:noFill/>
        <a:ln w="28575" cmpd="sng">
          <a:solidFill>
            <a:srgbClr val="00FFFF"/>
          </a:solidFill>
          <a:round/>
          <a:headEnd/>
          <a:tailEnd/>
        </a:ln>
      </xdr:spPr>
    </xdr:sp>
    <xdr:clientData/>
  </xdr:twoCellAnchor>
  <xdr:twoCellAnchor>
    <xdr:from>
      <xdr:col>5</xdr:col>
      <xdr:colOff>381000</xdr:colOff>
      <xdr:row>1</xdr:row>
      <xdr:rowOff>152400</xdr:rowOff>
    </xdr:from>
    <xdr:to>
      <xdr:col>12</xdr:col>
      <xdr:colOff>200025</xdr:colOff>
      <xdr:row>15</xdr:row>
      <xdr:rowOff>152400</xdr:rowOff>
    </xdr:to>
    <xdr:sp macro="" textlink="">
      <xdr:nvSpPr>
        <xdr:cNvPr id="12420" name="Line 1292"/>
        <xdr:cNvSpPr>
          <a:spLocks noChangeShapeType="1"/>
        </xdr:cNvSpPr>
      </xdr:nvSpPr>
      <xdr:spPr bwMode="auto">
        <a:xfrm flipV="1">
          <a:off x="3429000" y="504825"/>
          <a:ext cx="4086225" cy="2400300"/>
        </a:xfrm>
        <a:prstGeom prst="line">
          <a:avLst/>
        </a:prstGeom>
        <a:noFill/>
        <a:ln w="25400">
          <a:solidFill>
            <a:srgbClr val="000000"/>
          </a:solidFill>
          <a:prstDash val="lgDashDotDot"/>
          <a:round/>
          <a:headEnd/>
          <a:tailEnd/>
        </a:ln>
      </xdr:spPr>
    </xdr:sp>
    <xdr:clientData/>
  </xdr:twoCellAnchor>
  <xdr:twoCellAnchor>
    <xdr:from>
      <xdr:col>5</xdr:col>
      <xdr:colOff>381000</xdr:colOff>
      <xdr:row>15</xdr:row>
      <xdr:rowOff>142875</xdr:rowOff>
    </xdr:from>
    <xdr:to>
      <xdr:col>5</xdr:col>
      <xdr:colOff>381000</xdr:colOff>
      <xdr:row>19</xdr:row>
      <xdr:rowOff>19050</xdr:rowOff>
    </xdr:to>
    <xdr:sp macro="" textlink="">
      <xdr:nvSpPr>
        <xdr:cNvPr id="12421" name="Line 1293"/>
        <xdr:cNvSpPr>
          <a:spLocks noChangeShapeType="1"/>
        </xdr:cNvSpPr>
      </xdr:nvSpPr>
      <xdr:spPr bwMode="auto">
        <a:xfrm>
          <a:off x="3429000" y="2895600"/>
          <a:ext cx="0" cy="523875"/>
        </a:xfrm>
        <a:prstGeom prst="line">
          <a:avLst/>
        </a:prstGeom>
        <a:noFill/>
        <a:ln w="25400">
          <a:solidFill>
            <a:srgbClr val="000000"/>
          </a:solidFill>
          <a:round/>
          <a:headEnd/>
          <a:tailEnd type="triangle" w="lg" len="lg"/>
        </a:ln>
      </xdr:spPr>
    </xdr:sp>
    <xdr:clientData/>
  </xdr:twoCellAnchor>
  <xdr:twoCellAnchor>
    <xdr:from>
      <xdr:col>9</xdr:col>
      <xdr:colOff>428625</xdr:colOff>
      <xdr:row>46</xdr:row>
      <xdr:rowOff>0</xdr:rowOff>
    </xdr:from>
    <xdr:to>
      <xdr:col>9</xdr:col>
      <xdr:colOff>561975</xdr:colOff>
      <xdr:row>46</xdr:row>
      <xdr:rowOff>142875</xdr:rowOff>
    </xdr:to>
    <xdr:sp macro="" textlink="">
      <xdr:nvSpPr>
        <xdr:cNvPr id="12422" name="AutoShape 1157"/>
        <xdr:cNvSpPr>
          <a:spLocks noChangeArrowheads="1"/>
        </xdr:cNvSpPr>
      </xdr:nvSpPr>
      <xdr:spPr bwMode="auto">
        <a:xfrm rot="10800000" flipH="1" flipV="1">
          <a:off x="5915025" y="7772400"/>
          <a:ext cx="133350" cy="14287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33CCCC"/>
        </a:solidFill>
        <a:ln w="9525">
          <a:solidFill>
            <a:srgbClr val="000000"/>
          </a:solidFill>
          <a:miter lim="800000"/>
          <a:headEnd/>
          <a:tailEnd/>
        </a:ln>
      </xdr:spPr>
    </xdr:sp>
    <xdr:clientData/>
  </xdr:twoCellAnchor>
  <xdr:twoCellAnchor>
    <xdr:from>
      <xdr:col>15</xdr:col>
      <xdr:colOff>200025</xdr:colOff>
      <xdr:row>38</xdr:row>
      <xdr:rowOff>95250</xdr:rowOff>
    </xdr:from>
    <xdr:to>
      <xdr:col>15</xdr:col>
      <xdr:colOff>333375</xdr:colOff>
      <xdr:row>39</xdr:row>
      <xdr:rowOff>76200</xdr:rowOff>
    </xdr:to>
    <xdr:sp macro="" textlink="">
      <xdr:nvSpPr>
        <xdr:cNvPr id="12423" name="AutoShape 1294"/>
        <xdr:cNvSpPr>
          <a:spLocks noChangeArrowheads="1"/>
        </xdr:cNvSpPr>
      </xdr:nvSpPr>
      <xdr:spPr bwMode="auto">
        <a:xfrm rot="10800000" flipV="1">
          <a:off x="9344025" y="6572250"/>
          <a:ext cx="133350" cy="14287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33CCCC"/>
        </a:solidFill>
        <a:ln w="9525">
          <a:solidFill>
            <a:srgbClr val="000000"/>
          </a:solidFill>
          <a:miter lim="800000"/>
          <a:headEnd/>
          <a:tailEnd/>
        </a:ln>
      </xdr:spPr>
    </xdr:sp>
    <xdr:clientData/>
  </xdr:twoCellAnchor>
  <xdr:twoCellAnchor>
    <xdr:from>
      <xdr:col>4</xdr:col>
      <xdr:colOff>323850</xdr:colOff>
      <xdr:row>53</xdr:row>
      <xdr:rowOff>38100</xdr:rowOff>
    </xdr:from>
    <xdr:to>
      <xdr:col>12</xdr:col>
      <xdr:colOff>200025</xdr:colOff>
      <xdr:row>55</xdr:row>
      <xdr:rowOff>104775</xdr:rowOff>
    </xdr:to>
    <xdr:sp macro="" textlink="">
      <xdr:nvSpPr>
        <xdr:cNvPr id="137488" name="Text Box 1296"/>
        <xdr:cNvSpPr txBox="1">
          <a:spLocks noChangeArrowheads="1"/>
        </xdr:cNvSpPr>
      </xdr:nvSpPr>
      <xdr:spPr bwMode="auto">
        <a:xfrm>
          <a:off x="2762250" y="8458200"/>
          <a:ext cx="4752975" cy="39052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200" b="1" i="0" u="none" strike="noStrike" baseline="0">
              <a:solidFill>
                <a:srgbClr val="000000"/>
              </a:solidFill>
              <a:latin typeface="Arial"/>
              <a:cs typeface="Arial"/>
            </a:rPr>
            <a:t>Pack with Two Rows of Modules</a:t>
          </a:r>
        </a:p>
      </xdr:txBody>
    </xdr:sp>
    <xdr:clientData/>
  </xdr:twoCellAnchor>
  <xdr:twoCellAnchor>
    <xdr:from>
      <xdr:col>0</xdr:col>
      <xdr:colOff>466725</xdr:colOff>
      <xdr:row>59</xdr:row>
      <xdr:rowOff>0</xdr:rowOff>
    </xdr:from>
    <xdr:to>
      <xdr:col>5</xdr:col>
      <xdr:colOff>266700</xdr:colOff>
      <xdr:row>66</xdr:row>
      <xdr:rowOff>152400</xdr:rowOff>
    </xdr:to>
    <xdr:sp macro="" textlink="">
      <xdr:nvSpPr>
        <xdr:cNvPr id="12425" name="AutoShape 1297"/>
        <xdr:cNvSpPr>
          <a:spLocks noChangeArrowheads="1"/>
        </xdr:cNvSpPr>
      </xdr:nvSpPr>
      <xdr:spPr bwMode="auto">
        <a:xfrm>
          <a:off x="466725" y="9877425"/>
          <a:ext cx="2847975" cy="1285875"/>
        </a:xfrm>
        <a:prstGeom prst="roundRect">
          <a:avLst>
            <a:gd name="adj" fmla="val 11111"/>
          </a:avLst>
        </a:prstGeom>
        <a:solidFill>
          <a:srgbClr val="999933"/>
        </a:solidFill>
        <a:ln w="19050">
          <a:solidFill>
            <a:srgbClr val="000000"/>
          </a:solidFill>
          <a:round/>
          <a:headEnd/>
          <a:tailEnd/>
        </a:ln>
      </xdr:spPr>
    </xdr:sp>
    <xdr:clientData/>
  </xdr:twoCellAnchor>
  <xdr:twoCellAnchor>
    <xdr:from>
      <xdr:col>0</xdr:col>
      <xdr:colOff>552450</xdr:colOff>
      <xdr:row>59</xdr:row>
      <xdr:rowOff>76200</xdr:rowOff>
    </xdr:from>
    <xdr:to>
      <xdr:col>5</xdr:col>
      <xdr:colOff>190500</xdr:colOff>
      <xdr:row>66</xdr:row>
      <xdr:rowOff>66675</xdr:rowOff>
    </xdr:to>
    <xdr:sp macro="" textlink="">
      <xdr:nvSpPr>
        <xdr:cNvPr id="12426" name="AutoShape 1298"/>
        <xdr:cNvSpPr>
          <a:spLocks noChangeArrowheads="1"/>
        </xdr:cNvSpPr>
      </xdr:nvSpPr>
      <xdr:spPr bwMode="auto">
        <a:xfrm>
          <a:off x="552450" y="9953625"/>
          <a:ext cx="2686050" cy="1123950"/>
        </a:xfrm>
        <a:prstGeom prst="roundRect">
          <a:avLst>
            <a:gd name="adj" fmla="val 6616"/>
          </a:avLst>
        </a:prstGeom>
        <a:solidFill>
          <a:srgbClr val="FFFFFF"/>
        </a:solidFill>
        <a:ln w="19050">
          <a:solidFill>
            <a:srgbClr val="000000"/>
          </a:solidFill>
          <a:round/>
          <a:headEnd/>
          <a:tailEnd/>
        </a:ln>
      </xdr:spPr>
    </xdr:sp>
    <xdr:clientData/>
  </xdr:twoCellAnchor>
  <xdr:twoCellAnchor>
    <xdr:from>
      <xdr:col>5</xdr:col>
      <xdr:colOff>9525</xdr:colOff>
      <xdr:row>59</xdr:row>
      <xdr:rowOff>142875</xdr:rowOff>
    </xdr:from>
    <xdr:to>
      <xdr:col>5</xdr:col>
      <xdr:colOff>180975</xdr:colOff>
      <xdr:row>65</xdr:row>
      <xdr:rowOff>133350</xdr:rowOff>
    </xdr:to>
    <xdr:sp macro="" textlink="">
      <xdr:nvSpPr>
        <xdr:cNvPr id="12427" name="Rectangle 1299" descr="10%"/>
        <xdr:cNvSpPr>
          <a:spLocks noChangeArrowheads="1"/>
        </xdr:cNvSpPr>
      </xdr:nvSpPr>
      <xdr:spPr bwMode="auto">
        <a:xfrm>
          <a:off x="3057525" y="10020300"/>
          <a:ext cx="171450" cy="962025"/>
        </a:xfrm>
        <a:prstGeom prst="rect">
          <a:avLst/>
        </a:prstGeom>
        <a:pattFill prst="pct10">
          <a:fgClr>
            <a:srgbClr val="000000"/>
          </a:fgClr>
          <a:bgClr>
            <a:srgbClr val="FFFF66"/>
          </a:bgClr>
        </a:pattFill>
        <a:ln w="9525">
          <a:solidFill>
            <a:srgbClr val="000000"/>
          </a:solidFill>
          <a:miter lim="800000"/>
          <a:headEnd/>
          <a:tailEnd/>
        </a:ln>
      </xdr:spPr>
    </xdr:sp>
    <xdr:clientData/>
  </xdr:twoCellAnchor>
  <xdr:twoCellAnchor>
    <xdr:from>
      <xdr:col>0</xdr:col>
      <xdr:colOff>552450</xdr:colOff>
      <xdr:row>59</xdr:row>
      <xdr:rowOff>142875</xdr:rowOff>
    </xdr:from>
    <xdr:to>
      <xdr:col>5</xdr:col>
      <xdr:colOff>9525</xdr:colOff>
      <xdr:row>65</xdr:row>
      <xdr:rowOff>133350</xdr:rowOff>
    </xdr:to>
    <xdr:sp macro="" textlink="">
      <xdr:nvSpPr>
        <xdr:cNvPr id="12428" name="Rectangle 1300"/>
        <xdr:cNvSpPr>
          <a:spLocks noChangeArrowheads="1"/>
        </xdr:cNvSpPr>
      </xdr:nvSpPr>
      <xdr:spPr bwMode="auto">
        <a:xfrm>
          <a:off x="552450" y="10020300"/>
          <a:ext cx="2505075" cy="962025"/>
        </a:xfrm>
        <a:prstGeom prst="rect">
          <a:avLst/>
        </a:prstGeom>
        <a:solidFill>
          <a:srgbClr val="C0C0C0"/>
        </a:solidFill>
        <a:ln w="9525">
          <a:solidFill>
            <a:srgbClr val="000000"/>
          </a:solidFill>
          <a:miter lim="800000"/>
          <a:headEnd/>
          <a:tailEnd/>
        </a:ln>
      </xdr:spPr>
    </xdr:sp>
    <xdr:clientData/>
  </xdr:twoCellAnchor>
  <xdr:twoCellAnchor>
    <xdr:from>
      <xdr:col>0</xdr:col>
      <xdr:colOff>600075</xdr:colOff>
      <xdr:row>66</xdr:row>
      <xdr:rowOff>47625</xdr:rowOff>
    </xdr:from>
    <xdr:to>
      <xdr:col>5</xdr:col>
      <xdr:colOff>123825</xdr:colOff>
      <xdr:row>66</xdr:row>
      <xdr:rowOff>47625</xdr:rowOff>
    </xdr:to>
    <xdr:sp macro="" textlink="">
      <xdr:nvSpPr>
        <xdr:cNvPr id="12429" name="Line 1302"/>
        <xdr:cNvSpPr>
          <a:spLocks noChangeShapeType="1"/>
        </xdr:cNvSpPr>
      </xdr:nvSpPr>
      <xdr:spPr bwMode="auto">
        <a:xfrm>
          <a:off x="600075" y="11058525"/>
          <a:ext cx="2571750" cy="0"/>
        </a:xfrm>
        <a:prstGeom prst="line">
          <a:avLst/>
        </a:prstGeom>
        <a:noFill/>
        <a:ln w="28575">
          <a:solidFill>
            <a:srgbClr val="0000FF"/>
          </a:solidFill>
          <a:round/>
          <a:headEnd/>
          <a:tailEnd/>
        </a:ln>
      </xdr:spPr>
    </xdr:sp>
    <xdr:clientData/>
  </xdr:twoCellAnchor>
  <xdr:twoCellAnchor>
    <xdr:from>
      <xdr:col>1</xdr:col>
      <xdr:colOff>104775</xdr:colOff>
      <xdr:row>65</xdr:row>
      <xdr:rowOff>142875</xdr:rowOff>
    </xdr:from>
    <xdr:to>
      <xdr:col>1</xdr:col>
      <xdr:colOff>457200</xdr:colOff>
      <xdr:row>65</xdr:row>
      <xdr:rowOff>142875</xdr:rowOff>
    </xdr:to>
    <xdr:sp macro="" textlink="">
      <xdr:nvSpPr>
        <xdr:cNvPr id="12430" name="Line 1303"/>
        <xdr:cNvSpPr>
          <a:spLocks noChangeShapeType="1"/>
        </xdr:cNvSpPr>
      </xdr:nvSpPr>
      <xdr:spPr bwMode="auto">
        <a:xfrm>
          <a:off x="714375" y="10991850"/>
          <a:ext cx="352425" cy="0"/>
        </a:xfrm>
        <a:prstGeom prst="line">
          <a:avLst/>
        </a:prstGeom>
        <a:noFill/>
        <a:ln w="28575">
          <a:solidFill>
            <a:srgbClr val="0000FF"/>
          </a:solidFill>
          <a:round/>
          <a:headEnd/>
          <a:tailEnd/>
        </a:ln>
      </xdr:spPr>
    </xdr:sp>
    <xdr:clientData/>
  </xdr:twoCellAnchor>
  <xdr:twoCellAnchor>
    <xdr:from>
      <xdr:col>4</xdr:col>
      <xdr:colOff>419100</xdr:colOff>
      <xdr:row>65</xdr:row>
      <xdr:rowOff>142875</xdr:rowOff>
    </xdr:from>
    <xdr:to>
      <xdr:col>5</xdr:col>
      <xdr:colOff>161925</xdr:colOff>
      <xdr:row>65</xdr:row>
      <xdr:rowOff>142875</xdr:rowOff>
    </xdr:to>
    <xdr:sp macro="" textlink="">
      <xdr:nvSpPr>
        <xdr:cNvPr id="12431" name="Line 1305"/>
        <xdr:cNvSpPr>
          <a:spLocks noChangeShapeType="1"/>
        </xdr:cNvSpPr>
      </xdr:nvSpPr>
      <xdr:spPr bwMode="auto">
        <a:xfrm>
          <a:off x="2857500" y="10991850"/>
          <a:ext cx="352425" cy="0"/>
        </a:xfrm>
        <a:prstGeom prst="line">
          <a:avLst/>
        </a:prstGeom>
        <a:noFill/>
        <a:ln w="28575">
          <a:solidFill>
            <a:srgbClr val="0000FF"/>
          </a:solidFill>
          <a:round/>
          <a:headEnd/>
          <a:tailEnd/>
        </a:ln>
      </xdr:spPr>
    </xdr:sp>
    <xdr:clientData/>
  </xdr:twoCellAnchor>
  <xdr:twoCellAnchor>
    <xdr:from>
      <xdr:col>4</xdr:col>
      <xdr:colOff>514350</xdr:colOff>
      <xdr:row>65</xdr:row>
      <xdr:rowOff>142875</xdr:rowOff>
    </xdr:from>
    <xdr:to>
      <xdr:col>4</xdr:col>
      <xdr:colOff>514350</xdr:colOff>
      <xdr:row>66</xdr:row>
      <xdr:rowOff>47625</xdr:rowOff>
    </xdr:to>
    <xdr:sp macro="" textlink="">
      <xdr:nvSpPr>
        <xdr:cNvPr id="12432" name="Line 1308"/>
        <xdr:cNvSpPr>
          <a:spLocks noChangeShapeType="1"/>
        </xdr:cNvSpPr>
      </xdr:nvSpPr>
      <xdr:spPr bwMode="auto">
        <a:xfrm flipV="1">
          <a:off x="2952750" y="10991850"/>
          <a:ext cx="0" cy="66675"/>
        </a:xfrm>
        <a:prstGeom prst="line">
          <a:avLst/>
        </a:prstGeom>
        <a:noFill/>
        <a:ln w="28575">
          <a:solidFill>
            <a:srgbClr val="0000FF"/>
          </a:solidFill>
          <a:round/>
          <a:headEnd/>
          <a:tailEnd/>
        </a:ln>
      </xdr:spPr>
    </xdr:sp>
    <xdr:clientData/>
  </xdr:twoCellAnchor>
  <xdr:twoCellAnchor>
    <xdr:from>
      <xdr:col>5</xdr:col>
      <xdr:colOff>57150</xdr:colOff>
      <xdr:row>65</xdr:row>
      <xdr:rowOff>142875</xdr:rowOff>
    </xdr:from>
    <xdr:to>
      <xdr:col>5</xdr:col>
      <xdr:colOff>57150</xdr:colOff>
      <xdr:row>66</xdr:row>
      <xdr:rowOff>47625</xdr:rowOff>
    </xdr:to>
    <xdr:sp macro="" textlink="">
      <xdr:nvSpPr>
        <xdr:cNvPr id="12433" name="Line 1309"/>
        <xdr:cNvSpPr>
          <a:spLocks noChangeShapeType="1"/>
        </xdr:cNvSpPr>
      </xdr:nvSpPr>
      <xdr:spPr bwMode="auto">
        <a:xfrm flipV="1">
          <a:off x="3105150" y="10991850"/>
          <a:ext cx="0" cy="66675"/>
        </a:xfrm>
        <a:prstGeom prst="line">
          <a:avLst/>
        </a:prstGeom>
        <a:noFill/>
        <a:ln w="28575">
          <a:solidFill>
            <a:srgbClr val="0000FF"/>
          </a:solidFill>
          <a:round/>
          <a:headEnd/>
          <a:tailEnd/>
        </a:ln>
      </xdr:spPr>
    </xdr:sp>
    <xdr:clientData/>
  </xdr:twoCellAnchor>
  <xdr:twoCellAnchor>
    <xdr:from>
      <xdr:col>1</xdr:col>
      <xdr:colOff>200025</xdr:colOff>
      <xdr:row>65</xdr:row>
      <xdr:rowOff>133350</xdr:rowOff>
    </xdr:from>
    <xdr:to>
      <xdr:col>1</xdr:col>
      <xdr:colOff>200025</xdr:colOff>
      <xdr:row>66</xdr:row>
      <xdr:rowOff>38100</xdr:rowOff>
    </xdr:to>
    <xdr:sp macro="" textlink="">
      <xdr:nvSpPr>
        <xdr:cNvPr id="12434" name="Line 1310"/>
        <xdr:cNvSpPr>
          <a:spLocks noChangeShapeType="1"/>
        </xdr:cNvSpPr>
      </xdr:nvSpPr>
      <xdr:spPr bwMode="auto">
        <a:xfrm flipV="1">
          <a:off x="809625" y="10982325"/>
          <a:ext cx="0" cy="66675"/>
        </a:xfrm>
        <a:prstGeom prst="line">
          <a:avLst/>
        </a:prstGeom>
        <a:noFill/>
        <a:ln w="28575">
          <a:solidFill>
            <a:srgbClr val="0000FF"/>
          </a:solidFill>
          <a:round/>
          <a:headEnd/>
          <a:tailEnd/>
        </a:ln>
      </xdr:spPr>
    </xdr:sp>
    <xdr:clientData/>
  </xdr:twoCellAnchor>
  <xdr:twoCellAnchor>
    <xdr:from>
      <xdr:col>1</xdr:col>
      <xdr:colOff>352425</xdr:colOff>
      <xdr:row>65</xdr:row>
      <xdr:rowOff>133350</xdr:rowOff>
    </xdr:from>
    <xdr:to>
      <xdr:col>1</xdr:col>
      <xdr:colOff>352425</xdr:colOff>
      <xdr:row>66</xdr:row>
      <xdr:rowOff>38100</xdr:rowOff>
    </xdr:to>
    <xdr:sp macro="" textlink="">
      <xdr:nvSpPr>
        <xdr:cNvPr id="12435" name="Line 1311"/>
        <xdr:cNvSpPr>
          <a:spLocks noChangeShapeType="1"/>
        </xdr:cNvSpPr>
      </xdr:nvSpPr>
      <xdr:spPr bwMode="auto">
        <a:xfrm flipV="1">
          <a:off x="962025" y="10982325"/>
          <a:ext cx="0" cy="66675"/>
        </a:xfrm>
        <a:prstGeom prst="line">
          <a:avLst/>
        </a:prstGeom>
        <a:noFill/>
        <a:ln w="28575">
          <a:solidFill>
            <a:srgbClr val="0000FF"/>
          </a:solidFill>
          <a:round/>
          <a:headEnd/>
          <a:tailEnd/>
        </a:ln>
      </xdr:spPr>
    </xdr:sp>
    <xdr:clientData/>
  </xdr:twoCellAnchor>
  <xdr:twoCellAnchor>
    <xdr:from>
      <xdr:col>5</xdr:col>
      <xdr:colOff>47625</xdr:colOff>
      <xdr:row>62</xdr:row>
      <xdr:rowOff>123825</xdr:rowOff>
    </xdr:from>
    <xdr:to>
      <xdr:col>5</xdr:col>
      <xdr:colOff>123825</xdr:colOff>
      <xdr:row>65</xdr:row>
      <xdr:rowOff>0</xdr:rowOff>
    </xdr:to>
    <xdr:sp macro="" textlink="">
      <xdr:nvSpPr>
        <xdr:cNvPr id="12436" name="Rectangle 1322"/>
        <xdr:cNvSpPr>
          <a:spLocks noChangeArrowheads="1"/>
        </xdr:cNvSpPr>
      </xdr:nvSpPr>
      <xdr:spPr bwMode="auto">
        <a:xfrm>
          <a:off x="3095625" y="10487025"/>
          <a:ext cx="76200" cy="361950"/>
        </a:xfrm>
        <a:prstGeom prst="rect">
          <a:avLst/>
        </a:prstGeom>
        <a:solidFill>
          <a:srgbClr val="FF9933"/>
        </a:solidFill>
        <a:ln w="9525">
          <a:solidFill>
            <a:srgbClr val="000000"/>
          </a:solidFill>
          <a:miter lim="800000"/>
          <a:headEnd/>
          <a:tailEnd/>
        </a:ln>
      </xdr:spPr>
    </xdr:sp>
    <xdr:clientData/>
  </xdr:twoCellAnchor>
  <xdr:twoCellAnchor>
    <xdr:from>
      <xdr:col>6</xdr:col>
      <xdr:colOff>257175</xdr:colOff>
      <xdr:row>57</xdr:row>
      <xdr:rowOff>114300</xdr:rowOff>
    </xdr:from>
    <xdr:to>
      <xdr:col>15</xdr:col>
      <xdr:colOff>447675</xdr:colOff>
      <xdr:row>68</xdr:row>
      <xdr:rowOff>38100</xdr:rowOff>
    </xdr:to>
    <xdr:grpSp>
      <xdr:nvGrpSpPr>
        <xdr:cNvPr id="12437" name="Group 1505"/>
        <xdr:cNvGrpSpPr>
          <a:grpSpLocks/>
        </xdr:cNvGrpSpPr>
      </xdr:nvGrpSpPr>
      <xdr:grpSpPr bwMode="auto">
        <a:xfrm>
          <a:off x="3914775" y="9667875"/>
          <a:ext cx="5676900" cy="1704975"/>
          <a:chOff x="567" y="964"/>
          <a:chExt cx="596" cy="179"/>
        </a:xfrm>
      </xdr:grpSpPr>
      <xdr:sp macro="" textlink="">
        <xdr:nvSpPr>
          <xdr:cNvPr id="12556" name="AutoShape 1323"/>
          <xdr:cNvSpPr>
            <a:spLocks noChangeArrowheads="1"/>
          </xdr:cNvSpPr>
        </xdr:nvSpPr>
        <xdr:spPr bwMode="auto">
          <a:xfrm>
            <a:off x="571" y="985"/>
            <a:ext cx="592" cy="137"/>
          </a:xfrm>
          <a:prstGeom prst="roundRect">
            <a:avLst>
              <a:gd name="adj" fmla="val 11111"/>
            </a:avLst>
          </a:prstGeom>
          <a:solidFill>
            <a:srgbClr val="999933"/>
          </a:solidFill>
          <a:ln w="19050">
            <a:solidFill>
              <a:srgbClr val="000000"/>
            </a:solidFill>
            <a:round/>
            <a:headEnd/>
            <a:tailEnd/>
          </a:ln>
        </xdr:spPr>
      </xdr:sp>
      <xdr:sp macro="" textlink="">
        <xdr:nvSpPr>
          <xdr:cNvPr id="12557" name="AutoShape 1324"/>
          <xdr:cNvSpPr>
            <a:spLocks noChangeArrowheads="1"/>
          </xdr:cNvSpPr>
        </xdr:nvSpPr>
        <xdr:spPr bwMode="auto">
          <a:xfrm>
            <a:off x="614" y="993"/>
            <a:ext cx="540" cy="122"/>
          </a:xfrm>
          <a:prstGeom prst="roundRect">
            <a:avLst>
              <a:gd name="adj" fmla="val 6616"/>
            </a:avLst>
          </a:prstGeom>
          <a:solidFill>
            <a:srgbClr val="FFFFFF"/>
          </a:solidFill>
          <a:ln w="19050">
            <a:solidFill>
              <a:srgbClr val="000000"/>
            </a:solidFill>
            <a:round/>
            <a:headEnd/>
            <a:tailEnd/>
          </a:ln>
        </xdr:spPr>
      </xdr:sp>
      <xdr:sp macro="" textlink="">
        <xdr:nvSpPr>
          <xdr:cNvPr id="12558" name="Rectangle 1326" descr="Dark upward diagonal"/>
          <xdr:cNvSpPr>
            <a:spLocks noChangeArrowheads="1"/>
          </xdr:cNvSpPr>
        </xdr:nvSpPr>
        <xdr:spPr bwMode="auto">
          <a:xfrm>
            <a:off x="1139" y="1001"/>
            <a:ext cx="3" cy="102"/>
          </a:xfrm>
          <a:prstGeom prst="rect">
            <a:avLst/>
          </a:prstGeom>
          <a:pattFill prst="dkUpDiag">
            <a:fgClr>
              <a:srgbClr val="000000"/>
            </a:fgClr>
            <a:bgClr>
              <a:srgbClr val="FFFFFF"/>
            </a:bgClr>
          </a:pattFill>
          <a:ln w="9525">
            <a:solidFill>
              <a:srgbClr val="000000"/>
            </a:solidFill>
            <a:miter lim="800000"/>
            <a:headEnd/>
            <a:tailEnd/>
          </a:ln>
        </xdr:spPr>
      </xdr:sp>
      <xdr:sp macro="" textlink="">
        <xdr:nvSpPr>
          <xdr:cNvPr id="12559" name="Rectangle 1327" descr="Dark upward diagonal"/>
          <xdr:cNvSpPr>
            <a:spLocks noChangeArrowheads="1"/>
          </xdr:cNvSpPr>
        </xdr:nvSpPr>
        <xdr:spPr bwMode="auto">
          <a:xfrm>
            <a:off x="616" y="1003"/>
            <a:ext cx="4" cy="101"/>
          </a:xfrm>
          <a:prstGeom prst="rect">
            <a:avLst/>
          </a:prstGeom>
          <a:pattFill prst="dkUpDiag">
            <a:fgClr>
              <a:srgbClr val="000000"/>
            </a:fgClr>
            <a:bgClr>
              <a:srgbClr val="FFFFFF"/>
            </a:bgClr>
          </a:pattFill>
          <a:ln w="9525">
            <a:solidFill>
              <a:srgbClr val="000000"/>
            </a:solidFill>
            <a:miter lim="800000"/>
            <a:headEnd/>
            <a:tailEnd/>
          </a:ln>
        </xdr:spPr>
      </xdr:sp>
      <xdr:sp macro="" textlink="">
        <xdr:nvSpPr>
          <xdr:cNvPr id="12560" name="Rectangle 1332"/>
          <xdr:cNvSpPr>
            <a:spLocks noChangeArrowheads="1"/>
          </xdr:cNvSpPr>
        </xdr:nvSpPr>
        <xdr:spPr bwMode="auto">
          <a:xfrm>
            <a:off x="567" y="964"/>
            <a:ext cx="37" cy="176"/>
          </a:xfrm>
          <a:prstGeom prst="rect">
            <a:avLst/>
          </a:prstGeom>
          <a:solidFill>
            <a:srgbClr val="FFFFFF"/>
          </a:solidFill>
          <a:ln w="9525">
            <a:noFill/>
            <a:miter lim="800000"/>
            <a:headEnd/>
            <a:tailEnd/>
          </a:ln>
        </xdr:spPr>
      </xdr:sp>
      <xdr:grpSp>
        <xdr:nvGrpSpPr>
          <xdr:cNvPr id="12561" name="Group 1351"/>
          <xdr:cNvGrpSpPr>
            <a:grpSpLocks/>
          </xdr:cNvGrpSpPr>
        </xdr:nvGrpSpPr>
        <xdr:grpSpPr bwMode="auto">
          <a:xfrm>
            <a:off x="622" y="964"/>
            <a:ext cx="41" cy="30"/>
            <a:chOff x="595" y="629"/>
            <a:chExt cx="59" cy="30"/>
          </a:xfrm>
        </xdr:grpSpPr>
        <xdr:sp macro="" textlink="">
          <xdr:nvSpPr>
            <xdr:cNvPr id="12669" name="Rectangle 1352" descr="Wide downward diagonal"/>
            <xdr:cNvSpPr>
              <a:spLocks noChangeArrowheads="1"/>
            </xdr:cNvSpPr>
          </xdr:nvSpPr>
          <xdr:spPr bwMode="auto">
            <a:xfrm>
              <a:off x="595" y="629"/>
              <a:ext cx="59" cy="30"/>
            </a:xfrm>
            <a:prstGeom prst="rect">
              <a:avLst/>
            </a:prstGeom>
            <a:pattFill prst="wdDnDiag">
              <a:fgClr>
                <a:srgbClr val="000000"/>
              </a:fgClr>
              <a:bgClr>
                <a:srgbClr val="FFFFFF"/>
              </a:bgClr>
            </a:pattFill>
            <a:ln w="9525">
              <a:solidFill>
                <a:srgbClr val="000000"/>
              </a:solidFill>
              <a:miter lim="800000"/>
              <a:headEnd/>
              <a:tailEnd/>
            </a:ln>
          </xdr:spPr>
        </xdr:sp>
        <xdr:sp macro="" textlink="">
          <xdr:nvSpPr>
            <xdr:cNvPr id="12670" name="Rectangle 1353"/>
            <xdr:cNvSpPr>
              <a:spLocks noChangeArrowheads="1"/>
            </xdr:cNvSpPr>
          </xdr:nvSpPr>
          <xdr:spPr bwMode="auto">
            <a:xfrm>
              <a:off x="598" y="629"/>
              <a:ext cx="53" cy="30"/>
            </a:xfrm>
            <a:prstGeom prst="rect">
              <a:avLst/>
            </a:prstGeom>
            <a:solidFill>
              <a:srgbClr val="FFFFFF"/>
            </a:solidFill>
            <a:ln w="9525">
              <a:solidFill>
                <a:srgbClr val="000000"/>
              </a:solidFill>
              <a:miter lim="800000"/>
              <a:headEnd/>
              <a:tailEnd/>
            </a:ln>
          </xdr:spPr>
        </xdr:sp>
      </xdr:grpSp>
      <xdr:sp macro="" textlink="">
        <xdr:nvSpPr>
          <xdr:cNvPr id="12562" name="Line 1354"/>
          <xdr:cNvSpPr>
            <a:spLocks noChangeShapeType="1"/>
          </xdr:cNvSpPr>
        </xdr:nvSpPr>
        <xdr:spPr bwMode="auto">
          <a:xfrm>
            <a:off x="606" y="1121"/>
            <a:ext cx="400" cy="0"/>
          </a:xfrm>
          <a:prstGeom prst="line">
            <a:avLst/>
          </a:prstGeom>
          <a:noFill/>
          <a:ln w="19050">
            <a:solidFill>
              <a:srgbClr val="0000FF"/>
            </a:solidFill>
            <a:round/>
            <a:headEnd/>
            <a:tailEnd/>
          </a:ln>
        </xdr:spPr>
      </xdr:sp>
      <xdr:sp macro="" textlink="">
        <xdr:nvSpPr>
          <xdr:cNvPr id="12563" name="Line 1355"/>
          <xdr:cNvSpPr>
            <a:spLocks noChangeShapeType="1"/>
          </xdr:cNvSpPr>
        </xdr:nvSpPr>
        <xdr:spPr bwMode="auto">
          <a:xfrm>
            <a:off x="861" y="1107"/>
            <a:ext cx="33" cy="0"/>
          </a:xfrm>
          <a:prstGeom prst="line">
            <a:avLst/>
          </a:prstGeom>
          <a:noFill/>
          <a:ln w="19050">
            <a:solidFill>
              <a:srgbClr val="0000FF"/>
            </a:solidFill>
            <a:round/>
            <a:headEnd/>
            <a:tailEnd/>
          </a:ln>
        </xdr:spPr>
      </xdr:sp>
      <xdr:sp macro="" textlink="">
        <xdr:nvSpPr>
          <xdr:cNvPr id="12564" name="Line 1356"/>
          <xdr:cNvSpPr>
            <a:spLocks noChangeShapeType="1"/>
          </xdr:cNvSpPr>
        </xdr:nvSpPr>
        <xdr:spPr bwMode="auto">
          <a:xfrm>
            <a:off x="732" y="1107"/>
            <a:ext cx="33" cy="0"/>
          </a:xfrm>
          <a:prstGeom prst="line">
            <a:avLst/>
          </a:prstGeom>
          <a:noFill/>
          <a:ln w="19050">
            <a:solidFill>
              <a:srgbClr val="0000FF"/>
            </a:solidFill>
            <a:round/>
            <a:headEnd/>
            <a:tailEnd/>
          </a:ln>
        </xdr:spPr>
      </xdr:sp>
      <xdr:sp macro="" textlink="">
        <xdr:nvSpPr>
          <xdr:cNvPr id="12565" name="Line 1357"/>
          <xdr:cNvSpPr>
            <a:spLocks noChangeShapeType="1"/>
          </xdr:cNvSpPr>
        </xdr:nvSpPr>
        <xdr:spPr bwMode="auto">
          <a:xfrm>
            <a:off x="615" y="1106"/>
            <a:ext cx="33" cy="0"/>
          </a:xfrm>
          <a:prstGeom prst="line">
            <a:avLst/>
          </a:prstGeom>
          <a:noFill/>
          <a:ln w="19050">
            <a:solidFill>
              <a:srgbClr val="0000FF"/>
            </a:solidFill>
            <a:round/>
            <a:headEnd/>
            <a:tailEnd/>
          </a:ln>
        </xdr:spPr>
      </xdr:sp>
      <xdr:sp macro="" textlink="">
        <xdr:nvSpPr>
          <xdr:cNvPr id="12566" name="Line 1358"/>
          <xdr:cNvSpPr>
            <a:spLocks noChangeShapeType="1"/>
          </xdr:cNvSpPr>
        </xdr:nvSpPr>
        <xdr:spPr bwMode="auto">
          <a:xfrm>
            <a:off x="993" y="1107"/>
            <a:ext cx="33" cy="0"/>
          </a:xfrm>
          <a:prstGeom prst="line">
            <a:avLst/>
          </a:prstGeom>
          <a:noFill/>
          <a:ln w="19050">
            <a:solidFill>
              <a:srgbClr val="0000FF"/>
            </a:solidFill>
            <a:round/>
            <a:headEnd/>
            <a:tailEnd/>
          </a:ln>
        </xdr:spPr>
      </xdr:sp>
      <xdr:grpSp>
        <xdr:nvGrpSpPr>
          <xdr:cNvPr id="12567" name="Group 1504"/>
          <xdr:cNvGrpSpPr>
            <a:grpSpLocks/>
          </xdr:cNvGrpSpPr>
        </xdr:nvGrpSpPr>
        <xdr:grpSpPr bwMode="auto">
          <a:xfrm>
            <a:off x="597" y="984"/>
            <a:ext cx="19" cy="138"/>
            <a:chOff x="597" y="978"/>
            <a:chExt cx="19" cy="155"/>
          </a:xfrm>
        </xdr:grpSpPr>
        <xdr:sp macro="" textlink="">
          <xdr:nvSpPr>
            <xdr:cNvPr id="12648" name="Rectangle 1330"/>
            <xdr:cNvSpPr>
              <a:spLocks noChangeArrowheads="1"/>
            </xdr:cNvSpPr>
          </xdr:nvSpPr>
          <xdr:spPr bwMode="auto">
            <a:xfrm>
              <a:off x="606" y="979"/>
              <a:ext cx="5" cy="8"/>
            </a:xfrm>
            <a:prstGeom prst="rect">
              <a:avLst/>
            </a:prstGeom>
            <a:solidFill>
              <a:srgbClr val="000000"/>
            </a:solidFill>
            <a:ln w="9525">
              <a:solidFill>
                <a:srgbClr val="000000"/>
              </a:solidFill>
              <a:miter lim="800000"/>
              <a:headEnd/>
              <a:tailEnd/>
            </a:ln>
          </xdr:spPr>
        </xdr:sp>
        <xdr:sp macro="" textlink="">
          <xdr:nvSpPr>
            <xdr:cNvPr id="12649" name="Rectangle 1331"/>
            <xdr:cNvSpPr>
              <a:spLocks noChangeArrowheads="1"/>
            </xdr:cNvSpPr>
          </xdr:nvSpPr>
          <xdr:spPr bwMode="auto">
            <a:xfrm>
              <a:off x="606" y="989"/>
              <a:ext cx="8" cy="134"/>
            </a:xfrm>
            <a:prstGeom prst="rect">
              <a:avLst/>
            </a:prstGeom>
            <a:solidFill>
              <a:srgbClr val="999933"/>
            </a:solidFill>
            <a:ln w="9525">
              <a:solidFill>
                <a:srgbClr val="000000"/>
              </a:solidFill>
              <a:miter lim="800000"/>
              <a:headEnd/>
              <a:tailEnd/>
            </a:ln>
          </xdr:spPr>
        </xdr:sp>
        <xdr:sp macro="" textlink="">
          <xdr:nvSpPr>
            <xdr:cNvPr id="12650" name="Rectangle 1333" descr="Dark downward diagonal"/>
            <xdr:cNvSpPr>
              <a:spLocks noChangeArrowheads="1"/>
            </xdr:cNvSpPr>
          </xdr:nvSpPr>
          <xdr:spPr bwMode="auto">
            <a:xfrm>
              <a:off x="603" y="978"/>
              <a:ext cx="3" cy="155"/>
            </a:xfrm>
            <a:prstGeom prst="rect">
              <a:avLst/>
            </a:prstGeom>
            <a:pattFill prst="dkDnDiag">
              <a:fgClr>
                <a:srgbClr val="000000"/>
              </a:fgClr>
              <a:bgClr>
                <a:srgbClr val="6699FF"/>
              </a:bgClr>
            </a:pattFill>
            <a:ln w="9525">
              <a:solidFill>
                <a:srgbClr val="000000"/>
              </a:solidFill>
              <a:miter lim="800000"/>
              <a:headEnd/>
              <a:tailEnd/>
            </a:ln>
          </xdr:spPr>
        </xdr:sp>
        <xdr:sp macro="" textlink="">
          <xdr:nvSpPr>
            <xdr:cNvPr id="12651" name="Rectangle 1334"/>
            <xdr:cNvSpPr>
              <a:spLocks noChangeArrowheads="1"/>
            </xdr:cNvSpPr>
          </xdr:nvSpPr>
          <xdr:spPr bwMode="auto">
            <a:xfrm>
              <a:off x="607" y="1124"/>
              <a:ext cx="5" cy="8"/>
            </a:xfrm>
            <a:prstGeom prst="rect">
              <a:avLst/>
            </a:prstGeom>
            <a:solidFill>
              <a:srgbClr val="000000"/>
            </a:solidFill>
            <a:ln w="9525">
              <a:solidFill>
                <a:srgbClr val="000000"/>
              </a:solidFill>
              <a:miter lim="800000"/>
              <a:headEnd/>
              <a:tailEnd/>
            </a:ln>
          </xdr:spPr>
        </xdr:sp>
        <xdr:grpSp>
          <xdr:nvGrpSpPr>
            <xdr:cNvPr id="12652" name="Group 1335"/>
            <xdr:cNvGrpSpPr>
              <a:grpSpLocks/>
            </xdr:cNvGrpSpPr>
          </xdr:nvGrpSpPr>
          <xdr:grpSpPr bwMode="auto">
            <a:xfrm>
              <a:off x="597" y="978"/>
              <a:ext cx="15" cy="11"/>
              <a:chOff x="719" y="713"/>
              <a:chExt cx="15" cy="11"/>
            </a:xfrm>
          </xdr:grpSpPr>
          <xdr:grpSp>
            <xdr:nvGrpSpPr>
              <xdr:cNvPr id="12664" name="Group 1336"/>
              <xdr:cNvGrpSpPr>
                <a:grpSpLocks/>
              </xdr:cNvGrpSpPr>
            </xdr:nvGrpSpPr>
            <xdr:grpSpPr bwMode="auto">
              <a:xfrm>
                <a:off x="719" y="713"/>
                <a:ext cx="5" cy="11"/>
                <a:chOff x="719" y="713"/>
                <a:chExt cx="5" cy="10"/>
              </a:xfrm>
            </xdr:grpSpPr>
            <xdr:sp macro="" textlink="">
              <xdr:nvSpPr>
                <xdr:cNvPr id="12666" name="Rectangle 1337"/>
                <xdr:cNvSpPr>
                  <a:spLocks noChangeArrowheads="1"/>
                </xdr:cNvSpPr>
              </xdr:nvSpPr>
              <xdr:spPr bwMode="auto">
                <a:xfrm>
                  <a:off x="719" y="713"/>
                  <a:ext cx="5" cy="10"/>
                </a:xfrm>
                <a:prstGeom prst="rect">
                  <a:avLst/>
                </a:prstGeom>
                <a:solidFill>
                  <a:srgbClr val="FFFFFF"/>
                </a:solidFill>
                <a:ln w="9525">
                  <a:solidFill>
                    <a:srgbClr val="000000"/>
                  </a:solidFill>
                  <a:miter lim="800000"/>
                  <a:headEnd/>
                  <a:tailEnd/>
                </a:ln>
              </xdr:spPr>
            </xdr:sp>
            <xdr:sp macro="" textlink="">
              <xdr:nvSpPr>
                <xdr:cNvPr id="12667" name="Line 1338"/>
                <xdr:cNvSpPr>
                  <a:spLocks noChangeShapeType="1"/>
                </xdr:cNvSpPr>
              </xdr:nvSpPr>
              <xdr:spPr bwMode="auto">
                <a:xfrm>
                  <a:off x="719" y="716"/>
                  <a:ext cx="5" cy="0"/>
                </a:xfrm>
                <a:prstGeom prst="line">
                  <a:avLst/>
                </a:prstGeom>
                <a:noFill/>
                <a:ln w="9525">
                  <a:solidFill>
                    <a:srgbClr val="000000"/>
                  </a:solidFill>
                  <a:round/>
                  <a:headEnd/>
                  <a:tailEnd/>
                </a:ln>
              </xdr:spPr>
            </xdr:sp>
            <xdr:sp macro="" textlink="">
              <xdr:nvSpPr>
                <xdr:cNvPr id="12668" name="Line 1339"/>
                <xdr:cNvSpPr>
                  <a:spLocks noChangeShapeType="1"/>
                </xdr:cNvSpPr>
              </xdr:nvSpPr>
              <xdr:spPr bwMode="auto">
                <a:xfrm>
                  <a:off x="719" y="721"/>
                  <a:ext cx="5" cy="0"/>
                </a:xfrm>
                <a:prstGeom prst="line">
                  <a:avLst/>
                </a:prstGeom>
                <a:noFill/>
                <a:ln w="9525">
                  <a:solidFill>
                    <a:srgbClr val="000000"/>
                  </a:solidFill>
                  <a:round/>
                  <a:headEnd/>
                  <a:tailEnd/>
                </a:ln>
              </xdr:spPr>
            </xdr:sp>
          </xdr:grpSp>
          <xdr:sp macro="" textlink="">
            <xdr:nvSpPr>
              <xdr:cNvPr id="12665" name="Rectangle 1340" descr="Dark upward diagonal"/>
              <xdr:cNvSpPr>
                <a:spLocks noChangeArrowheads="1"/>
              </xdr:cNvSpPr>
            </xdr:nvSpPr>
            <xdr:spPr bwMode="auto">
              <a:xfrm flipV="1">
                <a:off x="724" y="717"/>
                <a:ext cx="10" cy="3"/>
              </a:xfrm>
              <a:prstGeom prst="rect">
                <a:avLst/>
              </a:prstGeom>
              <a:pattFill prst="dkUpDiag">
                <a:fgClr>
                  <a:srgbClr val="000000"/>
                </a:fgClr>
                <a:bgClr>
                  <a:srgbClr val="FFFFFF"/>
                </a:bgClr>
              </a:pattFill>
              <a:ln w="9525">
                <a:solidFill>
                  <a:srgbClr val="000000"/>
                </a:solidFill>
                <a:miter lim="800000"/>
                <a:headEnd/>
                <a:tailEnd/>
              </a:ln>
            </xdr:spPr>
          </xdr:sp>
        </xdr:grpSp>
        <xdr:grpSp>
          <xdr:nvGrpSpPr>
            <xdr:cNvPr id="12653" name="Group 1341"/>
            <xdr:cNvGrpSpPr>
              <a:grpSpLocks/>
            </xdr:cNvGrpSpPr>
          </xdr:nvGrpSpPr>
          <xdr:grpSpPr bwMode="auto">
            <a:xfrm>
              <a:off x="598" y="1122"/>
              <a:ext cx="15" cy="11"/>
              <a:chOff x="719" y="713"/>
              <a:chExt cx="15" cy="11"/>
            </a:xfrm>
          </xdr:grpSpPr>
          <xdr:grpSp>
            <xdr:nvGrpSpPr>
              <xdr:cNvPr id="12659" name="Group 1342"/>
              <xdr:cNvGrpSpPr>
                <a:grpSpLocks/>
              </xdr:cNvGrpSpPr>
            </xdr:nvGrpSpPr>
            <xdr:grpSpPr bwMode="auto">
              <a:xfrm>
                <a:off x="719" y="713"/>
                <a:ext cx="5" cy="11"/>
                <a:chOff x="719" y="713"/>
                <a:chExt cx="5" cy="10"/>
              </a:xfrm>
            </xdr:grpSpPr>
            <xdr:sp macro="" textlink="">
              <xdr:nvSpPr>
                <xdr:cNvPr id="12661" name="Rectangle 1343"/>
                <xdr:cNvSpPr>
                  <a:spLocks noChangeArrowheads="1"/>
                </xdr:cNvSpPr>
              </xdr:nvSpPr>
              <xdr:spPr bwMode="auto">
                <a:xfrm>
                  <a:off x="719" y="713"/>
                  <a:ext cx="5" cy="10"/>
                </a:xfrm>
                <a:prstGeom prst="rect">
                  <a:avLst/>
                </a:prstGeom>
                <a:solidFill>
                  <a:srgbClr val="FFFFFF"/>
                </a:solidFill>
                <a:ln w="9525">
                  <a:solidFill>
                    <a:srgbClr val="000000"/>
                  </a:solidFill>
                  <a:miter lim="800000"/>
                  <a:headEnd/>
                  <a:tailEnd/>
                </a:ln>
              </xdr:spPr>
            </xdr:sp>
            <xdr:sp macro="" textlink="">
              <xdr:nvSpPr>
                <xdr:cNvPr id="12662" name="Line 1344"/>
                <xdr:cNvSpPr>
                  <a:spLocks noChangeShapeType="1"/>
                </xdr:cNvSpPr>
              </xdr:nvSpPr>
              <xdr:spPr bwMode="auto">
                <a:xfrm>
                  <a:off x="719" y="716"/>
                  <a:ext cx="5" cy="0"/>
                </a:xfrm>
                <a:prstGeom prst="line">
                  <a:avLst/>
                </a:prstGeom>
                <a:noFill/>
                <a:ln w="9525">
                  <a:solidFill>
                    <a:srgbClr val="000000"/>
                  </a:solidFill>
                  <a:round/>
                  <a:headEnd/>
                  <a:tailEnd/>
                </a:ln>
              </xdr:spPr>
            </xdr:sp>
            <xdr:sp macro="" textlink="">
              <xdr:nvSpPr>
                <xdr:cNvPr id="12663" name="Line 1345"/>
                <xdr:cNvSpPr>
                  <a:spLocks noChangeShapeType="1"/>
                </xdr:cNvSpPr>
              </xdr:nvSpPr>
              <xdr:spPr bwMode="auto">
                <a:xfrm>
                  <a:off x="719" y="721"/>
                  <a:ext cx="5" cy="0"/>
                </a:xfrm>
                <a:prstGeom prst="line">
                  <a:avLst/>
                </a:prstGeom>
                <a:noFill/>
                <a:ln w="9525">
                  <a:solidFill>
                    <a:srgbClr val="000000"/>
                  </a:solidFill>
                  <a:round/>
                  <a:headEnd/>
                  <a:tailEnd/>
                </a:ln>
              </xdr:spPr>
            </xdr:sp>
          </xdr:grpSp>
          <xdr:sp macro="" textlink="">
            <xdr:nvSpPr>
              <xdr:cNvPr id="12660" name="Rectangle 1346" descr="Dark upward diagonal"/>
              <xdr:cNvSpPr>
                <a:spLocks noChangeArrowheads="1"/>
              </xdr:cNvSpPr>
            </xdr:nvSpPr>
            <xdr:spPr bwMode="auto">
              <a:xfrm flipV="1">
                <a:off x="724" y="717"/>
                <a:ext cx="10" cy="3"/>
              </a:xfrm>
              <a:prstGeom prst="rect">
                <a:avLst/>
              </a:prstGeom>
              <a:pattFill prst="dkUpDiag">
                <a:fgClr>
                  <a:srgbClr val="000000"/>
                </a:fgClr>
                <a:bgClr>
                  <a:srgbClr val="FFFFFF"/>
                </a:bgClr>
              </a:pattFill>
              <a:ln w="9525">
                <a:solidFill>
                  <a:srgbClr val="000000"/>
                </a:solidFill>
                <a:miter lim="800000"/>
                <a:headEnd/>
                <a:tailEnd/>
              </a:ln>
            </xdr:spPr>
          </xdr:sp>
        </xdr:grpSp>
        <xdr:grpSp>
          <xdr:nvGrpSpPr>
            <xdr:cNvPr id="12654" name="Group 1347"/>
            <xdr:cNvGrpSpPr>
              <a:grpSpLocks/>
            </xdr:cNvGrpSpPr>
          </xdr:nvGrpSpPr>
          <xdr:grpSpPr bwMode="auto">
            <a:xfrm>
              <a:off x="597" y="1044"/>
              <a:ext cx="5" cy="11"/>
              <a:chOff x="719" y="713"/>
              <a:chExt cx="5" cy="10"/>
            </a:xfrm>
          </xdr:grpSpPr>
          <xdr:sp macro="" textlink="">
            <xdr:nvSpPr>
              <xdr:cNvPr id="12656" name="Rectangle 1348"/>
              <xdr:cNvSpPr>
                <a:spLocks noChangeArrowheads="1"/>
              </xdr:cNvSpPr>
            </xdr:nvSpPr>
            <xdr:spPr bwMode="auto">
              <a:xfrm>
                <a:off x="719" y="713"/>
                <a:ext cx="5" cy="10"/>
              </a:xfrm>
              <a:prstGeom prst="rect">
                <a:avLst/>
              </a:prstGeom>
              <a:solidFill>
                <a:srgbClr val="FFFFFF"/>
              </a:solidFill>
              <a:ln w="9525">
                <a:solidFill>
                  <a:srgbClr val="000000"/>
                </a:solidFill>
                <a:miter lim="800000"/>
                <a:headEnd/>
                <a:tailEnd/>
              </a:ln>
            </xdr:spPr>
          </xdr:sp>
          <xdr:sp macro="" textlink="">
            <xdr:nvSpPr>
              <xdr:cNvPr id="12657" name="Line 1349"/>
              <xdr:cNvSpPr>
                <a:spLocks noChangeShapeType="1"/>
              </xdr:cNvSpPr>
            </xdr:nvSpPr>
            <xdr:spPr bwMode="auto">
              <a:xfrm>
                <a:off x="719" y="716"/>
                <a:ext cx="5" cy="0"/>
              </a:xfrm>
              <a:prstGeom prst="line">
                <a:avLst/>
              </a:prstGeom>
              <a:noFill/>
              <a:ln w="9525">
                <a:solidFill>
                  <a:srgbClr val="000000"/>
                </a:solidFill>
                <a:round/>
                <a:headEnd/>
                <a:tailEnd/>
              </a:ln>
            </xdr:spPr>
          </xdr:sp>
          <xdr:sp macro="" textlink="">
            <xdr:nvSpPr>
              <xdr:cNvPr id="12658" name="Line 1350"/>
              <xdr:cNvSpPr>
                <a:spLocks noChangeShapeType="1"/>
              </xdr:cNvSpPr>
            </xdr:nvSpPr>
            <xdr:spPr bwMode="auto">
              <a:xfrm>
                <a:off x="719" y="721"/>
                <a:ext cx="5" cy="0"/>
              </a:xfrm>
              <a:prstGeom prst="line">
                <a:avLst/>
              </a:prstGeom>
              <a:noFill/>
              <a:ln w="9525">
                <a:solidFill>
                  <a:srgbClr val="000000"/>
                </a:solidFill>
                <a:round/>
                <a:headEnd/>
                <a:tailEnd/>
              </a:ln>
            </xdr:spPr>
          </xdr:sp>
        </xdr:grpSp>
        <xdr:sp macro="" textlink="">
          <xdr:nvSpPr>
            <xdr:cNvPr id="12655" name="Line 1359"/>
            <xdr:cNvSpPr>
              <a:spLocks noChangeShapeType="1"/>
            </xdr:cNvSpPr>
          </xdr:nvSpPr>
          <xdr:spPr bwMode="auto">
            <a:xfrm flipH="1" flipV="1">
              <a:off x="615" y="1113"/>
              <a:ext cx="1" cy="9"/>
            </a:xfrm>
            <a:prstGeom prst="line">
              <a:avLst/>
            </a:prstGeom>
            <a:noFill/>
            <a:ln w="19050">
              <a:solidFill>
                <a:srgbClr val="0000FF"/>
              </a:solidFill>
              <a:round/>
              <a:headEnd/>
              <a:tailEnd/>
            </a:ln>
          </xdr:spPr>
        </xdr:sp>
      </xdr:grpSp>
      <xdr:sp macro="" textlink="">
        <xdr:nvSpPr>
          <xdr:cNvPr id="12568" name="AutoShape 1360"/>
          <xdr:cNvSpPr>
            <a:spLocks noChangeArrowheads="1"/>
          </xdr:cNvSpPr>
        </xdr:nvSpPr>
        <xdr:spPr bwMode="auto">
          <a:xfrm flipH="1">
            <a:off x="858" y="994"/>
            <a:ext cx="39" cy="8"/>
          </a:xfrm>
          <a:prstGeom prst="rightArrow">
            <a:avLst>
              <a:gd name="adj1" fmla="val 50000"/>
              <a:gd name="adj2" fmla="val 121875"/>
            </a:avLst>
          </a:prstGeom>
          <a:solidFill>
            <a:srgbClr val="33CCCC"/>
          </a:solidFill>
          <a:ln w="9525">
            <a:solidFill>
              <a:srgbClr val="000000"/>
            </a:solidFill>
            <a:miter lim="800000"/>
            <a:headEnd/>
            <a:tailEnd/>
          </a:ln>
        </xdr:spPr>
      </xdr:sp>
      <xdr:sp macro="" textlink="">
        <xdr:nvSpPr>
          <xdr:cNvPr id="12569" name="AutoShape 1361"/>
          <xdr:cNvSpPr>
            <a:spLocks noChangeArrowheads="1"/>
          </xdr:cNvSpPr>
        </xdr:nvSpPr>
        <xdr:spPr bwMode="auto">
          <a:xfrm rot="10800000" flipH="1">
            <a:off x="912" y="1106"/>
            <a:ext cx="39" cy="8"/>
          </a:xfrm>
          <a:prstGeom prst="rightArrow">
            <a:avLst>
              <a:gd name="adj1" fmla="val 50000"/>
              <a:gd name="adj2" fmla="val 121875"/>
            </a:avLst>
          </a:prstGeom>
          <a:solidFill>
            <a:srgbClr val="33CCCC"/>
          </a:solidFill>
          <a:ln w="9525">
            <a:solidFill>
              <a:srgbClr val="000000"/>
            </a:solidFill>
            <a:miter lim="800000"/>
            <a:headEnd/>
            <a:tailEnd/>
          </a:ln>
        </xdr:spPr>
      </xdr:sp>
      <xdr:sp macro="" textlink="">
        <xdr:nvSpPr>
          <xdr:cNvPr id="12570" name="AutoShape 1362"/>
          <xdr:cNvSpPr>
            <a:spLocks noChangeArrowheads="1"/>
          </xdr:cNvSpPr>
        </xdr:nvSpPr>
        <xdr:spPr bwMode="auto">
          <a:xfrm>
            <a:off x="615" y="1002"/>
            <a:ext cx="529" cy="103"/>
          </a:xfrm>
          <a:prstGeom prst="roundRect">
            <a:avLst>
              <a:gd name="adj" fmla="val 4917"/>
            </a:avLst>
          </a:prstGeom>
          <a:noFill/>
          <a:ln w="19050">
            <a:solidFill>
              <a:srgbClr val="993366"/>
            </a:solidFill>
            <a:round/>
            <a:headEnd/>
            <a:tailEnd/>
          </a:ln>
        </xdr:spPr>
      </xdr:sp>
      <xdr:sp macro="" textlink="">
        <xdr:nvSpPr>
          <xdr:cNvPr id="12571" name="Line 1386"/>
          <xdr:cNvSpPr>
            <a:spLocks noChangeShapeType="1"/>
          </xdr:cNvSpPr>
        </xdr:nvSpPr>
        <xdr:spPr bwMode="auto">
          <a:xfrm>
            <a:off x="878" y="1104"/>
            <a:ext cx="1" cy="12"/>
          </a:xfrm>
          <a:prstGeom prst="line">
            <a:avLst/>
          </a:prstGeom>
          <a:noFill/>
          <a:ln w="19050">
            <a:solidFill>
              <a:srgbClr val="0000FF"/>
            </a:solidFill>
            <a:prstDash val="sysDot"/>
            <a:round/>
            <a:headEnd/>
            <a:tailEnd/>
          </a:ln>
        </xdr:spPr>
      </xdr:sp>
      <xdr:sp macro="" textlink="">
        <xdr:nvSpPr>
          <xdr:cNvPr id="12572" name="Line 1387"/>
          <xdr:cNvSpPr>
            <a:spLocks noChangeShapeType="1"/>
          </xdr:cNvSpPr>
        </xdr:nvSpPr>
        <xdr:spPr bwMode="auto">
          <a:xfrm>
            <a:off x="1009" y="1108"/>
            <a:ext cx="0" cy="8"/>
          </a:xfrm>
          <a:prstGeom prst="line">
            <a:avLst/>
          </a:prstGeom>
          <a:noFill/>
          <a:ln w="19050">
            <a:solidFill>
              <a:srgbClr val="0000FF"/>
            </a:solidFill>
            <a:prstDash val="sysDot"/>
            <a:round/>
            <a:headEnd/>
            <a:tailEnd/>
          </a:ln>
        </xdr:spPr>
      </xdr:sp>
      <xdr:sp macro="" textlink="">
        <xdr:nvSpPr>
          <xdr:cNvPr id="12573" name="Line 1410"/>
          <xdr:cNvSpPr>
            <a:spLocks noChangeShapeType="1"/>
          </xdr:cNvSpPr>
        </xdr:nvSpPr>
        <xdr:spPr bwMode="auto">
          <a:xfrm rot="-5400000">
            <a:off x="1126" y="1058"/>
            <a:ext cx="19" cy="0"/>
          </a:xfrm>
          <a:prstGeom prst="line">
            <a:avLst/>
          </a:prstGeom>
          <a:noFill/>
          <a:ln w="9525">
            <a:solidFill>
              <a:srgbClr val="000000"/>
            </a:solidFill>
            <a:prstDash val="sysDot"/>
            <a:round/>
            <a:headEnd/>
            <a:tailEnd/>
          </a:ln>
        </xdr:spPr>
      </xdr:sp>
      <xdr:grpSp>
        <xdr:nvGrpSpPr>
          <xdr:cNvPr id="12574" name="Group 1420"/>
          <xdr:cNvGrpSpPr>
            <a:grpSpLocks/>
          </xdr:cNvGrpSpPr>
        </xdr:nvGrpSpPr>
        <xdr:grpSpPr bwMode="auto">
          <a:xfrm>
            <a:off x="625" y="1113"/>
            <a:ext cx="41" cy="30"/>
            <a:chOff x="595" y="629"/>
            <a:chExt cx="59" cy="30"/>
          </a:xfrm>
        </xdr:grpSpPr>
        <xdr:sp macro="" textlink="">
          <xdr:nvSpPr>
            <xdr:cNvPr id="12646" name="Rectangle 1421" descr="Wide downward diagonal"/>
            <xdr:cNvSpPr>
              <a:spLocks noChangeArrowheads="1"/>
            </xdr:cNvSpPr>
          </xdr:nvSpPr>
          <xdr:spPr bwMode="auto">
            <a:xfrm>
              <a:off x="595" y="629"/>
              <a:ext cx="59" cy="30"/>
            </a:xfrm>
            <a:prstGeom prst="rect">
              <a:avLst/>
            </a:prstGeom>
            <a:pattFill prst="wdDnDiag">
              <a:fgClr>
                <a:srgbClr val="000000"/>
              </a:fgClr>
              <a:bgClr>
                <a:srgbClr val="FFFFFF"/>
              </a:bgClr>
            </a:pattFill>
            <a:ln w="9525">
              <a:solidFill>
                <a:srgbClr val="000000"/>
              </a:solidFill>
              <a:miter lim="800000"/>
              <a:headEnd/>
              <a:tailEnd/>
            </a:ln>
          </xdr:spPr>
        </xdr:sp>
        <xdr:sp macro="" textlink="">
          <xdr:nvSpPr>
            <xdr:cNvPr id="12647" name="Rectangle 1422"/>
            <xdr:cNvSpPr>
              <a:spLocks noChangeArrowheads="1"/>
            </xdr:cNvSpPr>
          </xdr:nvSpPr>
          <xdr:spPr bwMode="auto">
            <a:xfrm>
              <a:off x="598" y="629"/>
              <a:ext cx="53" cy="30"/>
            </a:xfrm>
            <a:prstGeom prst="rect">
              <a:avLst/>
            </a:prstGeom>
            <a:solidFill>
              <a:srgbClr val="FFFFFF"/>
            </a:solidFill>
            <a:ln w="9525">
              <a:solidFill>
                <a:srgbClr val="000000"/>
              </a:solidFill>
              <a:miter lim="800000"/>
              <a:headEnd/>
              <a:tailEnd/>
            </a:ln>
          </xdr:spPr>
        </xdr:sp>
      </xdr:grpSp>
      <xdr:sp macro="" textlink="">
        <xdr:nvSpPr>
          <xdr:cNvPr id="12575" name="AutoShape 1423"/>
          <xdr:cNvSpPr>
            <a:spLocks noChangeArrowheads="1"/>
          </xdr:cNvSpPr>
        </xdr:nvSpPr>
        <xdr:spPr bwMode="auto">
          <a:xfrm rot="5514549" flipH="1" flipV="1">
            <a:off x="642" y="989"/>
            <a:ext cx="14" cy="15"/>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343 w 21600"/>
              <a:gd name="T13" fmla="*/ 2880 h 21600"/>
              <a:gd name="T14" fmla="*/ 18514 w 21600"/>
              <a:gd name="T15" fmla="*/ 8640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33CCCC"/>
          </a:solidFill>
          <a:ln w="9525">
            <a:solidFill>
              <a:srgbClr val="000000"/>
            </a:solidFill>
            <a:miter lim="800000"/>
            <a:headEnd/>
            <a:tailEnd/>
          </a:ln>
        </xdr:spPr>
      </xdr:sp>
      <xdr:sp macro="" textlink="">
        <xdr:nvSpPr>
          <xdr:cNvPr id="12576" name="AutoShape 1439"/>
          <xdr:cNvSpPr>
            <a:spLocks noChangeArrowheads="1"/>
          </xdr:cNvSpPr>
        </xdr:nvSpPr>
        <xdr:spPr bwMode="auto">
          <a:xfrm rot="10800000" flipH="1" flipV="1">
            <a:off x="645" y="1114"/>
            <a:ext cx="14" cy="15"/>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343 w 21600"/>
              <a:gd name="T13" fmla="*/ 2880 h 21600"/>
              <a:gd name="T14" fmla="*/ 18514 w 21600"/>
              <a:gd name="T15" fmla="*/ 8640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33CCCC"/>
          </a:solidFill>
          <a:ln w="9525">
            <a:solidFill>
              <a:srgbClr val="000000"/>
            </a:solidFill>
            <a:miter lim="800000"/>
            <a:headEnd/>
            <a:tailEnd/>
          </a:ln>
        </xdr:spPr>
      </xdr:sp>
      <xdr:sp macro="" textlink="">
        <xdr:nvSpPr>
          <xdr:cNvPr id="12577" name="AutoShape 1440"/>
          <xdr:cNvSpPr>
            <a:spLocks noChangeArrowheads="1"/>
          </xdr:cNvSpPr>
        </xdr:nvSpPr>
        <xdr:spPr bwMode="auto">
          <a:xfrm rot="10800000" flipV="1">
            <a:off x="1137" y="994"/>
            <a:ext cx="14" cy="15"/>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343 w 21600"/>
              <a:gd name="T13" fmla="*/ 2880 h 21600"/>
              <a:gd name="T14" fmla="*/ 18514 w 21600"/>
              <a:gd name="T15" fmla="*/ 8640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33CCCC"/>
          </a:solidFill>
          <a:ln w="9525">
            <a:solidFill>
              <a:srgbClr val="000000"/>
            </a:solidFill>
            <a:miter lim="800000"/>
            <a:headEnd/>
            <a:tailEnd/>
          </a:ln>
        </xdr:spPr>
      </xdr:sp>
      <xdr:sp macro="" textlink="">
        <xdr:nvSpPr>
          <xdr:cNvPr id="12578" name="AutoShape 1456"/>
          <xdr:cNvSpPr>
            <a:spLocks noChangeArrowheads="1"/>
          </xdr:cNvSpPr>
        </xdr:nvSpPr>
        <xdr:spPr bwMode="auto">
          <a:xfrm>
            <a:off x="1010" y="1002"/>
            <a:ext cx="129" cy="101"/>
          </a:xfrm>
          <a:prstGeom prst="roundRect">
            <a:avLst>
              <a:gd name="adj" fmla="val 6778"/>
            </a:avLst>
          </a:prstGeom>
          <a:solidFill>
            <a:srgbClr val="C0C0C0"/>
          </a:solidFill>
          <a:ln w="9525">
            <a:solidFill>
              <a:srgbClr val="000000"/>
            </a:solidFill>
            <a:round/>
            <a:headEnd/>
            <a:tailEnd/>
          </a:ln>
        </xdr:spPr>
      </xdr:sp>
      <xdr:grpSp>
        <xdr:nvGrpSpPr>
          <xdr:cNvPr id="12579" name="Group 1468"/>
          <xdr:cNvGrpSpPr>
            <a:grpSpLocks/>
          </xdr:cNvGrpSpPr>
        </xdr:nvGrpSpPr>
        <xdr:grpSpPr bwMode="auto">
          <a:xfrm>
            <a:off x="880" y="1002"/>
            <a:ext cx="159" cy="101"/>
            <a:chOff x="620" y="1011"/>
            <a:chExt cx="159" cy="101"/>
          </a:xfrm>
        </xdr:grpSpPr>
        <xdr:sp macro="" textlink="">
          <xdr:nvSpPr>
            <xdr:cNvPr id="12634" name="AutoShape 1469"/>
            <xdr:cNvSpPr>
              <a:spLocks noChangeArrowheads="1"/>
            </xdr:cNvSpPr>
          </xdr:nvSpPr>
          <xdr:spPr bwMode="auto">
            <a:xfrm>
              <a:off x="620" y="1011"/>
              <a:ext cx="129" cy="101"/>
            </a:xfrm>
            <a:prstGeom prst="roundRect">
              <a:avLst>
                <a:gd name="adj" fmla="val 6778"/>
              </a:avLst>
            </a:prstGeom>
            <a:solidFill>
              <a:srgbClr val="C0C0C0"/>
            </a:solidFill>
            <a:ln w="9525">
              <a:solidFill>
                <a:srgbClr val="000000"/>
              </a:solidFill>
              <a:round/>
              <a:headEnd/>
              <a:tailEnd/>
            </a:ln>
          </xdr:spPr>
        </xdr:sp>
        <xdr:grpSp>
          <xdr:nvGrpSpPr>
            <xdr:cNvPr id="12635" name="Group 1470"/>
            <xdr:cNvGrpSpPr>
              <a:grpSpLocks/>
            </xdr:cNvGrpSpPr>
          </xdr:nvGrpSpPr>
          <xdr:grpSpPr bwMode="auto">
            <a:xfrm>
              <a:off x="719" y="1019"/>
              <a:ext cx="60" cy="28"/>
              <a:chOff x="692" y="685"/>
              <a:chExt cx="60" cy="28"/>
            </a:xfrm>
          </xdr:grpSpPr>
          <xdr:grpSp>
            <xdr:nvGrpSpPr>
              <xdr:cNvPr id="12636" name="Group 1471"/>
              <xdr:cNvGrpSpPr>
                <a:grpSpLocks/>
              </xdr:cNvGrpSpPr>
            </xdr:nvGrpSpPr>
            <xdr:grpSpPr bwMode="auto">
              <a:xfrm>
                <a:off x="692" y="685"/>
                <a:ext cx="60" cy="28"/>
                <a:chOff x="692" y="685"/>
                <a:chExt cx="60" cy="28"/>
              </a:xfrm>
            </xdr:grpSpPr>
            <xdr:sp macro="" textlink="">
              <xdr:nvSpPr>
                <xdr:cNvPr id="12641" name="Oval 1472"/>
                <xdr:cNvSpPr>
                  <a:spLocks noChangeArrowheads="1"/>
                </xdr:cNvSpPr>
              </xdr:nvSpPr>
              <xdr:spPr bwMode="auto">
                <a:xfrm>
                  <a:off x="692" y="685"/>
                  <a:ext cx="28" cy="28"/>
                </a:xfrm>
                <a:prstGeom prst="ellipse">
                  <a:avLst/>
                </a:prstGeom>
                <a:solidFill>
                  <a:srgbClr val="FF9933"/>
                </a:solidFill>
                <a:ln w="9525">
                  <a:solidFill>
                    <a:srgbClr val="000000"/>
                  </a:solidFill>
                  <a:round/>
                  <a:headEnd/>
                  <a:tailEnd/>
                </a:ln>
              </xdr:spPr>
            </xdr:sp>
            <xdr:sp macro="" textlink="">
              <xdr:nvSpPr>
                <xdr:cNvPr id="12642" name="Oval 1473"/>
                <xdr:cNvSpPr>
                  <a:spLocks noChangeArrowheads="1"/>
                </xdr:cNvSpPr>
              </xdr:nvSpPr>
              <xdr:spPr bwMode="auto">
                <a:xfrm>
                  <a:off x="724" y="685"/>
                  <a:ext cx="28" cy="28"/>
                </a:xfrm>
                <a:prstGeom prst="ellipse">
                  <a:avLst/>
                </a:prstGeom>
                <a:solidFill>
                  <a:srgbClr val="FF9933"/>
                </a:solidFill>
                <a:ln w="9525">
                  <a:solidFill>
                    <a:srgbClr val="000000"/>
                  </a:solidFill>
                  <a:round/>
                  <a:headEnd/>
                  <a:tailEnd/>
                </a:ln>
              </xdr:spPr>
            </xdr:sp>
            <xdr:sp macro="" textlink="">
              <xdr:nvSpPr>
                <xdr:cNvPr id="12643" name="Rectangle 1474"/>
                <xdr:cNvSpPr>
                  <a:spLocks noChangeArrowheads="1"/>
                </xdr:cNvSpPr>
              </xdr:nvSpPr>
              <xdr:spPr bwMode="auto">
                <a:xfrm>
                  <a:off x="706" y="685"/>
                  <a:ext cx="32" cy="28"/>
                </a:xfrm>
                <a:prstGeom prst="rect">
                  <a:avLst/>
                </a:prstGeom>
                <a:solidFill>
                  <a:srgbClr val="FF9933"/>
                </a:solidFill>
                <a:ln w="9525">
                  <a:noFill/>
                  <a:miter lim="800000"/>
                  <a:headEnd/>
                  <a:tailEnd/>
                </a:ln>
              </xdr:spPr>
            </xdr:sp>
            <xdr:sp macro="" textlink="">
              <xdr:nvSpPr>
                <xdr:cNvPr id="12644" name="Line 1475"/>
                <xdr:cNvSpPr>
                  <a:spLocks noChangeShapeType="1"/>
                </xdr:cNvSpPr>
              </xdr:nvSpPr>
              <xdr:spPr bwMode="auto">
                <a:xfrm>
                  <a:off x="706" y="685"/>
                  <a:ext cx="32" cy="0"/>
                </a:xfrm>
                <a:prstGeom prst="line">
                  <a:avLst/>
                </a:prstGeom>
                <a:noFill/>
                <a:ln w="9525">
                  <a:solidFill>
                    <a:srgbClr val="000000"/>
                  </a:solidFill>
                  <a:round/>
                  <a:headEnd/>
                  <a:tailEnd/>
                </a:ln>
              </xdr:spPr>
            </xdr:sp>
            <xdr:sp macro="" textlink="">
              <xdr:nvSpPr>
                <xdr:cNvPr id="12645" name="Line 1476"/>
                <xdr:cNvSpPr>
                  <a:spLocks noChangeShapeType="1"/>
                </xdr:cNvSpPr>
              </xdr:nvSpPr>
              <xdr:spPr bwMode="auto">
                <a:xfrm>
                  <a:off x="705" y="713"/>
                  <a:ext cx="32" cy="0"/>
                </a:xfrm>
                <a:prstGeom prst="line">
                  <a:avLst/>
                </a:prstGeom>
                <a:noFill/>
                <a:ln w="9525">
                  <a:solidFill>
                    <a:srgbClr val="000000"/>
                  </a:solidFill>
                  <a:round/>
                  <a:headEnd/>
                  <a:tailEnd/>
                </a:ln>
              </xdr:spPr>
            </xdr:sp>
          </xdr:grpSp>
          <xdr:sp macro="" textlink="">
            <xdr:nvSpPr>
              <xdr:cNvPr id="12637" name="AutoShape 1477"/>
              <xdr:cNvSpPr>
                <a:spLocks noChangeArrowheads="1"/>
              </xdr:cNvSpPr>
            </xdr:nvSpPr>
            <xdr:spPr bwMode="auto">
              <a:xfrm>
                <a:off x="695"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638" name="Oval 1478"/>
              <xdr:cNvSpPr>
                <a:spLocks noChangeArrowheads="1"/>
              </xdr:cNvSpPr>
            </xdr:nvSpPr>
            <xdr:spPr bwMode="auto">
              <a:xfrm>
                <a:off x="700" y="693"/>
                <a:ext cx="12" cy="12"/>
              </a:xfrm>
              <a:prstGeom prst="ellipse">
                <a:avLst/>
              </a:prstGeom>
              <a:solidFill>
                <a:srgbClr val="FF9933"/>
              </a:solidFill>
              <a:ln w="9525">
                <a:solidFill>
                  <a:srgbClr val="000000"/>
                </a:solidFill>
                <a:round/>
                <a:headEnd/>
                <a:tailEnd/>
              </a:ln>
            </xdr:spPr>
          </xdr:sp>
          <xdr:sp macro="" textlink="">
            <xdr:nvSpPr>
              <xdr:cNvPr id="12639" name="AutoShape 1479"/>
              <xdr:cNvSpPr>
                <a:spLocks noChangeArrowheads="1"/>
              </xdr:cNvSpPr>
            </xdr:nvSpPr>
            <xdr:spPr bwMode="auto">
              <a:xfrm>
                <a:off x="727"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640" name="Oval 1480"/>
              <xdr:cNvSpPr>
                <a:spLocks noChangeArrowheads="1"/>
              </xdr:cNvSpPr>
            </xdr:nvSpPr>
            <xdr:spPr bwMode="auto">
              <a:xfrm>
                <a:off x="732" y="693"/>
                <a:ext cx="12" cy="12"/>
              </a:xfrm>
              <a:prstGeom prst="ellipse">
                <a:avLst/>
              </a:prstGeom>
              <a:solidFill>
                <a:srgbClr val="FF9933"/>
              </a:solidFill>
              <a:ln w="9525">
                <a:solidFill>
                  <a:srgbClr val="000000"/>
                </a:solidFill>
                <a:round/>
                <a:headEnd/>
                <a:tailEnd/>
              </a:ln>
            </xdr:spPr>
          </xdr:sp>
        </xdr:grpSp>
      </xdr:grpSp>
      <xdr:grpSp>
        <xdr:nvGrpSpPr>
          <xdr:cNvPr id="12580" name="Group 1442"/>
          <xdr:cNvGrpSpPr>
            <a:grpSpLocks/>
          </xdr:cNvGrpSpPr>
        </xdr:nvGrpSpPr>
        <xdr:grpSpPr bwMode="auto">
          <a:xfrm>
            <a:off x="750" y="1003"/>
            <a:ext cx="159" cy="101"/>
            <a:chOff x="620" y="1011"/>
            <a:chExt cx="159" cy="101"/>
          </a:xfrm>
        </xdr:grpSpPr>
        <xdr:sp macro="" textlink="">
          <xdr:nvSpPr>
            <xdr:cNvPr id="12622" name="AutoShape 1443"/>
            <xdr:cNvSpPr>
              <a:spLocks noChangeArrowheads="1"/>
            </xdr:cNvSpPr>
          </xdr:nvSpPr>
          <xdr:spPr bwMode="auto">
            <a:xfrm>
              <a:off x="620" y="1011"/>
              <a:ext cx="129" cy="101"/>
            </a:xfrm>
            <a:prstGeom prst="roundRect">
              <a:avLst>
                <a:gd name="adj" fmla="val 6778"/>
              </a:avLst>
            </a:prstGeom>
            <a:solidFill>
              <a:srgbClr val="C0C0C0"/>
            </a:solidFill>
            <a:ln w="9525">
              <a:solidFill>
                <a:srgbClr val="000000"/>
              </a:solidFill>
              <a:round/>
              <a:headEnd/>
              <a:tailEnd/>
            </a:ln>
          </xdr:spPr>
        </xdr:sp>
        <xdr:grpSp>
          <xdr:nvGrpSpPr>
            <xdr:cNvPr id="12623" name="Group 1444"/>
            <xdr:cNvGrpSpPr>
              <a:grpSpLocks/>
            </xdr:cNvGrpSpPr>
          </xdr:nvGrpSpPr>
          <xdr:grpSpPr bwMode="auto">
            <a:xfrm>
              <a:off x="719" y="1019"/>
              <a:ext cx="60" cy="28"/>
              <a:chOff x="692" y="685"/>
              <a:chExt cx="60" cy="28"/>
            </a:xfrm>
          </xdr:grpSpPr>
          <xdr:grpSp>
            <xdr:nvGrpSpPr>
              <xdr:cNvPr id="12624" name="Group 1445"/>
              <xdr:cNvGrpSpPr>
                <a:grpSpLocks/>
              </xdr:cNvGrpSpPr>
            </xdr:nvGrpSpPr>
            <xdr:grpSpPr bwMode="auto">
              <a:xfrm>
                <a:off x="692" y="685"/>
                <a:ext cx="60" cy="28"/>
                <a:chOff x="692" y="685"/>
                <a:chExt cx="60" cy="28"/>
              </a:xfrm>
            </xdr:grpSpPr>
            <xdr:sp macro="" textlink="">
              <xdr:nvSpPr>
                <xdr:cNvPr id="12629" name="Oval 1446"/>
                <xdr:cNvSpPr>
                  <a:spLocks noChangeArrowheads="1"/>
                </xdr:cNvSpPr>
              </xdr:nvSpPr>
              <xdr:spPr bwMode="auto">
                <a:xfrm>
                  <a:off x="692" y="685"/>
                  <a:ext cx="28" cy="28"/>
                </a:xfrm>
                <a:prstGeom prst="ellipse">
                  <a:avLst/>
                </a:prstGeom>
                <a:solidFill>
                  <a:srgbClr val="FF9933"/>
                </a:solidFill>
                <a:ln w="9525">
                  <a:solidFill>
                    <a:srgbClr val="000000"/>
                  </a:solidFill>
                  <a:round/>
                  <a:headEnd/>
                  <a:tailEnd/>
                </a:ln>
              </xdr:spPr>
            </xdr:sp>
            <xdr:sp macro="" textlink="">
              <xdr:nvSpPr>
                <xdr:cNvPr id="12630" name="Oval 1447"/>
                <xdr:cNvSpPr>
                  <a:spLocks noChangeArrowheads="1"/>
                </xdr:cNvSpPr>
              </xdr:nvSpPr>
              <xdr:spPr bwMode="auto">
                <a:xfrm>
                  <a:off x="724" y="685"/>
                  <a:ext cx="28" cy="28"/>
                </a:xfrm>
                <a:prstGeom prst="ellipse">
                  <a:avLst/>
                </a:prstGeom>
                <a:solidFill>
                  <a:srgbClr val="FF9933"/>
                </a:solidFill>
                <a:ln w="9525">
                  <a:solidFill>
                    <a:srgbClr val="000000"/>
                  </a:solidFill>
                  <a:round/>
                  <a:headEnd/>
                  <a:tailEnd/>
                </a:ln>
              </xdr:spPr>
            </xdr:sp>
            <xdr:sp macro="" textlink="">
              <xdr:nvSpPr>
                <xdr:cNvPr id="12631" name="Rectangle 1448"/>
                <xdr:cNvSpPr>
                  <a:spLocks noChangeArrowheads="1"/>
                </xdr:cNvSpPr>
              </xdr:nvSpPr>
              <xdr:spPr bwMode="auto">
                <a:xfrm>
                  <a:off x="706" y="685"/>
                  <a:ext cx="32" cy="28"/>
                </a:xfrm>
                <a:prstGeom prst="rect">
                  <a:avLst/>
                </a:prstGeom>
                <a:solidFill>
                  <a:srgbClr val="FF9933"/>
                </a:solidFill>
                <a:ln w="9525">
                  <a:noFill/>
                  <a:miter lim="800000"/>
                  <a:headEnd/>
                  <a:tailEnd/>
                </a:ln>
              </xdr:spPr>
            </xdr:sp>
            <xdr:sp macro="" textlink="">
              <xdr:nvSpPr>
                <xdr:cNvPr id="12632" name="Line 1449"/>
                <xdr:cNvSpPr>
                  <a:spLocks noChangeShapeType="1"/>
                </xdr:cNvSpPr>
              </xdr:nvSpPr>
              <xdr:spPr bwMode="auto">
                <a:xfrm>
                  <a:off x="706" y="685"/>
                  <a:ext cx="32" cy="0"/>
                </a:xfrm>
                <a:prstGeom prst="line">
                  <a:avLst/>
                </a:prstGeom>
                <a:noFill/>
                <a:ln w="9525">
                  <a:solidFill>
                    <a:srgbClr val="000000"/>
                  </a:solidFill>
                  <a:round/>
                  <a:headEnd/>
                  <a:tailEnd/>
                </a:ln>
              </xdr:spPr>
            </xdr:sp>
            <xdr:sp macro="" textlink="">
              <xdr:nvSpPr>
                <xdr:cNvPr id="12633" name="Line 1450"/>
                <xdr:cNvSpPr>
                  <a:spLocks noChangeShapeType="1"/>
                </xdr:cNvSpPr>
              </xdr:nvSpPr>
              <xdr:spPr bwMode="auto">
                <a:xfrm>
                  <a:off x="705" y="713"/>
                  <a:ext cx="32" cy="0"/>
                </a:xfrm>
                <a:prstGeom prst="line">
                  <a:avLst/>
                </a:prstGeom>
                <a:noFill/>
                <a:ln w="9525">
                  <a:solidFill>
                    <a:srgbClr val="000000"/>
                  </a:solidFill>
                  <a:round/>
                  <a:headEnd/>
                  <a:tailEnd/>
                </a:ln>
              </xdr:spPr>
            </xdr:sp>
          </xdr:grpSp>
          <xdr:sp macro="" textlink="">
            <xdr:nvSpPr>
              <xdr:cNvPr id="12625" name="AutoShape 1451"/>
              <xdr:cNvSpPr>
                <a:spLocks noChangeArrowheads="1"/>
              </xdr:cNvSpPr>
            </xdr:nvSpPr>
            <xdr:spPr bwMode="auto">
              <a:xfrm>
                <a:off x="695"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626" name="Oval 1452"/>
              <xdr:cNvSpPr>
                <a:spLocks noChangeArrowheads="1"/>
              </xdr:cNvSpPr>
            </xdr:nvSpPr>
            <xdr:spPr bwMode="auto">
              <a:xfrm>
                <a:off x="700" y="693"/>
                <a:ext cx="12" cy="12"/>
              </a:xfrm>
              <a:prstGeom prst="ellipse">
                <a:avLst/>
              </a:prstGeom>
              <a:solidFill>
                <a:srgbClr val="FF9933"/>
              </a:solidFill>
              <a:ln w="9525">
                <a:solidFill>
                  <a:srgbClr val="000000"/>
                </a:solidFill>
                <a:round/>
                <a:headEnd/>
                <a:tailEnd/>
              </a:ln>
            </xdr:spPr>
          </xdr:sp>
          <xdr:sp macro="" textlink="">
            <xdr:nvSpPr>
              <xdr:cNvPr id="12627" name="AutoShape 1453"/>
              <xdr:cNvSpPr>
                <a:spLocks noChangeArrowheads="1"/>
              </xdr:cNvSpPr>
            </xdr:nvSpPr>
            <xdr:spPr bwMode="auto">
              <a:xfrm>
                <a:off x="727"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628" name="Oval 1454"/>
              <xdr:cNvSpPr>
                <a:spLocks noChangeArrowheads="1"/>
              </xdr:cNvSpPr>
            </xdr:nvSpPr>
            <xdr:spPr bwMode="auto">
              <a:xfrm>
                <a:off x="732" y="693"/>
                <a:ext cx="12" cy="12"/>
              </a:xfrm>
              <a:prstGeom prst="ellipse">
                <a:avLst/>
              </a:prstGeom>
              <a:solidFill>
                <a:srgbClr val="FF9933"/>
              </a:solidFill>
              <a:ln w="9525">
                <a:solidFill>
                  <a:srgbClr val="000000"/>
                </a:solidFill>
                <a:round/>
                <a:headEnd/>
                <a:tailEnd/>
              </a:ln>
            </xdr:spPr>
          </xdr:sp>
        </xdr:grpSp>
      </xdr:grpSp>
      <xdr:sp macro="" textlink="">
        <xdr:nvSpPr>
          <xdr:cNvPr id="12581" name="AutoShape 1328"/>
          <xdr:cNvSpPr>
            <a:spLocks noChangeArrowheads="1"/>
          </xdr:cNvSpPr>
        </xdr:nvSpPr>
        <xdr:spPr bwMode="auto">
          <a:xfrm>
            <a:off x="620" y="1003"/>
            <a:ext cx="129" cy="101"/>
          </a:xfrm>
          <a:prstGeom prst="roundRect">
            <a:avLst>
              <a:gd name="adj" fmla="val 6778"/>
            </a:avLst>
          </a:prstGeom>
          <a:solidFill>
            <a:srgbClr val="C0C0C0"/>
          </a:solidFill>
          <a:ln w="9525">
            <a:solidFill>
              <a:srgbClr val="000000"/>
            </a:solidFill>
            <a:round/>
            <a:headEnd/>
            <a:tailEnd/>
          </a:ln>
        </xdr:spPr>
      </xdr:sp>
      <xdr:grpSp>
        <xdr:nvGrpSpPr>
          <xdr:cNvPr id="12582" name="Group 1364"/>
          <xdr:cNvGrpSpPr>
            <a:grpSpLocks/>
          </xdr:cNvGrpSpPr>
        </xdr:nvGrpSpPr>
        <xdr:grpSpPr bwMode="auto">
          <a:xfrm>
            <a:off x="719" y="1011"/>
            <a:ext cx="60" cy="28"/>
            <a:chOff x="692" y="685"/>
            <a:chExt cx="60" cy="28"/>
          </a:xfrm>
        </xdr:grpSpPr>
        <xdr:sp macro="" textlink="">
          <xdr:nvSpPr>
            <xdr:cNvPr id="12617" name="Oval 1365"/>
            <xdr:cNvSpPr>
              <a:spLocks noChangeArrowheads="1"/>
            </xdr:cNvSpPr>
          </xdr:nvSpPr>
          <xdr:spPr bwMode="auto">
            <a:xfrm>
              <a:off x="692" y="685"/>
              <a:ext cx="28" cy="28"/>
            </a:xfrm>
            <a:prstGeom prst="ellipse">
              <a:avLst/>
            </a:prstGeom>
            <a:solidFill>
              <a:srgbClr val="FF9933"/>
            </a:solidFill>
            <a:ln w="9525">
              <a:solidFill>
                <a:srgbClr val="000000"/>
              </a:solidFill>
              <a:round/>
              <a:headEnd/>
              <a:tailEnd/>
            </a:ln>
          </xdr:spPr>
        </xdr:sp>
        <xdr:sp macro="" textlink="">
          <xdr:nvSpPr>
            <xdr:cNvPr id="12618" name="Oval 1366"/>
            <xdr:cNvSpPr>
              <a:spLocks noChangeArrowheads="1"/>
            </xdr:cNvSpPr>
          </xdr:nvSpPr>
          <xdr:spPr bwMode="auto">
            <a:xfrm>
              <a:off x="724" y="685"/>
              <a:ext cx="28" cy="28"/>
            </a:xfrm>
            <a:prstGeom prst="ellipse">
              <a:avLst/>
            </a:prstGeom>
            <a:solidFill>
              <a:srgbClr val="FF9933"/>
            </a:solidFill>
            <a:ln w="9525">
              <a:solidFill>
                <a:srgbClr val="000000"/>
              </a:solidFill>
              <a:round/>
              <a:headEnd/>
              <a:tailEnd/>
            </a:ln>
          </xdr:spPr>
        </xdr:sp>
        <xdr:sp macro="" textlink="">
          <xdr:nvSpPr>
            <xdr:cNvPr id="12619" name="Rectangle 1367"/>
            <xdr:cNvSpPr>
              <a:spLocks noChangeArrowheads="1"/>
            </xdr:cNvSpPr>
          </xdr:nvSpPr>
          <xdr:spPr bwMode="auto">
            <a:xfrm>
              <a:off x="706" y="685"/>
              <a:ext cx="32" cy="28"/>
            </a:xfrm>
            <a:prstGeom prst="rect">
              <a:avLst/>
            </a:prstGeom>
            <a:solidFill>
              <a:srgbClr val="FF9933"/>
            </a:solidFill>
            <a:ln w="9525">
              <a:noFill/>
              <a:miter lim="800000"/>
              <a:headEnd/>
              <a:tailEnd/>
            </a:ln>
          </xdr:spPr>
        </xdr:sp>
        <xdr:sp macro="" textlink="">
          <xdr:nvSpPr>
            <xdr:cNvPr id="12620" name="Line 1368"/>
            <xdr:cNvSpPr>
              <a:spLocks noChangeShapeType="1"/>
            </xdr:cNvSpPr>
          </xdr:nvSpPr>
          <xdr:spPr bwMode="auto">
            <a:xfrm>
              <a:off x="706" y="685"/>
              <a:ext cx="32" cy="0"/>
            </a:xfrm>
            <a:prstGeom prst="line">
              <a:avLst/>
            </a:prstGeom>
            <a:noFill/>
            <a:ln w="9525">
              <a:solidFill>
                <a:srgbClr val="000000"/>
              </a:solidFill>
              <a:round/>
              <a:headEnd/>
              <a:tailEnd/>
            </a:ln>
          </xdr:spPr>
        </xdr:sp>
        <xdr:sp macro="" textlink="">
          <xdr:nvSpPr>
            <xdr:cNvPr id="12621" name="Line 1369"/>
            <xdr:cNvSpPr>
              <a:spLocks noChangeShapeType="1"/>
            </xdr:cNvSpPr>
          </xdr:nvSpPr>
          <xdr:spPr bwMode="auto">
            <a:xfrm>
              <a:off x="705" y="713"/>
              <a:ext cx="32" cy="0"/>
            </a:xfrm>
            <a:prstGeom prst="line">
              <a:avLst/>
            </a:prstGeom>
            <a:noFill/>
            <a:ln w="9525">
              <a:solidFill>
                <a:srgbClr val="000000"/>
              </a:solidFill>
              <a:round/>
              <a:headEnd/>
              <a:tailEnd/>
            </a:ln>
          </xdr:spPr>
        </xdr:sp>
      </xdr:grpSp>
      <xdr:sp macro="" textlink="">
        <xdr:nvSpPr>
          <xdr:cNvPr id="12583" name="AutoShape 1370"/>
          <xdr:cNvSpPr>
            <a:spLocks noChangeArrowheads="1"/>
          </xdr:cNvSpPr>
        </xdr:nvSpPr>
        <xdr:spPr bwMode="auto">
          <a:xfrm>
            <a:off x="722" y="1016"/>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584" name="Oval 1371"/>
          <xdr:cNvSpPr>
            <a:spLocks noChangeArrowheads="1"/>
          </xdr:cNvSpPr>
        </xdr:nvSpPr>
        <xdr:spPr bwMode="auto">
          <a:xfrm>
            <a:off x="727" y="1019"/>
            <a:ext cx="12" cy="12"/>
          </a:xfrm>
          <a:prstGeom prst="ellipse">
            <a:avLst/>
          </a:prstGeom>
          <a:solidFill>
            <a:srgbClr val="FF9933"/>
          </a:solidFill>
          <a:ln w="9525">
            <a:solidFill>
              <a:srgbClr val="000000"/>
            </a:solidFill>
            <a:round/>
            <a:headEnd/>
            <a:tailEnd/>
          </a:ln>
        </xdr:spPr>
      </xdr:sp>
      <xdr:sp macro="" textlink="">
        <xdr:nvSpPr>
          <xdr:cNvPr id="12585" name="AutoShape 1372"/>
          <xdr:cNvSpPr>
            <a:spLocks noChangeArrowheads="1"/>
          </xdr:cNvSpPr>
        </xdr:nvSpPr>
        <xdr:spPr bwMode="auto">
          <a:xfrm>
            <a:off x="754" y="1016"/>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586" name="Oval 1373"/>
          <xdr:cNvSpPr>
            <a:spLocks noChangeArrowheads="1"/>
          </xdr:cNvSpPr>
        </xdr:nvSpPr>
        <xdr:spPr bwMode="auto">
          <a:xfrm>
            <a:off x="759" y="1019"/>
            <a:ext cx="12" cy="12"/>
          </a:xfrm>
          <a:prstGeom prst="ellipse">
            <a:avLst/>
          </a:prstGeom>
          <a:solidFill>
            <a:srgbClr val="FF9933"/>
          </a:solidFill>
          <a:ln w="9525">
            <a:solidFill>
              <a:srgbClr val="000000"/>
            </a:solidFill>
            <a:round/>
            <a:headEnd/>
            <a:tailEnd/>
          </a:ln>
        </xdr:spPr>
      </xdr:sp>
      <xdr:sp macro="" textlink="">
        <xdr:nvSpPr>
          <xdr:cNvPr id="12587" name="Oval 1483"/>
          <xdr:cNvSpPr>
            <a:spLocks noChangeArrowheads="1"/>
          </xdr:cNvSpPr>
        </xdr:nvSpPr>
        <xdr:spPr bwMode="auto">
          <a:xfrm>
            <a:off x="1108" y="1060"/>
            <a:ext cx="28" cy="28"/>
          </a:xfrm>
          <a:prstGeom prst="ellipse">
            <a:avLst/>
          </a:prstGeom>
          <a:solidFill>
            <a:srgbClr val="FF9933"/>
          </a:solidFill>
          <a:ln w="9525">
            <a:solidFill>
              <a:srgbClr val="000000"/>
            </a:solidFill>
            <a:round/>
            <a:headEnd/>
            <a:tailEnd/>
          </a:ln>
        </xdr:spPr>
      </xdr:sp>
      <xdr:sp macro="" textlink="">
        <xdr:nvSpPr>
          <xdr:cNvPr id="12588" name="Rectangle 1484"/>
          <xdr:cNvSpPr>
            <a:spLocks noChangeArrowheads="1"/>
          </xdr:cNvSpPr>
        </xdr:nvSpPr>
        <xdr:spPr bwMode="auto">
          <a:xfrm>
            <a:off x="635" y="1060"/>
            <a:ext cx="487" cy="28"/>
          </a:xfrm>
          <a:prstGeom prst="rect">
            <a:avLst/>
          </a:prstGeom>
          <a:solidFill>
            <a:srgbClr val="FF9933"/>
          </a:solidFill>
          <a:ln w="9525">
            <a:noFill/>
            <a:miter lim="800000"/>
            <a:headEnd/>
            <a:tailEnd/>
          </a:ln>
        </xdr:spPr>
      </xdr:sp>
      <xdr:sp macro="" textlink="">
        <xdr:nvSpPr>
          <xdr:cNvPr id="12589" name="Line 1485"/>
          <xdr:cNvSpPr>
            <a:spLocks noChangeShapeType="1"/>
          </xdr:cNvSpPr>
        </xdr:nvSpPr>
        <xdr:spPr bwMode="auto">
          <a:xfrm>
            <a:off x="637" y="1060"/>
            <a:ext cx="485" cy="0"/>
          </a:xfrm>
          <a:prstGeom prst="line">
            <a:avLst/>
          </a:prstGeom>
          <a:noFill/>
          <a:ln w="9525">
            <a:solidFill>
              <a:srgbClr val="000000"/>
            </a:solidFill>
            <a:round/>
            <a:headEnd/>
            <a:tailEnd/>
          </a:ln>
        </xdr:spPr>
      </xdr:sp>
      <xdr:sp macro="" textlink="">
        <xdr:nvSpPr>
          <xdr:cNvPr id="12590" name="Line 1486"/>
          <xdr:cNvSpPr>
            <a:spLocks noChangeShapeType="1"/>
          </xdr:cNvSpPr>
        </xdr:nvSpPr>
        <xdr:spPr bwMode="auto">
          <a:xfrm>
            <a:off x="635" y="1088"/>
            <a:ext cx="486" cy="0"/>
          </a:xfrm>
          <a:prstGeom prst="line">
            <a:avLst/>
          </a:prstGeom>
          <a:noFill/>
          <a:ln w="9525">
            <a:solidFill>
              <a:srgbClr val="000000"/>
            </a:solidFill>
            <a:round/>
            <a:headEnd/>
            <a:tailEnd/>
          </a:ln>
        </xdr:spPr>
      </xdr:sp>
      <xdr:grpSp>
        <xdr:nvGrpSpPr>
          <xdr:cNvPr id="12591" name="Group 1424"/>
          <xdr:cNvGrpSpPr>
            <a:grpSpLocks/>
          </xdr:cNvGrpSpPr>
        </xdr:nvGrpSpPr>
        <xdr:grpSpPr bwMode="auto">
          <a:xfrm>
            <a:off x="588" y="1011"/>
            <a:ext cx="61" cy="28"/>
            <a:chOff x="561" y="685"/>
            <a:chExt cx="61" cy="28"/>
          </a:xfrm>
        </xdr:grpSpPr>
        <xdr:sp macro="" textlink="">
          <xdr:nvSpPr>
            <xdr:cNvPr id="12611" name="Rectangle 1425"/>
            <xdr:cNvSpPr>
              <a:spLocks noChangeArrowheads="1"/>
            </xdr:cNvSpPr>
          </xdr:nvSpPr>
          <xdr:spPr bwMode="auto">
            <a:xfrm>
              <a:off x="569" y="686"/>
              <a:ext cx="20" cy="23"/>
            </a:xfrm>
            <a:prstGeom prst="rect">
              <a:avLst/>
            </a:prstGeom>
            <a:solidFill>
              <a:srgbClr val="FFFF99"/>
            </a:solidFill>
            <a:ln w="9525">
              <a:solidFill>
                <a:srgbClr val="000000"/>
              </a:solidFill>
              <a:miter lim="800000"/>
              <a:headEnd/>
              <a:tailEnd/>
            </a:ln>
          </xdr:spPr>
        </xdr:sp>
        <xdr:sp macro="" textlink="">
          <xdr:nvSpPr>
            <xdr:cNvPr id="12612" name="Rectangle 1426"/>
            <xdr:cNvSpPr>
              <a:spLocks noChangeArrowheads="1"/>
            </xdr:cNvSpPr>
          </xdr:nvSpPr>
          <xdr:spPr bwMode="auto">
            <a:xfrm>
              <a:off x="561" y="690"/>
              <a:ext cx="39" cy="15"/>
            </a:xfrm>
            <a:prstGeom prst="rect">
              <a:avLst/>
            </a:prstGeom>
            <a:solidFill>
              <a:srgbClr val="FF9933"/>
            </a:solidFill>
            <a:ln w="9525">
              <a:solidFill>
                <a:srgbClr val="000000"/>
              </a:solidFill>
              <a:miter lim="800000"/>
              <a:headEnd/>
              <a:tailEnd/>
            </a:ln>
          </xdr:spPr>
        </xdr:sp>
        <xdr:sp macro="" textlink="">
          <xdr:nvSpPr>
            <xdr:cNvPr id="12613" name="Oval 1427"/>
            <xdr:cNvSpPr>
              <a:spLocks noChangeArrowheads="1"/>
            </xdr:cNvSpPr>
          </xdr:nvSpPr>
          <xdr:spPr bwMode="auto">
            <a:xfrm>
              <a:off x="596" y="685"/>
              <a:ext cx="26" cy="28"/>
            </a:xfrm>
            <a:prstGeom prst="ellipse">
              <a:avLst/>
            </a:prstGeom>
            <a:solidFill>
              <a:srgbClr val="FF9933"/>
            </a:solidFill>
            <a:ln w="9525">
              <a:solidFill>
                <a:srgbClr val="000000"/>
              </a:solidFill>
              <a:round/>
              <a:headEnd/>
              <a:tailEnd/>
            </a:ln>
          </xdr:spPr>
        </xdr:sp>
        <xdr:sp macro="" textlink="">
          <xdr:nvSpPr>
            <xdr:cNvPr id="12614" name="Rectangle 1428"/>
            <xdr:cNvSpPr>
              <a:spLocks noChangeArrowheads="1"/>
            </xdr:cNvSpPr>
          </xdr:nvSpPr>
          <xdr:spPr bwMode="auto">
            <a:xfrm>
              <a:off x="591" y="691"/>
              <a:ext cx="8" cy="13"/>
            </a:xfrm>
            <a:prstGeom prst="rect">
              <a:avLst/>
            </a:prstGeom>
            <a:solidFill>
              <a:srgbClr val="FF9933"/>
            </a:solidFill>
            <a:ln w="9525">
              <a:noFill/>
              <a:miter lim="800000"/>
              <a:headEnd/>
              <a:tailEnd/>
            </a:ln>
          </xdr:spPr>
        </xdr:sp>
        <xdr:sp macro="" textlink="">
          <xdr:nvSpPr>
            <xdr:cNvPr id="12615" name="AutoShape 1429"/>
            <xdr:cNvSpPr>
              <a:spLocks noChangeArrowheads="1"/>
            </xdr:cNvSpPr>
          </xdr:nvSpPr>
          <xdr:spPr bwMode="auto">
            <a:xfrm>
              <a:off x="598"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616" name="Oval 1430"/>
            <xdr:cNvSpPr>
              <a:spLocks noChangeArrowheads="1"/>
            </xdr:cNvSpPr>
          </xdr:nvSpPr>
          <xdr:spPr bwMode="auto">
            <a:xfrm>
              <a:off x="603" y="693"/>
              <a:ext cx="12" cy="12"/>
            </a:xfrm>
            <a:prstGeom prst="ellipse">
              <a:avLst/>
            </a:prstGeom>
            <a:solidFill>
              <a:srgbClr val="FF9933"/>
            </a:solidFill>
            <a:ln w="9525">
              <a:solidFill>
                <a:srgbClr val="000000"/>
              </a:solidFill>
              <a:round/>
              <a:headEnd/>
              <a:tailEnd/>
            </a:ln>
          </xdr:spPr>
        </xdr:sp>
      </xdr:grpSp>
      <xdr:grpSp>
        <xdr:nvGrpSpPr>
          <xdr:cNvPr id="12592" name="Group 1494"/>
          <xdr:cNvGrpSpPr>
            <a:grpSpLocks/>
          </xdr:cNvGrpSpPr>
        </xdr:nvGrpSpPr>
        <xdr:grpSpPr bwMode="auto">
          <a:xfrm>
            <a:off x="588" y="1061"/>
            <a:ext cx="61" cy="28"/>
            <a:chOff x="561" y="685"/>
            <a:chExt cx="61" cy="28"/>
          </a:xfrm>
        </xdr:grpSpPr>
        <xdr:sp macro="" textlink="">
          <xdr:nvSpPr>
            <xdr:cNvPr id="12605" name="Rectangle 1495"/>
            <xdr:cNvSpPr>
              <a:spLocks noChangeArrowheads="1"/>
            </xdr:cNvSpPr>
          </xdr:nvSpPr>
          <xdr:spPr bwMode="auto">
            <a:xfrm>
              <a:off x="569" y="686"/>
              <a:ext cx="20" cy="23"/>
            </a:xfrm>
            <a:prstGeom prst="rect">
              <a:avLst/>
            </a:prstGeom>
            <a:solidFill>
              <a:srgbClr val="FFFF99"/>
            </a:solidFill>
            <a:ln w="9525">
              <a:solidFill>
                <a:srgbClr val="000000"/>
              </a:solidFill>
              <a:miter lim="800000"/>
              <a:headEnd/>
              <a:tailEnd/>
            </a:ln>
          </xdr:spPr>
        </xdr:sp>
        <xdr:sp macro="" textlink="">
          <xdr:nvSpPr>
            <xdr:cNvPr id="12606" name="Rectangle 1496"/>
            <xdr:cNvSpPr>
              <a:spLocks noChangeArrowheads="1"/>
            </xdr:cNvSpPr>
          </xdr:nvSpPr>
          <xdr:spPr bwMode="auto">
            <a:xfrm>
              <a:off x="561" y="690"/>
              <a:ext cx="39" cy="15"/>
            </a:xfrm>
            <a:prstGeom prst="rect">
              <a:avLst/>
            </a:prstGeom>
            <a:solidFill>
              <a:srgbClr val="FF9933"/>
            </a:solidFill>
            <a:ln w="9525">
              <a:solidFill>
                <a:srgbClr val="000000"/>
              </a:solidFill>
              <a:miter lim="800000"/>
              <a:headEnd/>
              <a:tailEnd/>
            </a:ln>
          </xdr:spPr>
        </xdr:sp>
        <xdr:sp macro="" textlink="">
          <xdr:nvSpPr>
            <xdr:cNvPr id="12607" name="Oval 1497"/>
            <xdr:cNvSpPr>
              <a:spLocks noChangeArrowheads="1"/>
            </xdr:cNvSpPr>
          </xdr:nvSpPr>
          <xdr:spPr bwMode="auto">
            <a:xfrm>
              <a:off x="596" y="685"/>
              <a:ext cx="26" cy="28"/>
            </a:xfrm>
            <a:prstGeom prst="ellipse">
              <a:avLst/>
            </a:prstGeom>
            <a:solidFill>
              <a:srgbClr val="FF9933"/>
            </a:solidFill>
            <a:ln w="9525">
              <a:solidFill>
                <a:srgbClr val="000000"/>
              </a:solidFill>
              <a:round/>
              <a:headEnd/>
              <a:tailEnd/>
            </a:ln>
          </xdr:spPr>
        </xdr:sp>
        <xdr:sp macro="" textlink="">
          <xdr:nvSpPr>
            <xdr:cNvPr id="12608" name="Rectangle 1498"/>
            <xdr:cNvSpPr>
              <a:spLocks noChangeArrowheads="1"/>
            </xdr:cNvSpPr>
          </xdr:nvSpPr>
          <xdr:spPr bwMode="auto">
            <a:xfrm>
              <a:off x="591" y="691"/>
              <a:ext cx="8" cy="13"/>
            </a:xfrm>
            <a:prstGeom prst="rect">
              <a:avLst/>
            </a:prstGeom>
            <a:solidFill>
              <a:srgbClr val="FF9933"/>
            </a:solidFill>
            <a:ln w="9525">
              <a:noFill/>
              <a:miter lim="800000"/>
              <a:headEnd/>
              <a:tailEnd/>
            </a:ln>
          </xdr:spPr>
        </xdr:sp>
        <xdr:sp macro="" textlink="">
          <xdr:nvSpPr>
            <xdr:cNvPr id="12609" name="AutoShape 1499"/>
            <xdr:cNvSpPr>
              <a:spLocks noChangeArrowheads="1"/>
            </xdr:cNvSpPr>
          </xdr:nvSpPr>
          <xdr:spPr bwMode="auto">
            <a:xfrm>
              <a:off x="598" y="690"/>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610" name="Oval 1500"/>
            <xdr:cNvSpPr>
              <a:spLocks noChangeArrowheads="1"/>
            </xdr:cNvSpPr>
          </xdr:nvSpPr>
          <xdr:spPr bwMode="auto">
            <a:xfrm>
              <a:off x="603" y="693"/>
              <a:ext cx="12" cy="12"/>
            </a:xfrm>
            <a:prstGeom prst="ellipse">
              <a:avLst/>
            </a:prstGeom>
            <a:solidFill>
              <a:srgbClr val="FF9933"/>
            </a:solidFill>
            <a:ln w="9525">
              <a:solidFill>
                <a:srgbClr val="000000"/>
              </a:solidFill>
              <a:round/>
              <a:headEnd/>
              <a:tailEnd/>
            </a:ln>
          </xdr:spPr>
        </xdr:sp>
      </xdr:grpSp>
      <xdr:sp macro="" textlink="">
        <xdr:nvSpPr>
          <xdr:cNvPr id="12593" name="Rectangle 1501"/>
          <xdr:cNvSpPr>
            <a:spLocks noChangeArrowheads="1"/>
          </xdr:cNvSpPr>
        </xdr:nvSpPr>
        <xdr:spPr bwMode="auto">
          <a:xfrm>
            <a:off x="1109" y="1048"/>
            <a:ext cx="26" cy="30"/>
          </a:xfrm>
          <a:prstGeom prst="rect">
            <a:avLst/>
          </a:prstGeom>
          <a:solidFill>
            <a:srgbClr val="FFFFFF"/>
          </a:solidFill>
          <a:ln w="9525">
            <a:solidFill>
              <a:srgbClr val="000000"/>
            </a:solidFill>
            <a:miter lim="800000"/>
            <a:headEnd/>
            <a:tailEnd/>
          </a:ln>
        </xdr:spPr>
      </xdr:sp>
      <xdr:grpSp>
        <xdr:nvGrpSpPr>
          <xdr:cNvPr id="12594" name="Group 1458"/>
          <xdr:cNvGrpSpPr>
            <a:grpSpLocks/>
          </xdr:cNvGrpSpPr>
        </xdr:nvGrpSpPr>
        <xdr:grpSpPr bwMode="auto">
          <a:xfrm rot="-5400000">
            <a:off x="1083" y="1035"/>
            <a:ext cx="79" cy="28"/>
            <a:chOff x="692" y="685"/>
            <a:chExt cx="60" cy="28"/>
          </a:xfrm>
        </xdr:grpSpPr>
        <xdr:sp macro="" textlink="">
          <xdr:nvSpPr>
            <xdr:cNvPr id="12600" name="Oval 1459"/>
            <xdr:cNvSpPr>
              <a:spLocks noChangeArrowheads="1"/>
            </xdr:cNvSpPr>
          </xdr:nvSpPr>
          <xdr:spPr bwMode="auto">
            <a:xfrm>
              <a:off x="692" y="685"/>
              <a:ext cx="28" cy="28"/>
            </a:xfrm>
            <a:prstGeom prst="ellipse">
              <a:avLst/>
            </a:prstGeom>
            <a:solidFill>
              <a:srgbClr val="FF9933"/>
            </a:solidFill>
            <a:ln w="9525">
              <a:solidFill>
                <a:srgbClr val="000000"/>
              </a:solidFill>
              <a:round/>
              <a:headEnd/>
              <a:tailEnd/>
            </a:ln>
          </xdr:spPr>
        </xdr:sp>
        <xdr:sp macro="" textlink="">
          <xdr:nvSpPr>
            <xdr:cNvPr id="12601" name="Oval 1460"/>
            <xdr:cNvSpPr>
              <a:spLocks noChangeArrowheads="1"/>
            </xdr:cNvSpPr>
          </xdr:nvSpPr>
          <xdr:spPr bwMode="auto">
            <a:xfrm>
              <a:off x="724" y="685"/>
              <a:ext cx="28" cy="28"/>
            </a:xfrm>
            <a:prstGeom prst="ellipse">
              <a:avLst/>
            </a:prstGeom>
            <a:solidFill>
              <a:srgbClr val="FF9933"/>
            </a:solidFill>
            <a:ln w="9525">
              <a:solidFill>
                <a:srgbClr val="000000"/>
              </a:solidFill>
              <a:round/>
              <a:headEnd/>
              <a:tailEnd/>
            </a:ln>
          </xdr:spPr>
        </xdr:sp>
        <xdr:sp macro="" textlink="">
          <xdr:nvSpPr>
            <xdr:cNvPr id="12602" name="Rectangle 1461"/>
            <xdr:cNvSpPr>
              <a:spLocks noChangeArrowheads="1"/>
            </xdr:cNvSpPr>
          </xdr:nvSpPr>
          <xdr:spPr bwMode="auto">
            <a:xfrm>
              <a:off x="706" y="685"/>
              <a:ext cx="32" cy="28"/>
            </a:xfrm>
            <a:prstGeom prst="rect">
              <a:avLst/>
            </a:prstGeom>
            <a:solidFill>
              <a:srgbClr val="FF9933"/>
            </a:solidFill>
            <a:ln w="9525">
              <a:noFill/>
              <a:miter lim="800000"/>
              <a:headEnd/>
              <a:tailEnd/>
            </a:ln>
          </xdr:spPr>
        </xdr:sp>
        <xdr:sp macro="" textlink="">
          <xdr:nvSpPr>
            <xdr:cNvPr id="12603" name="Line 1462"/>
            <xdr:cNvSpPr>
              <a:spLocks noChangeShapeType="1"/>
            </xdr:cNvSpPr>
          </xdr:nvSpPr>
          <xdr:spPr bwMode="auto">
            <a:xfrm>
              <a:off x="706" y="685"/>
              <a:ext cx="32" cy="0"/>
            </a:xfrm>
            <a:prstGeom prst="line">
              <a:avLst/>
            </a:prstGeom>
            <a:noFill/>
            <a:ln w="9525">
              <a:solidFill>
                <a:srgbClr val="000000"/>
              </a:solidFill>
              <a:round/>
              <a:headEnd/>
              <a:tailEnd/>
            </a:ln>
          </xdr:spPr>
        </xdr:sp>
        <xdr:sp macro="" textlink="">
          <xdr:nvSpPr>
            <xdr:cNvPr id="12604" name="Line 1463"/>
            <xdr:cNvSpPr>
              <a:spLocks noChangeShapeType="1"/>
            </xdr:cNvSpPr>
          </xdr:nvSpPr>
          <xdr:spPr bwMode="auto">
            <a:xfrm>
              <a:off x="705" y="713"/>
              <a:ext cx="32" cy="0"/>
            </a:xfrm>
            <a:prstGeom prst="line">
              <a:avLst/>
            </a:prstGeom>
            <a:noFill/>
            <a:ln w="9525">
              <a:solidFill>
                <a:srgbClr val="000000"/>
              </a:solidFill>
              <a:round/>
              <a:headEnd/>
              <a:tailEnd/>
            </a:ln>
          </xdr:spPr>
        </xdr:sp>
      </xdr:grpSp>
      <xdr:sp macro="" textlink="">
        <xdr:nvSpPr>
          <xdr:cNvPr id="12595" name="Line 1437"/>
          <xdr:cNvSpPr>
            <a:spLocks noChangeShapeType="1"/>
          </xdr:cNvSpPr>
        </xdr:nvSpPr>
        <xdr:spPr bwMode="auto">
          <a:xfrm>
            <a:off x="1136" y="1025"/>
            <a:ext cx="0" cy="48"/>
          </a:xfrm>
          <a:prstGeom prst="line">
            <a:avLst/>
          </a:prstGeom>
          <a:noFill/>
          <a:ln w="9525">
            <a:solidFill>
              <a:srgbClr val="000000"/>
            </a:solidFill>
            <a:round/>
            <a:headEnd/>
            <a:tailEnd/>
          </a:ln>
        </xdr:spPr>
      </xdr:sp>
      <xdr:sp macro="" textlink="">
        <xdr:nvSpPr>
          <xdr:cNvPr id="12596" name="AutoShape 1464"/>
          <xdr:cNvSpPr>
            <a:spLocks noChangeArrowheads="1"/>
          </xdr:cNvSpPr>
        </xdr:nvSpPr>
        <xdr:spPr bwMode="auto">
          <a:xfrm>
            <a:off x="1112" y="1015"/>
            <a:ext cx="22" cy="18"/>
          </a:xfrm>
          <a:prstGeom prst="hexagon">
            <a:avLst>
              <a:gd name="adj" fmla="val 30556"/>
              <a:gd name="vf" fmla="val 115470"/>
            </a:avLst>
          </a:prstGeom>
          <a:solidFill>
            <a:srgbClr val="FFCC00"/>
          </a:solidFill>
          <a:ln w="9525">
            <a:solidFill>
              <a:srgbClr val="000000"/>
            </a:solidFill>
            <a:miter lim="800000"/>
            <a:headEnd/>
            <a:tailEnd/>
          </a:ln>
        </xdr:spPr>
      </xdr:sp>
      <xdr:sp macro="" textlink="">
        <xdr:nvSpPr>
          <xdr:cNvPr id="12597" name="Oval 1465"/>
          <xdr:cNvSpPr>
            <a:spLocks noChangeArrowheads="1"/>
          </xdr:cNvSpPr>
        </xdr:nvSpPr>
        <xdr:spPr bwMode="auto">
          <a:xfrm>
            <a:off x="1117" y="1018"/>
            <a:ext cx="12" cy="12"/>
          </a:xfrm>
          <a:prstGeom prst="ellipse">
            <a:avLst/>
          </a:prstGeom>
          <a:solidFill>
            <a:srgbClr val="FF9933"/>
          </a:solidFill>
          <a:ln w="9525">
            <a:solidFill>
              <a:srgbClr val="000000"/>
            </a:solidFill>
            <a:round/>
            <a:headEnd/>
            <a:tailEnd/>
          </a:ln>
        </xdr:spPr>
      </xdr:sp>
      <xdr:sp macro="" textlink="">
        <xdr:nvSpPr>
          <xdr:cNvPr id="12598" name="Rectangle 1502"/>
          <xdr:cNvSpPr>
            <a:spLocks noChangeArrowheads="1"/>
          </xdr:cNvSpPr>
        </xdr:nvSpPr>
        <xdr:spPr bwMode="auto">
          <a:xfrm>
            <a:off x="1102" y="1061"/>
            <a:ext cx="21" cy="27"/>
          </a:xfrm>
          <a:prstGeom prst="rect">
            <a:avLst/>
          </a:prstGeom>
          <a:solidFill>
            <a:srgbClr val="FF9933"/>
          </a:solidFill>
          <a:ln w="9525">
            <a:noFill/>
            <a:miter lim="800000"/>
            <a:headEnd/>
            <a:tailEnd/>
          </a:ln>
        </xdr:spPr>
      </xdr:sp>
      <xdr:sp macro="" textlink="">
        <xdr:nvSpPr>
          <xdr:cNvPr id="12599" name="Line 1385"/>
          <xdr:cNvSpPr>
            <a:spLocks noChangeShapeType="1"/>
          </xdr:cNvSpPr>
        </xdr:nvSpPr>
        <xdr:spPr bwMode="auto">
          <a:xfrm>
            <a:off x="749" y="1104"/>
            <a:ext cx="0" cy="11"/>
          </a:xfrm>
          <a:prstGeom prst="line">
            <a:avLst/>
          </a:prstGeom>
          <a:noFill/>
          <a:ln w="19050">
            <a:solidFill>
              <a:srgbClr val="0000FF"/>
            </a:solidFill>
            <a:prstDash val="sysDot"/>
            <a:round/>
            <a:headEnd/>
            <a:tailEnd/>
          </a:ln>
        </xdr:spPr>
      </xdr:sp>
    </xdr:grpSp>
    <xdr:clientData/>
  </xdr:twoCellAnchor>
  <xdr:twoCellAnchor>
    <xdr:from>
      <xdr:col>4</xdr:col>
      <xdr:colOff>266700</xdr:colOff>
      <xdr:row>72</xdr:row>
      <xdr:rowOff>9525</xdr:rowOff>
    </xdr:from>
    <xdr:to>
      <xdr:col>12</xdr:col>
      <xdr:colOff>142875</xdr:colOff>
      <xdr:row>74</xdr:row>
      <xdr:rowOff>76200</xdr:rowOff>
    </xdr:to>
    <xdr:sp macro="" textlink="">
      <xdr:nvSpPr>
        <xdr:cNvPr id="137698" name="Text Box 1506"/>
        <xdr:cNvSpPr txBox="1">
          <a:spLocks noChangeArrowheads="1"/>
        </xdr:cNvSpPr>
      </xdr:nvSpPr>
      <xdr:spPr bwMode="auto">
        <a:xfrm>
          <a:off x="2705100" y="11506200"/>
          <a:ext cx="4752975" cy="39052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200" b="1" i="0" u="none" strike="noStrike" baseline="0">
              <a:solidFill>
                <a:srgbClr val="000000"/>
              </a:solidFill>
              <a:latin typeface="Arial"/>
              <a:cs typeface="Arial"/>
            </a:rPr>
            <a:t>Pack with One Row of Modules</a:t>
          </a:r>
        </a:p>
      </xdr:txBody>
    </xdr:sp>
    <xdr:clientData/>
  </xdr:twoCellAnchor>
  <xdr:twoCellAnchor>
    <xdr:from>
      <xdr:col>9</xdr:col>
      <xdr:colOff>561975</xdr:colOff>
      <xdr:row>68</xdr:row>
      <xdr:rowOff>19050</xdr:rowOff>
    </xdr:from>
    <xdr:to>
      <xdr:col>13</xdr:col>
      <xdr:colOff>95250</xdr:colOff>
      <xdr:row>70</xdr:row>
      <xdr:rowOff>85725</xdr:rowOff>
    </xdr:to>
    <xdr:sp macro="" textlink="">
      <xdr:nvSpPr>
        <xdr:cNvPr id="137700" name="Text Box 1508"/>
        <xdr:cNvSpPr txBox="1">
          <a:spLocks noChangeArrowheads="1"/>
        </xdr:cNvSpPr>
      </xdr:nvSpPr>
      <xdr:spPr bwMode="auto">
        <a:xfrm>
          <a:off x="6048375" y="10868025"/>
          <a:ext cx="1971675" cy="39052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200" b="1" i="0" u="none" strike="noStrike" baseline="0">
              <a:solidFill>
                <a:srgbClr val="000000"/>
              </a:solidFill>
              <a:latin typeface="Arial"/>
              <a:cs typeface="Arial"/>
            </a:rPr>
            <a:t>Section B-B</a:t>
          </a:r>
        </a:p>
      </xdr:txBody>
    </xdr:sp>
    <xdr:clientData/>
  </xdr:twoCellAnchor>
  <xdr:twoCellAnchor>
    <xdr:from>
      <xdr:col>5</xdr:col>
      <xdr:colOff>9525</xdr:colOff>
      <xdr:row>60</xdr:row>
      <xdr:rowOff>66675</xdr:rowOff>
    </xdr:from>
    <xdr:to>
      <xdr:col>5</xdr:col>
      <xdr:colOff>123825</xdr:colOff>
      <xdr:row>62</xdr:row>
      <xdr:rowOff>9525</xdr:rowOff>
    </xdr:to>
    <xdr:grpSp>
      <xdr:nvGrpSpPr>
        <xdr:cNvPr id="12441" name="Group 411"/>
        <xdr:cNvGrpSpPr>
          <a:grpSpLocks/>
        </xdr:cNvGrpSpPr>
      </xdr:nvGrpSpPr>
      <xdr:grpSpPr bwMode="auto">
        <a:xfrm>
          <a:off x="3057525" y="10106025"/>
          <a:ext cx="114300" cy="266700"/>
          <a:chOff x="0" y="0"/>
          <a:chExt cx="12" cy="28"/>
        </a:xfrm>
      </xdr:grpSpPr>
      <xdr:sp macro="" textlink="">
        <xdr:nvSpPr>
          <xdr:cNvPr id="12552" name="Rectangle 412"/>
          <xdr:cNvSpPr>
            <a:spLocks noChangeArrowheads="1"/>
          </xdr:cNvSpPr>
        </xdr:nvSpPr>
        <xdr:spPr bwMode="auto">
          <a:xfrm>
            <a:off x="0" y="8"/>
            <a:ext cx="12" cy="11"/>
          </a:xfrm>
          <a:prstGeom prst="rect">
            <a:avLst/>
          </a:prstGeom>
          <a:solidFill>
            <a:srgbClr val="FF9933"/>
          </a:solidFill>
          <a:ln w="9525">
            <a:solidFill>
              <a:srgbClr val="000000"/>
            </a:solidFill>
            <a:miter lim="800000"/>
            <a:headEnd/>
            <a:tailEnd/>
          </a:ln>
        </xdr:spPr>
      </xdr:sp>
      <xdr:sp macro="" textlink="">
        <xdr:nvSpPr>
          <xdr:cNvPr id="12553" name="Rectangle 413"/>
          <xdr:cNvSpPr>
            <a:spLocks noChangeArrowheads="1"/>
          </xdr:cNvSpPr>
        </xdr:nvSpPr>
        <xdr:spPr bwMode="auto">
          <a:xfrm>
            <a:off x="6" y="5"/>
            <a:ext cx="4" cy="18"/>
          </a:xfrm>
          <a:prstGeom prst="rect">
            <a:avLst/>
          </a:prstGeom>
          <a:solidFill>
            <a:srgbClr val="FFCC00"/>
          </a:solidFill>
          <a:ln w="9525">
            <a:solidFill>
              <a:srgbClr val="000000"/>
            </a:solidFill>
            <a:miter lim="800000"/>
            <a:headEnd/>
            <a:tailEnd/>
          </a:ln>
        </xdr:spPr>
      </xdr:sp>
      <xdr:sp macro="" textlink="">
        <xdr:nvSpPr>
          <xdr:cNvPr id="12554" name="Rectangle 414"/>
          <xdr:cNvSpPr>
            <a:spLocks noChangeArrowheads="1"/>
          </xdr:cNvSpPr>
        </xdr:nvSpPr>
        <xdr:spPr bwMode="auto">
          <a:xfrm>
            <a:off x="3" y="0"/>
            <a:ext cx="3" cy="28"/>
          </a:xfrm>
          <a:prstGeom prst="rect">
            <a:avLst/>
          </a:prstGeom>
          <a:solidFill>
            <a:srgbClr val="FF9933"/>
          </a:solidFill>
          <a:ln w="9525">
            <a:solidFill>
              <a:srgbClr val="000000"/>
            </a:solidFill>
            <a:miter lim="800000"/>
            <a:headEnd/>
            <a:tailEnd/>
          </a:ln>
        </xdr:spPr>
      </xdr:sp>
      <xdr:sp macro="" textlink="">
        <xdr:nvSpPr>
          <xdr:cNvPr id="12555" name="Rectangle 415"/>
          <xdr:cNvSpPr>
            <a:spLocks noChangeArrowheads="1"/>
          </xdr:cNvSpPr>
        </xdr:nvSpPr>
        <xdr:spPr bwMode="auto">
          <a:xfrm>
            <a:off x="0" y="2"/>
            <a:ext cx="3" cy="24"/>
          </a:xfrm>
          <a:prstGeom prst="rect">
            <a:avLst/>
          </a:prstGeom>
          <a:solidFill>
            <a:srgbClr val="FF9933"/>
          </a:solidFill>
          <a:ln w="9525">
            <a:solidFill>
              <a:srgbClr val="000000"/>
            </a:solidFill>
            <a:miter lim="800000"/>
            <a:headEnd/>
            <a:tailEnd/>
          </a:ln>
        </xdr:spPr>
      </xdr:sp>
    </xdr:grpSp>
    <xdr:clientData/>
  </xdr:twoCellAnchor>
  <xdr:twoCellAnchor>
    <xdr:from>
      <xdr:col>13</xdr:col>
      <xdr:colOff>38100</xdr:colOff>
      <xdr:row>220</xdr:row>
      <xdr:rowOff>133350</xdr:rowOff>
    </xdr:from>
    <xdr:to>
      <xdr:col>13</xdr:col>
      <xdr:colOff>209550</xdr:colOff>
      <xdr:row>220</xdr:row>
      <xdr:rowOff>133350</xdr:rowOff>
    </xdr:to>
    <xdr:sp macro="" textlink="">
      <xdr:nvSpPr>
        <xdr:cNvPr id="12460" name="Line 1257"/>
        <xdr:cNvSpPr>
          <a:spLocks noChangeShapeType="1"/>
        </xdr:cNvSpPr>
      </xdr:nvSpPr>
      <xdr:spPr bwMode="auto">
        <a:xfrm>
          <a:off x="7962900" y="36271200"/>
          <a:ext cx="171450" cy="0"/>
        </a:xfrm>
        <a:prstGeom prst="line">
          <a:avLst/>
        </a:prstGeom>
        <a:noFill/>
        <a:ln w="38100">
          <a:solidFill>
            <a:srgbClr val="000000"/>
          </a:solidFill>
          <a:round/>
          <a:headEnd/>
          <a:tailEnd/>
        </a:ln>
      </xdr:spPr>
    </xdr:sp>
    <xdr:clientData/>
  </xdr:twoCellAnchor>
  <xdr:twoCellAnchor>
    <xdr:from>
      <xdr:col>1</xdr:col>
      <xdr:colOff>263525</xdr:colOff>
      <xdr:row>68</xdr:row>
      <xdr:rowOff>60325</xdr:rowOff>
    </xdr:from>
    <xdr:to>
      <xdr:col>4</xdr:col>
      <xdr:colOff>406400</xdr:colOff>
      <xdr:row>70</xdr:row>
      <xdr:rowOff>127000</xdr:rowOff>
    </xdr:to>
    <xdr:sp macro="" textlink="">
      <xdr:nvSpPr>
        <xdr:cNvPr id="649" name="Text Box 1507"/>
        <xdr:cNvSpPr txBox="1">
          <a:spLocks noChangeArrowheads="1"/>
        </xdr:cNvSpPr>
      </xdr:nvSpPr>
      <xdr:spPr bwMode="auto">
        <a:xfrm>
          <a:off x="866775" y="11188700"/>
          <a:ext cx="1952625" cy="38417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200" b="1" i="0" u="none" strike="noStrike" baseline="0">
              <a:solidFill>
                <a:srgbClr val="000000"/>
              </a:solidFill>
              <a:latin typeface="Arial"/>
              <a:cs typeface="Arial"/>
            </a:rPr>
            <a:t>Section A-A</a:t>
          </a:r>
        </a:p>
      </xdr:txBody>
    </xdr:sp>
    <xdr:clientData/>
  </xdr:twoCellAnchor>
  <xdr:twoCellAnchor>
    <xdr:from>
      <xdr:col>0</xdr:col>
      <xdr:colOff>120718</xdr:colOff>
      <xdr:row>78</xdr:row>
      <xdr:rowOff>9525</xdr:rowOff>
    </xdr:from>
    <xdr:to>
      <xdr:col>11</xdr:col>
      <xdr:colOff>476250</xdr:colOff>
      <xdr:row>132</xdr:row>
      <xdr:rowOff>123825</xdr:rowOff>
    </xdr:to>
    <xdr:grpSp>
      <xdr:nvGrpSpPr>
        <xdr:cNvPr id="16" name="Group 15"/>
        <xdr:cNvGrpSpPr/>
      </xdr:nvGrpSpPr>
      <xdr:grpSpPr>
        <a:xfrm>
          <a:off x="120718" y="13154025"/>
          <a:ext cx="7061132" cy="8858250"/>
          <a:chOff x="120718" y="13154025"/>
          <a:chExt cx="7061132" cy="8858250"/>
        </a:xfrm>
      </xdr:grpSpPr>
      <xdr:grpSp>
        <xdr:nvGrpSpPr>
          <xdr:cNvPr id="137696" name="Group 137695"/>
          <xdr:cNvGrpSpPr/>
        </xdr:nvGrpSpPr>
        <xdr:grpSpPr>
          <a:xfrm>
            <a:off x="120718" y="13154025"/>
            <a:ext cx="7061132" cy="4724400"/>
            <a:chOff x="2701993" y="15363825"/>
            <a:chExt cx="7061132" cy="4724400"/>
          </a:xfrm>
        </xdr:grpSpPr>
        <xdr:grpSp>
          <xdr:nvGrpSpPr>
            <xdr:cNvPr id="4" name="Group 3"/>
            <xdr:cNvGrpSpPr/>
          </xdr:nvGrpSpPr>
          <xdr:grpSpPr>
            <a:xfrm>
              <a:off x="2701993" y="15363825"/>
              <a:ext cx="6878878" cy="4724400"/>
              <a:chOff x="1854268" y="14030325"/>
              <a:chExt cx="6878878" cy="4724400"/>
            </a:xfrm>
          </xdr:grpSpPr>
          <xdr:sp macro="" textlink="">
            <xdr:nvSpPr>
              <xdr:cNvPr id="7" name="Freeform 6"/>
              <xdr:cNvSpPr/>
            </xdr:nvSpPr>
            <xdr:spPr>
              <a:xfrm>
                <a:off x="1854268" y="16776080"/>
                <a:ext cx="519545" cy="736371"/>
              </a:xfrm>
              <a:custGeom>
                <a:avLst/>
                <a:gdLst>
                  <a:gd name="connsiteX0" fmla="*/ 473703 w 524639"/>
                  <a:gd name="connsiteY0" fmla="*/ 213930 h 738569"/>
                  <a:gd name="connsiteX1" fmla="*/ 117153 w 524639"/>
                  <a:gd name="connsiteY1" fmla="*/ 15280 h 738569"/>
                  <a:gd name="connsiteX2" fmla="*/ 66217 w 524639"/>
                  <a:gd name="connsiteY2" fmla="*/ 5093 h 738569"/>
                  <a:gd name="connsiteX3" fmla="*/ 30562 w 524639"/>
                  <a:gd name="connsiteY3" fmla="*/ 0 h 738569"/>
                  <a:gd name="connsiteX4" fmla="*/ 15281 w 524639"/>
                  <a:gd name="connsiteY4" fmla="*/ 20374 h 738569"/>
                  <a:gd name="connsiteX5" fmla="*/ 5094 w 524639"/>
                  <a:gd name="connsiteY5" fmla="*/ 56029 h 738569"/>
                  <a:gd name="connsiteX6" fmla="*/ 0 w 524639"/>
                  <a:gd name="connsiteY6" fmla="*/ 331083 h 738569"/>
                  <a:gd name="connsiteX7" fmla="*/ 15281 w 524639"/>
                  <a:gd name="connsiteY7" fmla="*/ 382018 h 738569"/>
                  <a:gd name="connsiteX8" fmla="*/ 20375 w 524639"/>
                  <a:gd name="connsiteY8" fmla="*/ 412580 h 738569"/>
                  <a:gd name="connsiteX9" fmla="*/ 35655 w 524639"/>
                  <a:gd name="connsiteY9" fmla="*/ 443141 h 738569"/>
                  <a:gd name="connsiteX10" fmla="*/ 56030 w 524639"/>
                  <a:gd name="connsiteY10" fmla="*/ 463516 h 738569"/>
                  <a:gd name="connsiteX11" fmla="*/ 96778 w 524639"/>
                  <a:gd name="connsiteY11" fmla="*/ 509358 h 738569"/>
                  <a:gd name="connsiteX12" fmla="*/ 524639 w 524639"/>
                  <a:gd name="connsiteY12" fmla="*/ 738569 h 738569"/>
                  <a:gd name="connsiteX13" fmla="*/ 463516 w 524639"/>
                  <a:gd name="connsiteY13" fmla="*/ 565387 h 738569"/>
                  <a:gd name="connsiteX14" fmla="*/ 473703 w 524639"/>
                  <a:gd name="connsiteY14" fmla="*/ 213930 h 738569"/>
                  <a:gd name="connsiteX0" fmla="*/ 473703 w 524639"/>
                  <a:gd name="connsiteY0" fmla="*/ 213930 h 738569"/>
                  <a:gd name="connsiteX1" fmla="*/ 117153 w 524639"/>
                  <a:gd name="connsiteY1" fmla="*/ 15280 h 738569"/>
                  <a:gd name="connsiteX2" fmla="*/ 66217 w 524639"/>
                  <a:gd name="connsiteY2" fmla="*/ 5093 h 738569"/>
                  <a:gd name="connsiteX3" fmla="*/ 30562 w 524639"/>
                  <a:gd name="connsiteY3" fmla="*/ 0 h 738569"/>
                  <a:gd name="connsiteX4" fmla="*/ 15281 w 524639"/>
                  <a:gd name="connsiteY4" fmla="*/ 20374 h 738569"/>
                  <a:gd name="connsiteX5" fmla="*/ 5094 w 524639"/>
                  <a:gd name="connsiteY5" fmla="*/ 56029 h 738569"/>
                  <a:gd name="connsiteX6" fmla="*/ 0 w 524639"/>
                  <a:gd name="connsiteY6" fmla="*/ 331083 h 738569"/>
                  <a:gd name="connsiteX7" fmla="*/ 15281 w 524639"/>
                  <a:gd name="connsiteY7" fmla="*/ 382018 h 738569"/>
                  <a:gd name="connsiteX8" fmla="*/ 20375 w 524639"/>
                  <a:gd name="connsiteY8" fmla="*/ 412580 h 738569"/>
                  <a:gd name="connsiteX9" fmla="*/ 35655 w 524639"/>
                  <a:gd name="connsiteY9" fmla="*/ 443141 h 738569"/>
                  <a:gd name="connsiteX10" fmla="*/ 56030 w 524639"/>
                  <a:gd name="connsiteY10" fmla="*/ 463516 h 738569"/>
                  <a:gd name="connsiteX11" fmla="*/ 96778 w 524639"/>
                  <a:gd name="connsiteY11" fmla="*/ 509358 h 738569"/>
                  <a:gd name="connsiteX12" fmla="*/ 524639 w 524639"/>
                  <a:gd name="connsiteY12" fmla="*/ 738569 h 738569"/>
                  <a:gd name="connsiteX13" fmla="*/ 494078 w 524639"/>
                  <a:gd name="connsiteY13" fmla="*/ 560293 h 738569"/>
                  <a:gd name="connsiteX14" fmla="*/ 473703 w 524639"/>
                  <a:gd name="connsiteY14" fmla="*/ 213930 h 738569"/>
                  <a:gd name="connsiteX0" fmla="*/ 473703 w 524639"/>
                  <a:gd name="connsiteY0" fmla="*/ 216022 h 740661"/>
                  <a:gd name="connsiteX1" fmla="*/ 117153 w 524639"/>
                  <a:gd name="connsiteY1" fmla="*/ 17372 h 740661"/>
                  <a:gd name="connsiteX2" fmla="*/ 66217 w 524639"/>
                  <a:gd name="connsiteY2" fmla="*/ 0 h 740661"/>
                  <a:gd name="connsiteX3" fmla="*/ 30562 w 524639"/>
                  <a:gd name="connsiteY3" fmla="*/ 2092 h 740661"/>
                  <a:gd name="connsiteX4" fmla="*/ 15281 w 524639"/>
                  <a:gd name="connsiteY4" fmla="*/ 22466 h 740661"/>
                  <a:gd name="connsiteX5" fmla="*/ 5094 w 524639"/>
                  <a:gd name="connsiteY5" fmla="*/ 58121 h 740661"/>
                  <a:gd name="connsiteX6" fmla="*/ 0 w 524639"/>
                  <a:gd name="connsiteY6" fmla="*/ 333175 h 740661"/>
                  <a:gd name="connsiteX7" fmla="*/ 15281 w 524639"/>
                  <a:gd name="connsiteY7" fmla="*/ 384110 h 740661"/>
                  <a:gd name="connsiteX8" fmla="*/ 20375 w 524639"/>
                  <a:gd name="connsiteY8" fmla="*/ 414672 h 740661"/>
                  <a:gd name="connsiteX9" fmla="*/ 35655 w 524639"/>
                  <a:gd name="connsiteY9" fmla="*/ 445233 h 740661"/>
                  <a:gd name="connsiteX10" fmla="*/ 56030 w 524639"/>
                  <a:gd name="connsiteY10" fmla="*/ 465608 h 740661"/>
                  <a:gd name="connsiteX11" fmla="*/ 96778 w 524639"/>
                  <a:gd name="connsiteY11" fmla="*/ 511450 h 740661"/>
                  <a:gd name="connsiteX12" fmla="*/ 524639 w 524639"/>
                  <a:gd name="connsiteY12" fmla="*/ 740661 h 740661"/>
                  <a:gd name="connsiteX13" fmla="*/ 494078 w 524639"/>
                  <a:gd name="connsiteY13" fmla="*/ 562385 h 740661"/>
                  <a:gd name="connsiteX14" fmla="*/ 473703 w 524639"/>
                  <a:gd name="connsiteY14" fmla="*/ 216022 h 740661"/>
                  <a:gd name="connsiteX0" fmla="*/ 468609 w 519545"/>
                  <a:gd name="connsiteY0" fmla="*/ 216022 h 740661"/>
                  <a:gd name="connsiteX1" fmla="*/ 112059 w 519545"/>
                  <a:gd name="connsiteY1" fmla="*/ 17372 h 740661"/>
                  <a:gd name="connsiteX2" fmla="*/ 61123 w 519545"/>
                  <a:gd name="connsiteY2" fmla="*/ 0 h 740661"/>
                  <a:gd name="connsiteX3" fmla="*/ 25468 w 519545"/>
                  <a:gd name="connsiteY3" fmla="*/ 2092 h 740661"/>
                  <a:gd name="connsiteX4" fmla="*/ 10187 w 519545"/>
                  <a:gd name="connsiteY4" fmla="*/ 22466 h 740661"/>
                  <a:gd name="connsiteX5" fmla="*/ 0 w 519545"/>
                  <a:gd name="connsiteY5" fmla="*/ 58121 h 740661"/>
                  <a:gd name="connsiteX6" fmla="*/ 2049 w 519545"/>
                  <a:gd name="connsiteY6" fmla="*/ 333175 h 740661"/>
                  <a:gd name="connsiteX7" fmla="*/ 10187 w 519545"/>
                  <a:gd name="connsiteY7" fmla="*/ 384110 h 740661"/>
                  <a:gd name="connsiteX8" fmla="*/ 15281 w 519545"/>
                  <a:gd name="connsiteY8" fmla="*/ 414672 h 740661"/>
                  <a:gd name="connsiteX9" fmla="*/ 30561 w 519545"/>
                  <a:gd name="connsiteY9" fmla="*/ 445233 h 740661"/>
                  <a:gd name="connsiteX10" fmla="*/ 50936 w 519545"/>
                  <a:gd name="connsiteY10" fmla="*/ 465608 h 740661"/>
                  <a:gd name="connsiteX11" fmla="*/ 91684 w 519545"/>
                  <a:gd name="connsiteY11" fmla="*/ 511450 h 740661"/>
                  <a:gd name="connsiteX12" fmla="*/ 519545 w 519545"/>
                  <a:gd name="connsiteY12" fmla="*/ 740661 h 740661"/>
                  <a:gd name="connsiteX13" fmla="*/ 488984 w 519545"/>
                  <a:gd name="connsiteY13" fmla="*/ 562385 h 740661"/>
                  <a:gd name="connsiteX14" fmla="*/ 468609 w 519545"/>
                  <a:gd name="connsiteY14" fmla="*/ 216022 h 740661"/>
                  <a:gd name="connsiteX0" fmla="*/ 468609 w 519545"/>
                  <a:gd name="connsiteY0" fmla="*/ 216022 h 740661"/>
                  <a:gd name="connsiteX1" fmla="*/ 112059 w 519545"/>
                  <a:gd name="connsiteY1" fmla="*/ 17372 h 740661"/>
                  <a:gd name="connsiteX2" fmla="*/ 61123 w 519545"/>
                  <a:gd name="connsiteY2" fmla="*/ 0 h 740661"/>
                  <a:gd name="connsiteX3" fmla="*/ 25468 w 519545"/>
                  <a:gd name="connsiteY3" fmla="*/ 2092 h 740661"/>
                  <a:gd name="connsiteX4" fmla="*/ 10187 w 519545"/>
                  <a:gd name="connsiteY4" fmla="*/ 22466 h 740661"/>
                  <a:gd name="connsiteX5" fmla="*/ 0 w 519545"/>
                  <a:gd name="connsiteY5" fmla="*/ 58121 h 740661"/>
                  <a:gd name="connsiteX6" fmla="*/ 2049 w 519545"/>
                  <a:gd name="connsiteY6" fmla="*/ 333175 h 740661"/>
                  <a:gd name="connsiteX7" fmla="*/ 10187 w 519545"/>
                  <a:gd name="connsiteY7" fmla="*/ 384110 h 740661"/>
                  <a:gd name="connsiteX8" fmla="*/ 15281 w 519545"/>
                  <a:gd name="connsiteY8" fmla="*/ 414672 h 740661"/>
                  <a:gd name="connsiteX9" fmla="*/ 30561 w 519545"/>
                  <a:gd name="connsiteY9" fmla="*/ 445233 h 740661"/>
                  <a:gd name="connsiteX10" fmla="*/ 55698 w 519545"/>
                  <a:gd name="connsiteY10" fmla="*/ 479978 h 740661"/>
                  <a:gd name="connsiteX11" fmla="*/ 91684 w 519545"/>
                  <a:gd name="connsiteY11" fmla="*/ 511450 h 740661"/>
                  <a:gd name="connsiteX12" fmla="*/ 519545 w 519545"/>
                  <a:gd name="connsiteY12" fmla="*/ 740661 h 740661"/>
                  <a:gd name="connsiteX13" fmla="*/ 488984 w 519545"/>
                  <a:gd name="connsiteY13" fmla="*/ 562385 h 740661"/>
                  <a:gd name="connsiteX14" fmla="*/ 468609 w 519545"/>
                  <a:gd name="connsiteY14" fmla="*/ 216022 h 740661"/>
                  <a:gd name="connsiteX0" fmla="*/ 468609 w 519545"/>
                  <a:gd name="connsiteY0" fmla="*/ 216022 h 740661"/>
                  <a:gd name="connsiteX1" fmla="*/ 112059 w 519545"/>
                  <a:gd name="connsiteY1" fmla="*/ 17372 h 740661"/>
                  <a:gd name="connsiteX2" fmla="*/ 61123 w 519545"/>
                  <a:gd name="connsiteY2" fmla="*/ 0 h 740661"/>
                  <a:gd name="connsiteX3" fmla="*/ 25468 w 519545"/>
                  <a:gd name="connsiteY3" fmla="*/ 2092 h 740661"/>
                  <a:gd name="connsiteX4" fmla="*/ 10187 w 519545"/>
                  <a:gd name="connsiteY4" fmla="*/ 22466 h 740661"/>
                  <a:gd name="connsiteX5" fmla="*/ 0 w 519545"/>
                  <a:gd name="connsiteY5" fmla="*/ 58121 h 740661"/>
                  <a:gd name="connsiteX6" fmla="*/ 2049 w 519545"/>
                  <a:gd name="connsiteY6" fmla="*/ 333175 h 740661"/>
                  <a:gd name="connsiteX7" fmla="*/ 7806 w 519545"/>
                  <a:gd name="connsiteY7" fmla="*/ 374529 h 740661"/>
                  <a:gd name="connsiteX8" fmla="*/ 15281 w 519545"/>
                  <a:gd name="connsiteY8" fmla="*/ 414672 h 740661"/>
                  <a:gd name="connsiteX9" fmla="*/ 30561 w 519545"/>
                  <a:gd name="connsiteY9" fmla="*/ 445233 h 740661"/>
                  <a:gd name="connsiteX10" fmla="*/ 55698 w 519545"/>
                  <a:gd name="connsiteY10" fmla="*/ 479978 h 740661"/>
                  <a:gd name="connsiteX11" fmla="*/ 91684 w 519545"/>
                  <a:gd name="connsiteY11" fmla="*/ 511450 h 740661"/>
                  <a:gd name="connsiteX12" fmla="*/ 519545 w 519545"/>
                  <a:gd name="connsiteY12" fmla="*/ 740661 h 740661"/>
                  <a:gd name="connsiteX13" fmla="*/ 488984 w 519545"/>
                  <a:gd name="connsiteY13" fmla="*/ 562385 h 740661"/>
                  <a:gd name="connsiteX14" fmla="*/ 468609 w 519545"/>
                  <a:gd name="connsiteY14" fmla="*/ 216022 h 7406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519545" h="740661">
                    <a:moveTo>
                      <a:pt x="468609" y="216022"/>
                    </a:moveTo>
                    <a:lnTo>
                      <a:pt x="112059" y="17372"/>
                    </a:lnTo>
                    <a:lnTo>
                      <a:pt x="61123" y="0"/>
                    </a:lnTo>
                    <a:lnTo>
                      <a:pt x="25468" y="2092"/>
                    </a:lnTo>
                    <a:lnTo>
                      <a:pt x="10187" y="22466"/>
                    </a:lnTo>
                    <a:lnTo>
                      <a:pt x="0" y="58121"/>
                    </a:lnTo>
                    <a:lnTo>
                      <a:pt x="2049" y="333175"/>
                    </a:lnTo>
                    <a:lnTo>
                      <a:pt x="7806" y="374529"/>
                    </a:lnTo>
                    <a:lnTo>
                      <a:pt x="15281" y="414672"/>
                    </a:lnTo>
                    <a:lnTo>
                      <a:pt x="30561" y="445233"/>
                    </a:lnTo>
                    <a:lnTo>
                      <a:pt x="55698" y="479978"/>
                    </a:lnTo>
                    <a:lnTo>
                      <a:pt x="91684" y="511450"/>
                    </a:lnTo>
                    <a:lnTo>
                      <a:pt x="519545" y="740661"/>
                    </a:lnTo>
                    <a:lnTo>
                      <a:pt x="488984" y="562385"/>
                    </a:lnTo>
                    <a:lnTo>
                      <a:pt x="468609" y="216022"/>
                    </a:lnTo>
                    <a:close/>
                  </a:path>
                </a:pathLst>
              </a:custGeom>
              <a:gradFill>
                <a:gsLst>
                  <a:gs pos="0">
                    <a:srgbClr val="CCFFCC"/>
                  </a:gs>
                  <a:gs pos="39999">
                    <a:srgbClr val="E1E8F5"/>
                  </a:gs>
                  <a:gs pos="70000">
                    <a:srgbClr val="CCFFFF"/>
                  </a:gs>
                  <a:gs pos="100000">
                    <a:srgbClr val="CCFFFF"/>
                  </a:gs>
                </a:gsLst>
                <a:lin ang="5400000" scaled="0"/>
              </a:gra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2443" name="Freeform 761"/>
              <xdr:cNvSpPr>
                <a:spLocks/>
              </xdr:cNvSpPr>
            </xdr:nvSpPr>
            <xdr:spPr bwMode="auto">
              <a:xfrm>
                <a:off x="4676775" y="15001875"/>
                <a:ext cx="3676650" cy="3705225"/>
              </a:xfrm>
              <a:custGeom>
                <a:avLst/>
                <a:gdLst>
                  <a:gd name="T0" fmla="*/ 28771 w 10000"/>
                  <a:gd name="T1" fmla="*/ 1819990 h 10000"/>
                  <a:gd name="T2" fmla="*/ 3502659 w 10000"/>
                  <a:gd name="T3" fmla="*/ 0 h 10000"/>
                  <a:gd name="T4" fmla="*/ 3657947 w 10000"/>
                  <a:gd name="T5" fmla="*/ 180433 h 10000"/>
                  <a:gd name="T6" fmla="*/ 3638766 w 10000"/>
                  <a:gd name="T7" fmla="*/ 103637 h 10000"/>
                  <a:gd name="T8" fmla="*/ 3585651 w 10000"/>
                  <a:gd name="T9" fmla="*/ 47718 h 10000"/>
                  <a:gd name="T10" fmla="*/ 3676759 w 10000"/>
                  <a:gd name="T11" fmla="*/ 247536 h 10000"/>
                  <a:gd name="T12" fmla="*/ 3686349 w 10000"/>
                  <a:gd name="T13" fmla="*/ 1417370 h 10000"/>
                  <a:gd name="T14" fmla="*/ 3676759 w 10000"/>
                  <a:gd name="T15" fmla="*/ 1474780 h 10000"/>
                  <a:gd name="T16" fmla="*/ 3657947 w 10000"/>
                  <a:gd name="T17" fmla="*/ 1513178 h 10000"/>
                  <a:gd name="T18" fmla="*/ 3619586 w 10000"/>
                  <a:gd name="T19" fmla="*/ 1542257 h 10000"/>
                  <a:gd name="T20" fmla="*/ 0 w 10000"/>
                  <a:gd name="T21" fmla="*/ 3727959 h 10000"/>
                  <a:gd name="T22" fmla="*/ 28771 w 10000"/>
                  <a:gd name="T23" fmla="*/ 3689561 h 10000"/>
                  <a:gd name="T24" fmla="*/ 37992 w 10000"/>
                  <a:gd name="T25" fmla="*/ 1916171 h 10000"/>
                  <a:gd name="T26" fmla="*/ 47582 w 10000"/>
                  <a:gd name="T27" fmla="*/ 1877773 h 10000"/>
                  <a:gd name="T28" fmla="*/ 28771 w 10000"/>
                  <a:gd name="T29" fmla="*/ 1819990 h 10000"/>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10000" h="10000">
                    <a:moveTo>
                      <a:pt x="78" y="4882"/>
                    </a:moveTo>
                    <a:lnTo>
                      <a:pt x="9496" y="0"/>
                    </a:lnTo>
                    <a:lnTo>
                      <a:pt x="9917" y="484"/>
                    </a:lnTo>
                    <a:cubicBezTo>
                      <a:pt x="9900" y="415"/>
                      <a:pt x="9882" y="347"/>
                      <a:pt x="9865" y="278"/>
                    </a:cubicBezTo>
                    <a:lnTo>
                      <a:pt x="9721" y="128"/>
                    </a:lnTo>
                    <a:cubicBezTo>
                      <a:pt x="9773" y="154"/>
                      <a:pt x="9917" y="21"/>
                      <a:pt x="9968" y="664"/>
                    </a:cubicBezTo>
                    <a:cubicBezTo>
                      <a:pt x="10020" y="1281"/>
                      <a:pt x="9994" y="3261"/>
                      <a:pt x="9994" y="3802"/>
                    </a:cubicBezTo>
                    <a:cubicBezTo>
                      <a:pt x="9985" y="3853"/>
                      <a:pt x="9977" y="3905"/>
                      <a:pt x="9968" y="3956"/>
                    </a:cubicBezTo>
                    <a:cubicBezTo>
                      <a:pt x="9951" y="3990"/>
                      <a:pt x="9934" y="4025"/>
                      <a:pt x="9917" y="4059"/>
                    </a:cubicBezTo>
                    <a:lnTo>
                      <a:pt x="9813" y="4137"/>
                    </a:lnTo>
                    <a:lnTo>
                      <a:pt x="0" y="10000"/>
                    </a:lnTo>
                    <a:cubicBezTo>
                      <a:pt x="26" y="9966"/>
                      <a:pt x="52" y="9931"/>
                      <a:pt x="78" y="9897"/>
                    </a:cubicBezTo>
                    <a:cubicBezTo>
                      <a:pt x="86" y="8311"/>
                      <a:pt x="95" y="6725"/>
                      <a:pt x="103" y="5140"/>
                    </a:cubicBezTo>
                    <a:cubicBezTo>
                      <a:pt x="112" y="5105"/>
                      <a:pt x="120" y="5071"/>
                      <a:pt x="129" y="5037"/>
                    </a:cubicBezTo>
                    <a:cubicBezTo>
                      <a:pt x="112" y="4985"/>
                      <a:pt x="95" y="4933"/>
                      <a:pt x="78" y="4882"/>
                    </a:cubicBezTo>
                    <a:close/>
                  </a:path>
                </a:pathLst>
              </a:custGeom>
              <a:gradFill rotWithShape="1">
                <a:gsLst>
                  <a:gs pos="0">
                    <a:srgbClr val="CCFFCC"/>
                  </a:gs>
                  <a:gs pos="100000">
                    <a:srgbClr val="99FFCC"/>
                  </a:gs>
                </a:gsLst>
                <a:path path="rect">
                  <a:fillToRect l="50000" t="50000" r="50000" b="50000"/>
                </a:path>
              </a:gradFill>
              <a:ln w="19050" cmpd="sng">
                <a:solidFill>
                  <a:srgbClr val="000000"/>
                </a:solidFill>
                <a:round/>
                <a:headEnd/>
                <a:tailEnd/>
              </a:ln>
            </xdr:spPr>
          </xdr:sp>
          <xdr:sp macro="" textlink="">
            <xdr:nvSpPr>
              <xdr:cNvPr id="12444" name="Freeform 762"/>
              <xdr:cNvSpPr>
                <a:spLocks/>
              </xdr:cNvSpPr>
            </xdr:nvSpPr>
            <xdr:spPr bwMode="auto">
              <a:xfrm>
                <a:off x="2352675" y="14030325"/>
                <a:ext cx="6362700" cy="3533775"/>
              </a:xfrm>
              <a:custGeom>
                <a:avLst/>
                <a:gdLst>
                  <a:gd name="T0" fmla="*/ 2772361 w 10615"/>
                  <a:gd name="T1" fmla="*/ 3409778 h 10739"/>
                  <a:gd name="T2" fmla="*/ 2721399 w 10615"/>
                  <a:gd name="T3" fmla="*/ 3327655 h 10739"/>
                  <a:gd name="T4" fmla="*/ 94131 w 10615"/>
                  <a:gd name="T5" fmla="*/ 1960458 h 10739"/>
                  <a:gd name="T6" fmla="*/ 37173 w 10615"/>
                  <a:gd name="T7" fmla="*/ 1948304 h 10739"/>
                  <a:gd name="T8" fmla="*/ 0 w 10615"/>
                  <a:gd name="T9" fmla="*/ 1919396 h 10739"/>
                  <a:gd name="T10" fmla="*/ 3503823 w 10615"/>
                  <a:gd name="T11" fmla="*/ 12811 h 10739"/>
                  <a:gd name="T12" fmla="*/ 3564378 w 10615"/>
                  <a:gd name="T13" fmla="*/ 0 h 10739"/>
                  <a:gd name="T14" fmla="*/ 3632128 w 10615"/>
                  <a:gd name="T15" fmla="*/ 9855 h 10739"/>
                  <a:gd name="T16" fmla="*/ 6218626 w 10615"/>
                  <a:gd name="T17" fmla="*/ 1130023 h 10739"/>
                  <a:gd name="T18" fmla="*/ 6265991 w 10615"/>
                  <a:gd name="T19" fmla="*/ 1165172 h 10739"/>
                  <a:gd name="T20" fmla="*/ 6329545 w 10615"/>
                  <a:gd name="T21" fmla="*/ 1217402 h 10739"/>
                  <a:gd name="T22" fmla="*/ 6340936 w 10615"/>
                  <a:gd name="T23" fmla="*/ 1272261 h 10739"/>
                  <a:gd name="T24" fmla="*/ 6364319 w 10615"/>
                  <a:gd name="T25" fmla="*/ 1327120 h 10739"/>
                  <a:gd name="T26" fmla="*/ 2801739 w 10615"/>
                  <a:gd name="T27" fmla="*/ 3527708 h 10739"/>
                  <a:gd name="T28" fmla="*/ 2772361 w 10615"/>
                  <a:gd name="T29" fmla="*/ 3409778 h 1073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10615" h="10739">
                    <a:moveTo>
                      <a:pt x="4624" y="10380"/>
                    </a:moveTo>
                    <a:cubicBezTo>
                      <a:pt x="4581" y="10304"/>
                      <a:pt x="4582" y="10207"/>
                      <a:pt x="4539" y="10130"/>
                    </a:cubicBezTo>
                    <a:lnTo>
                      <a:pt x="157" y="5968"/>
                    </a:lnTo>
                    <a:cubicBezTo>
                      <a:pt x="125" y="5956"/>
                      <a:pt x="94" y="5943"/>
                      <a:pt x="62" y="5931"/>
                    </a:cubicBezTo>
                    <a:cubicBezTo>
                      <a:pt x="39" y="5894"/>
                      <a:pt x="23" y="5880"/>
                      <a:pt x="0" y="5843"/>
                    </a:cubicBezTo>
                    <a:lnTo>
                      <a:pt x="5844" y="39"/>
                    </a:lnTo>
                    <a:lnTo>
                      <a:pt x="5945" y="0"/>
                    </a:lnTo>
                    <a:lnTo>
                      <a:pt x="6058" y="30"/>
                    </a:lnTo>
                    <a:lnTo>
                      <a:pt x="10372" y="3440"/>
                    </a:lnTo>
                    <a:cubicBezTo>
                      <a:pt x="10409" y="3507"/>
                      <a:pt x="10414" y="3480"/>
                      <a:pt x="10451" y="3547"/>
                    </a:cubicBezTo>
                    <a:cubicBezTo>
                      <a:pt x="10472" y="3662"/>
                      <a:pt x="10536" y="3590"/>
                      <a:pt x="10557" y="3706"/>
                    </a:cubicBezTo>
                    <a:cubicBezTo>
                      <a:pt x="10546" y="3648"/>
                      <a:pt x="10587" y="3931"/>
                      <a:pt x="10576" y="3873"/>
                    </a:cubicBezTo>
                    <a:cubicBezTo>
                      <a:pt x="10592" y="3979"/>
                      <a:pt x="10599" y="3935"/>
                      <a:pt x="10615" y="4040"/>
                    </a:cubicBezTo>
                    <a:lnTo>
                      <a:pt x="4673" y="10739"/>
                    </a:lnTo>
                    <a:cubicBezTo>
                      <a:pt x="4657" y="10613"/>
                      <a:pt x="4639" y="10506"/>
                      <a:pt x="4624" y="10380"/>
                    </a:cubicBezTo>
                    <a:close/>
                  </a:path>
                </a:pathLst>
              </a:custGeom>
              <a:gradFill rotWithShape="1">
                <a:gsLst>
                  <a:gs pos="0">
                    <a:srgbClr val="CCFFCC"/>
                  </a:gs>
                  <a:gs pos="50000">
                    <a:srgbClr val="69FFFF"/>
                  </a:gs>
                  <a:gs pos="100000">
                    <a:srgbClr val="CCFFCC"/>
                  </a:gs>
                </a:gsLst>
                <a:lin ang="2700000" scaled="1"/>
              </a:gradFill>
              <a:ln w="19050" cmpd="sng">
                <a:solidFill>
                  <a:srgbClr val="000000"/>
                </a:solidFill>
                <a:round/>
                <a:headEnd/>
                <a:tailEnd/>
              </a:ln>
            </xdr:spPr>
          </xdr:sp>
          <xdr:sp macro="" textlink="">
            <xdr:nvSpPr>
              <xdr:cNvPr id="12445" name="Freeform 764"/>
              <xdr:cNvSpPr>
                <a:spLocks/>
              </xdr:cNvSpPr>
            </xdr:nvSpPr>
            <xdr:spPr bwMode="auto">
              <a:xfrm>
                <a:off x="5105400" y="15154275"/>
                <a:ext cx="3619500" cy="2371725"/>
              </a:xfrm>
              <a:custGeom>
                <a:avLst/>
                <a:gdLst>
                  <a:gd name="T0" fmla="*/ 103416 w 10017"/>
                  <a:gd name="T1" fmla="*/ 2394345 h 10133"/>
                  <a:gd name="T2" fmla="*/ 81075 w 10017"/>
                  <a:gd name="T3" fmla="*/ 2287777 h 10133"/>
                  <a:gd name="T4" fmla="*/ 0 w 10017"/>
                  <a:gd name="T5" fmla="*/ 2182628 h 10133"/>
                  <a:gd name="T6" fmla="*/ 3499932 w 10017"/>
                  <a:gd name="T7" fmla="*/ 0 h 10133"/>
                  <a:gd name="T8" fmla="*/ 3572360 w 10017"/>
                  <a:gd name="T9" fmla="*/ 86719 h 10133"/>
                  <a:gd name="T10" fmla="*/ 3609474 w 10017"/>
                  <a:gd name="T11" fmla="*/ 195650 h 10133"/>
                  <a:gd name="T12" fmla="*/ 103416 w 10017"/>
                  <a:gd name="T13" fmla="*/ 2394345 h 1013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0017" h="10133">
                    <a:moveTo>
                      <a:pt x="287" y="10133"/>
                    </a:moveTo>
                    <a:cubicBezTo>
                      <a:pt x="261" y="9930"/>
                      <a:pt x="252" y="9885"/>
                      <a:pt x="225" y="9682"/>
                    </a:cubicBezTo>
                    <a:cubicBezTo>
                      <a:pt x="156" y="9534"/>
                      <a:pt x="70" y="9386"/>
                      <a:pt x="0" y="9237"/>
                    </a:cubicBezTo>
                    <a:lnTo>
                      <a:pt x="9713" y="0"/>
                    </a:lnTo>
                    <a:cubicBezTo>
                      <a:pt x="9791" y="149"/>
                      <a:pt x="9836" y="217"/>
                      <a:pt x="9914" y="367"/>
                    </a:cubicBezTo>
                    <a:cubicBezTo>
                      <a:pt x="9932" y="556"/>
                      <a:pt x="10000" y="638"/>
                      <a:pt x="10017" y="828"/>
                    </a:cubicBezTo>
                    <a:lnTo>
                      <a:pt x="287" y="10133"/>
                    </a:lnTo>
                    <a:close/>
                  </a:path>
                </a:pathLst>
              </a:custGeom>
              <a:gradFill rotWithShape="1">
                <a:gsLst>
                  <a:gs pos="0">
                    <a:srgbClr val="DDDDDD"/>
                  </a:gs>
                  <a:gs pos="100000">
                    <a:srgbClr val="CCFFCC"/>
                  </a:gs>
                </a:gsLst>
                <a:path path="rect">
                  <a:fillToRect l="50000" t="50000" r="50000" b="50000"/>
                </a:path>
              </a:gradFill>
              <a:ln w="9525">
                <a:noFill/>
                <a:round/>
                <a:headEnd/>
                <a:tailEnd/>
              </a:ln>
            </xdr:spPr>
          </xdr:sp>
          <xdr:grpSp>
            <xdr:nvGrpSpPr>
              <xdr:cNvPr id="12446" name="Group 765"/>
              <xdr:cNvGrpSpPr>
                <a:grpSpLocks/>
              </xdr:cNvGrpSpPr>
            </xdr:nvGrpSpPr>
            <xdr:grpSpPr bwMode="auto">
              <a:xfrm>
                <a:off x="4514850" y="18583275"/>
                <a:ext cx="161925" cy="171450"/>
                <a:chOff x="2867025" y="5172075"/>
                <a:chExt cx="17" cy="18"/>
              </a:xfrm>
            </xdr:grpSpPr>
            <xdr:sp macro="" textlink="">
              <xdr:nvSpPr>
                <xdr:cNvPr id="12547" name="Freeform 872"/>
                <xdr:cNvSpPr>
                  <a:spLocks/>
                </xdr:cNvSpPr>
              </xdr:nvSpPr>
              <xdr:spPr bwMode="auto">
                <a:xfrm>
                  <a:off x="2867029" y="5172075"/>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48" name="Freeform 873"/>
                <xdr:cNvSpPr>
                  <a:spLocks/>
                </xdr:cNvSpPr>
              </xdr:nvSpPr>
              <xdr:spPr bwMode="auto">
                <a:xfrm>
                  <a:off x="2867025" y="5172077"/>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49" name="Freeform 874"/>
                <xdr:cNvSpPr>
                  <a:spLocks/>
                </xdr:cNvSpPr>
              </xdr:nvSpPr>
              <xdr:spPr bwMode="auto">
                <a:xfrm>
                  <a:off x="2867028" y="5172075"/>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50" name="Freeform 875"/>
                <xdr:cNvSpPr>
                  <a:spLocks/>
                </xdr:cNvSpPr>
              </xdr:nvSpPr>
              <xdr:spPr bwMode="auto">
                <a:xfrm>
                  <a:off x="2867035" y="5172079"/>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51" name="Freeform 876"/>
                <xdr:cNvSpPr>
                  <a:spLocks/>
                </xdr:cNvSpPr>
              </xdr:nvSpPr>
              <xdr:spPr bwMode="auto">
                <a:xfrm>
                  <a:off x="2867035" y="5172087"/>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grpSp>
            <xdr:nvGrpSpPr>
              <xdr:cNvPr id="12447" name="Group 766"/>
              <xdr:cNvGrpSpPr>
                <a:grpSpLocks/>
              </xdr:cNvGrpSpPr>
            </xdr:nvGrpSpPr>
            <xdr:grpSpPr bwMode="auto">
              <a:xfrm>
                <a:off x="3771900" y="18183225"/>
                <a:ext cx="161925" cy="171450"/>
                <a:chOff x="2124075" y="4772025"/>
                <a:chExt cx="17" cy="18"/>
              </a:xfrm>
            </xdr:grpSpPr>
            <xdr:sp macro="" textlink="">
              <xdr:nvSpPr>
                <xdr:cNvPr id="12542" name="Freeform 867"/>
                <xdr:cNvSpPr>
                  <a:spLocks/>
                </xdr:cNvSpPr>
              </xdr:nvSpPr>
              <xdr:spPr bwMode="auto">
                <a:xfrm>
                  <a:off x="2124079" y="4772025"/>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43" name="Freeform 868"/>
                <xdr:cNvSpPr>
                  <a:spLocks/>
                </xdr:cNvSpPr>
              </xdr:nvSpPr>
              <xdr:spPr bwMode="auto">
                <a:xfrm>
                  <a:off x="2124075" y="4772027"/>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44" name="Freeform 869"/>
                <xdr:cNvSpPr>
                  <a:spLocks/>
                </xdr:cNvSpPr>
              </xdr:nvSpPr>
              <xdr:spPr bwMode="auto">
                <a:xfrm>
                  <a:off x="2124078" y="4772025"/>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45" name="Freeform 870"/>
                <xdr:cNvSpPr>
                  <a:spLocks/>
                </xdr:cNvSpPr>
              </xdr:nvSpPr>
              <xdr:spPr bwMode="auto">
                <a:xfrm>
                  <a:off x="2124085" y="4772029"/>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46" name="Freeform 871"/>
                <xdr:cNvSpPr>
                  <a:spLocks/>
                </xdr:cNvSpPr>
              </xdr:nvSpPr>
              <xdr:spPr bwMode="auto">
                <a:xfrm>
                  <a:off x="2124085" y="4772037"/>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sp macro="" textlink="">
            <xdr:nvSpPr>
              <xdr:cNvPr id="12448" name="Freeform 763"/>
              <xdr:cNvSpPr>
                <a:spLocks/>
              </xdr:cNvSpPr>
            </xdr:nvSpPr>
            <xdr:spPr bwMode="auto">
              <a:xfrm>
                <a:off x="2324100" y="15925800"/>
                <a:ext cx="2390775" cy="2828925"/>
              </a:xfrm>
              <a:custGeom>
                <a:avLst/>
                <a:gdLst>
                  <a:gd name="T0" fmla="*/ 2393246 w 10000"/>
                  <a:gd name="T1" fmla="*/ 1380764 h 10000"/>
                  <a:gd name="T2" fmla="*/ 2393246 w 10000"/>
                  <a:gd name="T3" fmla="*/ 2733523 h 10000"/>
                  <a:gd name="T4" fmla="*/ 2336287 w 10000"/>
                  <a:gd name="T5" fmla="*/ 2800284 h 10000"/>
                  <a:gd name="T6" fmla="*/ 2279567 w 10000"/>
                  <a:gd name="T7" fmla="*/ 2828855 h 10000"/>
                  <a:gd name="T8" fmla="*/ 2194128 w 10000"/>
                  <a:gd name="T9" fmla="*/ 2790948 h 10000"/>
                  <a:gd name="T10" fmla="*/ 56959 w 10000"/>
                  <a:gd name="T11" fmla="*/ 1583593 h 10000"/>
                  <a:gd name="T12" fmla="*/ 21061 w 10000"/>
                  <a:gd name="T13" fmla="*/ 1516832 h 10000"/>
                  <a:gd name="T14" fmla="*/ 3829 w 10000"/>
                  <a:gd name="T15" fmla="*/ 1452617 h 10000"/>
                  <a:gd name="T16" fmla="*/ 0 w 10000"/>
                  <a:gd name="T17" fmla="*/ 1361811 h 10000"/>
                  <a:gd name="T18" fmla="*/ 3351 w 10000"/>
                  <a:gd name="T19" fmla="*/ 85714 h 10000"/>
                  <a:gd name="T20" fmla="*/ 16992 w 10000"/>
                  <a:gd name="T21" fmla="*/ 43564 h 10000"/>
                  <a:gd name="T22" fmla="*/ 50976 w 10000"/>
                  <a:gd name="T23" fmla="*/ 9052 h 10000"/>
                  <a:gd name="T24" fmla="*/ 117269 w 10000"/>
                  <a:gd name="T25" fmla="*/ 0 h 10000"/>
                  <a:gd name="T26" fmla="*/ 183801 w 10000"/>
                  <a:gd name="T27" fmla="*/ 28571 h 10000"/>
                  <a:gd name="T28" fmla="*/ 2279567 w 10000"/>
                  <a:gd name="T29" fmla="*/ 1133522 h 10000"/>
                  <a:gd name="T30" fmla="*/ 2358783 w 10000"/>
                  <a:gd name="T31" fmla="*/ 1203678 h 10000"/>
                  <a:gd name="T32" fmla="*/ 2387742 w 10000"/>
                  <a:gd name="T33" fmla="*/ 1294201 h 10000"/>
                  <a:gd name="T34" fmla="*/ 2393246 w 10000"/>
                  <a:gd name="T35" fmla="*/ 1380764 h 100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0000" h="10000">
                    <a:moveTo>
                      <a:pt x="10000" y="4881"/>
                    </a:moveTo>
                    <a:lnTo>
                      <a:pt x="10000" y="9663"/>
                    </a:lnTo>
                    <a:cubicBezTo>
                      <a:pt x="9921" y="9743"/>
                      <a:pt x="9842" y="9821"/>
                      <a:pt x="9762" y="9899"/>
                    </a:cubicBezTo>
                    <a:lnTo>
                      <a:pt x="9525" y="10000"/>
                    </a:lnTo>
                    <a:lnTo>
                      <a:pt x="9168" y="9866"/>
                    </a:lnTo>
                    <a:lnTo>
                      <a:pt x="238" y="5598"/>
                    </a:lnTo>
                    <a:cubicBezTo>
                      <a:pt x="210" y="5506"/>
                      <a:pt x="116" y="5454"/>
                      <a:pt x="88" y="5362"/>
                    </a:cubicBezTo>
                    <a:cubicBezTo>
                      <a:pt x="48" y="5283"/>
                      <a:pt x="56" y="5213"/>
                      <a:pt x="16" y="5135"/>
                    </a:cubicBezTo>
                    <a:cubicBezTo>
                      <a:pt x="3" y="5066"/>
                      <a:pt x="13" y="4881"/>
                      <a:pt x="0" y="4814"/>
                    </a:cubicBezTo>
                    <a:cubicBezTo>
                      <a:pt x="28" y="3310"/>
                      <a:pt x="-11" y="1807"/>
                      <a:pt x="14" y="303"/>
                    </a:cubicBezTo>
                    <a:cubicBezTo>
                      <a:pt x="28" y="257"/>
                      <a:pt x="57" y="199"/>
                      <a:pt x="71" y="154"/>
                    </a:cubicBezTo>
                    <a:cubicBezTo>
                      <a:pt x="111" y="97"/>
                      <a:pt x="173" y="89"/>
                      <a:pt x="213" y="32"/>
                    </a:cubicBezTo>
                    <a:lnTo>
                      <a:pt x="490" y="0"/>
                    </a:lnTo>
                    <a:lnTo>
                      <a:pt x="768" y="101"/>
                    </a:lnTo>
                    <a:lnTo>
                      <a:pt x="9525" y="4007"/>
                    </a:lnTo>
                    <a:cubicBezTo>
                      <a:pt x="9618" y="4097"/>
                      <a:pt x="9763" y="4165"/>
                      <a:pt x="9856" y="4255"/>
                    </a:cubicBezTo>
                    <a:cubicBezTo>
                      <a:pt x="9909" y="4344"/>
                      <a:pt x="9983" y="4468"/>
                      <a:pt x="9977" y="4575"/>
                    </a:cubicBezTo>
                    <a:cubicBezTo>
                      <a:pt x="9990" y="4687"/>
                      <a:pt x="9988" y="4770"/>
                      <a:pt x="10000" y="4881"/>
                    </a:cubicBezTo>
                    <a:close/>
                  </a:path>
                </a:pathLst>
              </a:custGeom>
              <a:gradFill rotWithShape="1">
                <a:gsLst>
                  <a:gs pos="0">
                    <a:srgbClr val="69FFFF"/>
                  </a:gs>
                  <a:gs pos="100000">
                    <a:srgbClr val="CCFFCC"/>
                  </a:gs>
                </a:gsLst>
                <a:lin ang="18900000" scaled="1"/>
              </a:gradFill>
              <a:ln w="19050" cmpd="sng">
                <a:solidFill>
                  <a:srgbClr val="000000"/>
                </a:solidFill>
                <a:round/>
                <a:headEnd/>
                <a:tailEnd/>
              </a:ln>
            </xdr:spPr>
          </xdr:sp>
          <xdr:grpSp>
            <xdr:nvGrpSpPr>
              <xdr:cNvPr id="12449" name="Group 767"/>
              <xdr:cNvGrpSpPr>
                <a:grpSpLocks/>
              </xdr:cNvGrpSpPr>
            </xdr:nvGrpSpPr>
            <xdr:grpSpPr bwMode="auto">
              <a:xfrm>
                <a:off x="3819525" y="16697325"/>
                <a:ext cx="161925" cy="171450"/>
                <a:chOff x="2171700" y="3286125"/>
                <a:chExt cx="17" cy="18"/>
              </a:xfrm>
            </xdr:grpSpPr>
            <xdr:sp macro="" textlink="">
              <xdr:nvSpPr>
                <xdr:cNvPr id="12537" name="Freeform 862"/>
                <xdr:cNvSpPr>
                  <a:spLocks/>
                </xdr:cNvSpPr>
              </xdr:nvSpPr>
              <xdr:spPr bwMode="auto">
                <a:xfrm>
                  <a:off x="2171704" y="3286125"/>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38" name="Freeform 863"/>
                <xdr:cNvSpPr>
                  <a:spLocks/>
                </xdr:cNvSpPr>
              </xdr:nvSpPr>
              <xdr:spPr bwMode="auto">
                <a:xfrm>
                  <a:off x="2171700" y="3286127"/>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39" name="Freeform 864"/>
                <xdr:cNvSpPr>
                  <a:spLocks/>
                </xdr:cNvSpPr>
              </xdr:nvSpPr>
              <xdr:spPr bwMode="auto">
                <a:xfrm>
                  <a:off x="2171703" y="3286125"/>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40" name="Freeform 865"/>
                <xdr:cNvSpPr>
                  <a:spLocks/>
                </xdr:cNvSpPr>
              </xdr:nvSpPr>
              <xdr:spPr bwMode="auto">
                <a:xfrm>
                  <a:off x="2171710" y="3286129"/>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41" name="Freeform 866"/>
                <xdr:cNvSpPr>
                  <a:spLocks/>
                </xdr:cNvSpPr>
              </xdr:nvSpPr>
              <xdr:spPr bwMode="auto">
                <a:xfrm>
                  <a:off x="2171710" y="3286137"/>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grpSp>
            <xdr:nvGrpSpPr>
              <xdr:cNvPr id="12450" name="Group 768"/>
              <xdr:cNvGrpSpPr>
                <a:grpSpLocks/>
              </xdr:cNvGrpSpPr>
            </xdr:nvGrpSpPr>
            <xdr:grpSpPr bwMode="auto">
              <a:xfrm>
                <a:off x="3067050" y="17783175"/>
                <a:ext cx="161925" cy="171450"/>
                <a:chOff x="1428750" y="4381500"/>
                <a:chExt cx="17" cy="18"/>
              </a:xfrm>
            </xdr:grpSpPr>
            <xdr:sp macro="" textlink="">
              <xdr:nvSpPr>
                <xdr:cNvPr id="12532" name="Freeform 857"/>
                <xdr:cNvSpPr>
                  <a:spLocks/>
                </xdr:cNvSpPr>
              </xdr:nvSpPr>
              <xdr:spPr bwMode="auto">
                <a:xfrm>
                  <a:off x="1428754" y="4381500"/>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33" name="Freeform 858"/>
                <xdr:cNvSpPr>
                  <a:spLocks/>
                </xdr:cNvSpPr>
              </xdr:nvSpPr>
              <xdr:spPr bwMode="auto">
                <a:xfrm>
                  <a:off x="1428750" y="4381502"/>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34" name="Freeform 859"/>
                <xdr:cNvSpPr>
                  <a:spLocks/>
                </xdr:cNvSpPr>
              </xdr:nvSpPr>
              <xdr:spPr bwMode="auto">
                <a:xfrm>
                  <a:off x="1428753" y="4381500"/>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35" name="Freeform 860"/>
                <xdr:cNvSpPr>
                  <a:spLocks/>
                </xdr:cNvSpPr>
              </xdr:nvSpPr>
              <xdr:spPr bwMode="auto">
                <a:xfrm>
                  <a:off x="1428760" y="4381504"/>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36" name="Freeform 861"/>
                <xdr:cNvSpPr>
                  <a:spLocks/>
                </xdr:cNvSpPr>
              </xdr:nvSpPr>
              <xdr:spPr bwMode="auto">
                <a:xfrm>
                  <a:off x="1428760" y="4381512"/>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grpSp>
            <xdr:nvGrpSpPr>
              <xdr:cNvPr id="12451" name="Group 770"/>
              <xdr:cNvGrpSpPr>
                <a:grpSpLocks/>
              </xdr:cNvGrpSpPr>
            </xdr:nvGrpSpPr>
            <xdr:grpSpPr bwMode="auto">
              <a:xfrm>
                <a:off x="3105150" y="16316325"/>
                <a:ext cx="161925" cy="171450"/>
                <a:chOff x="1457325" y="2905125"/>
                <a:chExt cx="17" cy="18"/>
              </a:xfrm>
            </xdr:grpSpPr>
            <xdr:sp macro="" textlink="">
              <xdr:nvSpPr>
                <xdr:cNvPr id="12527" name="Freeform 847"/>
                <xdr:cNvSpPr>
                  <a:spLocks/>
                </xdr:cNvSpPr>
              </xdr:nvSpPr>
              <xdr:spPr bwMode="auto">
                <a:xfrm>
                  <a:off x="1457329" y="2905125"/>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28" name="Freeform 848"/>
                <xdr:cNvSpPr>
                  <a:spLocks/>
                </xdr:cNvSpPr>
              </xdr:nvSpPr>
              <xdr:spPr bwMode="auto">
                <a:xfrm>
                  <a:off x="1457325" y="2905127"/>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29" name="Freeform 849"/>
                <xdr:cNvSpPr>
                  <a:spLocks/>
                </xdr:cNvSpPr>
              </xdr:nvSpPr>
              <xdr:spPr bwMode="auto">
                <a:xfrm>
                  <a:off x="1457328" y="2905125"/>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30" name="Freeform 850"/>
                <xdr:cNvSpPr>
                  <a:spLocks/>
                </xdr:cNvSpPr>
              </xdr:nvSpPr>
              <xdr:spPr bwMode="auto">
                <a:xfrm>
                  <a:off x="1457335" y="2905129"/>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31" name="Freeform 851"/>
                <xdr:cNvSpPr>
                  <a:spLocks/>
                </xdr:cNvSpPr>
              </xdr:nvSpPr>
              <xdr:spPr bwMode="auto">
                <a:xfrm>
                  <a:off x="1457335" y="2905137"/>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grpSp>
            <xdr:nvGrpSpPr>
              <xdr:cNvPr id="12452" name="Group 771"/>
              <xdr:cNvGrpSpPr>
                <a:grpSpLocks/>
              </xdr:cNvGrpSpPr>
            </xdr:nvGrpSpPr>
            <xdr:grpSpPr bwMode="auto">
              <a:xfrm>
                <a:off x="2352675" y="15916275"/>
                <a:ext cx="161925" cy="171450"/>
                <a:chOff x="752475" y="2524125"/>
                <a:chExt cx="17" cy="18"/>
              </a:xfrm>
            </xdr:grpSpPr>
            <xdr:sp macro="" textlink="">
              <xdr:nvSpPr>
                <xdr:cNvPr id="12522" name="Freeform 842"/>
                <xdr:cNvSpPr>
                  <a:spLocks/>
                </xdr:cNvSpPr>
              </xdr:nvSpPr>
              <xdr:spPr bwMode="auto">
                <a:xfrm>
                  <a:off x="752479" y="2524125"/>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23" name="Freeform 843"/>
                <xdr:cNvSpPr>
                  <a:spLocks/>
                </xdr:cNvSpPr>
              </xdr:nvSpPr>
              <xdr:spPr bwMode="auto">
                <a:xfrm>
                  <a:off x="752475" y="2524127"/>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24" name="Freeform 844"/>
                <xdr:cNvSpPr>
                  <a:spLocks/>
                </xdr:cNvSpPr>
              </xdr:nvSpPr>
              <xdr:spPr bwMode="auto">
                <a:xfrm>
                  <a:off x="752478" y="2524125"/>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25" name="Freeform 845"/>
                <xdr:cNvSpPr>
                  <a:spLocks/>
                </xdr:cNvSpPr>
              </xdr:nvSpPr>
              <xdr:spPr bwMode="auto">
                <a:xfrm>
                  <a:off x="752485" y="2524129"/>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26" name="Freeform 846"/>
                <xdr:cNvSpPr>
                  <a:spLocks/>
                </xdr:cNvSpPr>
              </xdr:nvSpPr>
              <xdr:spPr bwMode="auto">
                <a:xfrm>
                  <a:off x="752485" y="2524137"/>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grpSp>
            <xdr:nvGrpSpPr>
              <xdr:cNvPr id="12453" name="Group 769"/>
              <xdr:cNvGrpSpPr>
                <a:grpSpLocks/>
              </xdr:cNvGrpSpPr>
            </xdr:nvGrpSpPr>
            <xdr:grpSpPr bwMode="auto">
              <a:xfrm>
                <a:off x="2352675" y="17373600"/>
                <a:ext cx="161925" cy="171450"/>
                <a:chOff x="704850" y="3962400"/>
                <a:chExt cx="17" cy="18"/>
              </a:xfrm>
            </xdr:grpSpPr>
            <xdr:sp macro="" textlink="">
              <xdr:nvSpPr>
                <xdr:cNvPr id="12517" name="Freeform 852"/>
                <xdr:cNvSpPr>
                  <a:spLocks/>
                </xdr:cNvSpPr>
              </xdr:nvSpPr>
              <xdr:spPr bwMode="auto">
                <a:xfrm>
                  <a:off x="704854" y="3962400"/>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18" name="Freeform 853"/>
                <xdr:cNvSpPr>
                  <a:spLocks/>
                </xdr:cNvSpPr>
              </xdr:nvSpPr>
              <xdr:spPr bwMode="auto">
                <a:xfrm>
                  <a:off x="704850" y="3962402"/>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19" name="Freeform 854"/>
                <xdr:cNvSpPr>
                  <a:spLocks/>
                </xdr:cNvSpPr>
              </xdr:nvSpPr>
              <xdr:spPr bwMode="auto">
                <a:xfrm>
                  <a:off x="704853" y="3962400"/>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20" name="Freeform 855"/>
                <xdr:cNvSpPr>
                  <a:spLocks/>
                </xdr:cNvSpPr>
              </xdr:nvSpPr>
              <xdr:spPr bwMode="auto">
                <a:xfrm>
                  <a:off x="704860" y="3962404"/>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21" name="Freeform 856"/>
                <xdr:cNvSpPr>
                  <a:spLocks/>
                </xdr:cNvSpPr>
              </xdr:nvSpPr>
              <xdr:spPr bwMode="auto">
                <a:xfrm>
                  <a:off x="704860" y="3962412"/>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grpSp>
            <xdr:nvGrpSpPr>
              <xdr:cNvPr id="12454" name="Group 772"/>
              <xdr:cNvGrpSpPr>
                <a:grpSpLocks/>
              </xdr:cNvGrpSpPr>
            </xdr:nvGrpSpPr>
            <xdr:grpSpPr bwMode="auto">
              <a:xfrm>
                <a:off x="2343150" y="16678275"/>
                <a:ext cx="161925" cy="171450"/>
                <a:chOff x="0" y="2838450"/>
                <a:chExt cx="17" cy="18"/>
              </a:xfrm>
            </xdr:grpSpPr>
            <xdr:sp macro="" textlink="">
              <xdr:nvSpPr>
                <xdr:cNvPr id="12512" name="Freeform 837"/>
                <xdr:cNvSpPr>
                  <a:spLocks/>
                </xdr:cNvSpPr>
              </xdr:nvSpPr>
              <xdr:spPr bwMode="auto">
                <a:xfrm>
                  <a:off x="4" y="2838450"/>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13" name="Freeform 838"/>
                <xdr:cNvSpPr>
                  <a:spLocks/>
                </xdr:cNvSpPr>
              </xdr:nvSpPr>
              <xdr:spPr bwMode="auto">
                <a:xfrm>
                  <a:off x="0" y="2838452"/>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14" name="Freeform 839"/>
                <xdr:cNvSpPr>
                  <a:spLocks/>
                </xdr:cNvSpPr>
              </xdr:nvSpPr>
              <xdr:spPr bwMode="auto">
                <a:xfrm>
                  <a:off x="3" y="2838450"/>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15" name="Freeform 840"/>
                <xdr:cNvSpPr>
                  <a:spLocks/>
                </xdr:cNvSpPr>
              </xdr:nvSpPr>
              <xdr:spPr bwMode="auto">
                <a:xfrm>
                  <a:off x="10" y="2838454"/>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16" name="Freeform 841"/>
                <xdr:cNvSpPr>
                  <a:spLocks/>
                </xdr:cNvSpPr>
              </xdr:nvSpPr>
              <xdr:spPr bwMode="auto">
                <a:xfrm>
                  <a:off x="10" y="2838462"/>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grpSp>
            <xdr:nvGrpSpPr>
              <xdr:cNvPr id="12455" name="Group 775"/>
              <xdr:cNvGrpSpPr>
                <a:grpSpLocks/>
              </xdr:cNvGrpSpPr>
            </xdr:nvGrpSpPr>
            <xdr:grpSpPr bwMode="auto">
              <a:xfrm>
                <a:off x="4543425" y="17821275"/>
                <a:ext cx="161925" cy="171450"/>
                <a:chOff x="2895600" y="4410075"/>
                <a:chExt cx="17" cy="18"/>
              </a:xfrm>
            </xdr:grpSpPr>
            <xdr:sp macro="" textlink="">
              <xdr:nvSpPr>
                <xdr:cNvPr id="12507" name="Freeform 822"/>
                <xdr:cNvSpPr>
                  <a:spLocks/>
                </xdr:cNvSpPr>
              </xdr:nvSpPr>
              <xdr:spPr bwMode="auto">
                <a:xfrm>
                  <a:off x="2895604" y="4410075"/>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08" name="Freeform 823"/>
                <xdr:cNvSpPr>
                  <a:spLocks/>
                </xdr:cNvSpPr>
              </xdr:nvSpPr>
              <xdr:spPr bwMode="auto">
                <a:xfrm>
                  <a:off x="2895600" y="4410077"/>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09" name="Freeform 824"/>
                <xdr:cNvSpPr>
                  <a:spLocks/>
                </xdr:cNvSpPr>
              </xdr:nvSpPr>
              <xdr:spPr bwMode="auto">
                <a:xfrm>
                  <a:off x="2895603" y="4410075"/>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10" name="Freeform 825"/>
                <xdr:cNvSpPr>
                  <a:spLocks/>
                </xdr:cNvSpPr>
              </xdr:nvSpPr>
              <xdr:spPr bwMode="auto">
                <a:xfrm>
                  <a:off x="2895610" y="4410079"/>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11" name="Freeform 826"/>
                <xdr:cNvSpPr>
                  <a:spLocks/>
                </xdr:cNvSpPr>
              </xdr:nvSpPr>
              <xdr:spPr bwMode="auto">
                <a:xfrm>
                  <a:off x="2895610" y="4410087"/>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grpSp>
            <xdr:nvGrpSpPr>
              <xdr:cNvPr id="12456" name="Group 776"/>
              <xdr:cNvGrpSpPr>
                <a:grpSpLocks/>
              </xdr:cNvGrpSpPr>
            </xdr:nvGrpSpPr>
            <xdr:grpSpPr bwMode="auto">
              <a:xfrm>
                <a:off x="4543425" y="17087850"/>
                <a:ext cx="161925" cy="171450"/>
                <a:chOff x="2895600" y="3676650"/>
                <a:chExt cx="17" cy="18"/>
              </a:xfrm>
            </xdr:grpSpPr>
            <xdr:sp macro="" textlink="">
              <xdr:nvSpPr>
                <xdr:cNvPr id="12502" name="Freeform 817"/>
                <xdr:cNvSpPr>
                  <a:spLocks/>
                </xdr:cNvSpPr>
              </xdr:nvSpPr>
              <xdr:spPr bwMode="auto">
                <a:xfrm>
                  <a:off x="2895604" y="3676650"/>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03" name="Freeform 818"/>
                <xdr:cNvSpPr>
                  <a:spLocks/>
                </xdr:cNvSpPr>
              </xdr:nvSpPr>
              <xdr:spPr bwMode="auto">
                <a:xfrm>
                  <a:off x="2895600" y="3676652"/>
                  <a:ext cx="13" cy="16"/>
                </a:xfrm>
                <a:custGeom>
                  <a:avLst/>
                  <a:gdLst>
                    <a:gd name="T0" fmla="*/ 0 w 59"/>
                    <a:gd name="T1" fmla="*/ 0 h 76"/>
                    <a:gd name="T2" fmla="*/ 0 w 59"/>
                    <a:gd name="T3" fmla="*/ 0 h 76"/>
                    <a:gd name="T4" fmla="*/ 0 w 59"/>
                    <a:gd name="T5" fmla="*/ 0 h 76"/>
                    <a:gd name="T6" fmla="*/ 0 w 59"/>
                    <a:gd name="T7" fmla="*/ 0 h 76"/>
                    <a:gd name="T8" fmla="*/ 0 w 59"/>
                    <a:gd name="T9" fmla="*/ 0 h 76"/>
                    <a:gd name="T10" fmla="*/ 0 w 59"/>
                    <a:gd name="T11" fmla="*/ 0 h 76"/>
                    <a:gd name="T12" fmla="*/ 0 w 59"/>
                    <a:gd name="T13" fmla="*/ 0 h 76"/>
                    <a:gd name="T14" fmla="*/ 0 60000 65536"/>
                    <a:gd name="T15" fmla="*/ 0 60000 65536"/>
                    <a:gd name="T16" fmla="*/ 0 60000 65536"/>
                    <a:gd name="T17" fmla="*/ 0 60000 65536"/>
                    <a:gd name="T18" fmla="*/ 0 60000 65536"/>
                    <a:gd name="T19" fmla="*/ 0 60000 65536"/>
                    <a:gd name="T20" fmla="*/ 0 60000 65536"/>
                    <a:gd name="T21" fmla="*/ 0 w 59"/>
                    <a:gd name="T22" fmla="*/ 0 h 76"/>
                    <a:gd name="T23" fmla="*/ 59 w 59"/>
                    <a:gd name="T24" fmla="*/ 76 h 7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76">
                      <a:moveTo>
                        <a:pt x="45" y="76"/>
                      </a:moveTo>
                      <a:lnTo>
                        <a:pt x="59" y="58"/>
                      </a:lnTo>
                      <a:lnTo>
                        <a:pt x="45" y="18"/>
                      </a:lnTo>
                      <a:lnTo>
                        <a:pt x="13" y="0"/>
                      </a:lnTo>
                      <a:lnTo>
                        <a:pt x="0" y="23"/>
                      </a:lnTo>
                      <a:lnTo>
                        <a:pt x="13" y="58"/>
                      </a:lnTo>
                      <a:lnTo>
                        <a:pt x="45" y="76"/>
                      </a:lnTo>
                      <a:close/>
                    </a:path>
                  </a:pathLst>
                </a:custGeom>
                <a:solidFill>
                  <a:srgbClr val="FFFFFF"/>
                </a:solidFill>
                <a:ln w="9525">
                  <a:solidFill>
                    <a:srgbClr val="000000"/>
                  </a:solidFill>
                  <a:round/>
                  <a:headEnd/>
                  <a:tailEnd/>
                </a:ln>
              </xdr:spPr>
            </xdr:sp>
            <xdr:sp macro="" textlink="">
              <xdr:nvSpPr>
                <xdr:cNvPr id="12504" name="Freeform 819"/>
                <xdr:cNvSpPr>
                  <a:spLocks/>
                </xdr:cNvSpPr>
              </xdr:nvSpPr>
              <xdr:spPr bwMode="auto">
                <a:xfrm>
                  <a:off x="2895603" y="3676650"/>
                  <a:ext cx="11" cy="6"/>
                </a:xfrm>
                <a:custGeom>
                  <a:avLst/>
                  <a:gdLst>
                    <a:gd name="T0" fmla="*/ 0 w 11"/>
                    <a:gd name="T1" fmla="*/ 2 h 6"/>
                    <a:gd name="T2" fmla="*/ 4 w 11"/>
                    <a:gd name="T3" fmla="*/ 0 h 6"/>
                    <a:gd name="T4" fmla="*/ 11 w 11"/>
                    <a:gd name="T5" fmla="*/ 4 h 6"/>
                    <a:gd name="T6" fmla="*/ 7 w 11"/>
                    <a:gd name="T7" fmla="*/ 6 h 6"/>
                    <a:gd name="T8" fmla="*/ 0 w 11"/>
                    <a:gd name="T9" fmla="*/ 2 h 6"/>
                    <a:gd name="T10" fmla="*/ 0 60000 65536"/>
                    <a:gd name="T11" fmla="*/ 0 60000 65536"/>
                    <a:gd name="T12" fmla="*/ 0 60000 65536"/>
                    <a:gd name="T13" fmla="*/ 0 60000 65536"/>
                    <a:gd name="T14" fmla="*/ 0 60000 65536"/>
                    <a:gd name="T15" fmla="*/ 0 w 11"/>
                    <a:gd name="T16" fmla="*/ 0 h 6"/>
                    <a:gd name="T17" fmla="*/ 11 w 11"/>
                    <a:gd name="T18" fmla="*/ 6 h 6"/>
                  </a:gdLst>
                  <a:ahLst/>
                  <a:cxnLst>
                    <a:cxn ang="T10">
                      <a:pos x="T0" y="T1"/>
                    </a:cxn>
                    <a:cxn ang="T11">
                      <a:pos x="T2" y="T3"/>
                    </a:cxn>
                    <a:cxn ang="T12">
                      <a:pos x="T4" y="T5"/>
                    </a:cxn>
                    <a:cxn ang="T13">
                      <a:pos x="T6" y="T7"/>
                    </a:cxn>
                    <a:cxn ang="T14">
                      <a:pos x="T8" y="T9"/>
                    </a:cxn>
                  </a:cxnLst>
                  <a:rect l="T15" t="T16" r="T17" b="T18"/>
                  <a:pathLst>
                    <a:path w="11" h="6">
                      <a:moveTo>
                        <a:pt x="0" y="2"/>
                      </a:moveTo>
                      <a:lnTo>
                        <a:pt x="4" y="0"/>
                      </a:lnTo>
                      <a:lnTo>
                        <a:pt x="11" y="4"/>
                      </a:lnTo>
                      <a:lnTo>
                        <a:pt x="7" y="6"/>
                      </a:lnTo>
                      <a:lnTo>
                        <a:pt x="0" y="2"/>
                      </a:lnTo>
                      <a:close/>
                    </a:path>
                  </a:pathLst>
                </a:custGeom>
                <a:solidFill>
                  <a:srgbClr val="FFFFFF"/>
                </a:solidFill>
                <a:ln w="9525">
                  <a:solidFill>
                    <a:srgbClr val="000000"/>
                  </a:solidFill>
                  <a:round/>
                  <a:headEnd/>
                  <a:tailEnd/>
                </a:ln>
              </xdr:spPr>
            </xdr:sp>
            <xdr:sp macro="" textlink="">
              <xdr:nvSpPr>
                <xdr:cNvPr id="12505" name="Freeform 820"/>
                <xdr:cNvSpPr>
                  <a:spLocks/>
                </xdr:cNvSpPr>
              </xdr:nvSpPr>
              <xdr:spPr bwMode="auto">
                <a:xfrm>
                  <a:off x="2895610" y="3676654"/>
                  <a:ext cx="7" cy="10"/>
                </a:xfrm>
                <a:custGeom>
                  <a:avLst/>
                  <a:gdLst>
                    <a:gd name="T0" fmla="*/ 3 w 7"/>
                    <a:gd name="T1" fmla="*/ 10 h 10"/>
                    <a:gd name="T2" fmla="*/ 7 w 7"/>
                    <a:gd name="T3" fmla="*/ 8 h 10"/>
                    <a:gd name="T4" fmla="*/ 4 w 7"/>
                    <a:gd name="T5" fmla="*/ 0 h 10"/>
                    <a:gd name="T6" fmla="*/ 0 w 7"/>
                    <a:gd name="T7" fmla="*/ 2 h 10"/>
                    <a:gd name="T8" fmla="*/ 3 w 7"/>
                    <a:gd name="T9" fmla="*/ 10 h 10"/>
                    <a:gd name="T10" fmla="*/ 0 60000 65536"/>
                    <a:gd name="T11" fmla="*/ 0 60000 65536"/>
                    <a:gd name="T12" fmla="*/ 0 60000 65536"/>
                    <a:gd name="T13" fmla="*/ 0 60000 65536"/>
                    <a:gd name="T14" fmla="*/ 0 60000 65536"/>
                    <a:gd name="T15" fmla="*/ 0 w 7"/>
                    <a:gd name="T16" fmla="*/ 0 h 10"/>
                    <a:gd name="T17" fmla="*/ 7 w 7"/>
                    <a:gd name="T18" fmla="*/ 10 h 10"/>
                  </a:gdLst>
                  <a:ahLst/>
                  <a:cxnLst>
                    <a:cxn ang="T10">
                      <a:pos x="T0" y="T1"/>
                    </a:cxn>
                    <a:cxn ang="T11">
                      <a:pos x="T2" y="T3"/>
                    </a:cxn>
                    <a:cxn ang="T12">
                      <a:pos x="T4" y="T5"/>
                    </a:cxn>
                    <a:cxn ang="T13">
                      <a:pos x="T6" y="T7"/>
                    </a:cxn>
                    <a:cxn ang="T14">
                      <a:pos x="T8" y="T9"/>
                    </a:cxn>
                  </a:cxnLst>
                  <a:rect l="T15" t="T16" r="T17" b="T18"/>
                  <a:pathLst>
                    <a:path w="7" h="10">
                      <a:moveTo>
                        <a:pt x="3" y="10"/>
                      </a:moveTo>
                      <a:lnTo>
                        <a:pt x="7" y="8"/>
                      </a:lnTo>
                      <a:lnTo>
                        <a:pt x="4" y="0"/>
                      </a:lnTo>
                      <a:lnTo>
                        <a:pt x="0" y="2"/>
                      </a:lnTo>
                      <a:lnTo>
                        <a:pt x="3" y="10"/>
                      </a:lnTo>
                      <a:close/>
                    </a:path>
                  </a:pathLst>
                </a:custGeom>
                <a:solidFill>
                  <a:srgbClr val="FFFFFF"/>
                </a:solidFill>
                <a:ln w="9525">
                  <a:solidFill>
                    <a:srgbClr val="000000"/>
                  </a:solidFill>
                  <a:round/>
                  <a:headEnd/>
                  <a:tailEnd/>
                </a:ln>
              </xdr:spPr>
            </xdr:sp>
            <xdr:sp macro="" textlink="">
              <xdr:nvSpPr>
                <xdr:cNvPr id="12506" name="Freeform 821"/>
                <xdr:cNvSpPr>
                  <a:spLocks/>
                </xdr:cNvSpPr>
              </xdr:nvSpPr>
              <xdr:spPr bwMode="auto">
                <a:xfrm>
                  <a:off x="2895610" y="3676662"/>
                  <a:ext cx="7" cy="6"/>
                </a:xfrm>
                <a:custGeom>
                  <a:avLst/>
                  <a:gdLst>
                    <a:gd name="T0" fmla="*/ 3 w 7"/>
                    <a:gd name="T1" fmla="*/ 2 h 6"/>
                    <a:gd name="T2" fmla="*/ 7 w 7"/>
                    <a:gd name="T3" fmla="*/ 0 h 6"/>
                    <a:gd name="T4" fmla="*/ 4 w 7"/>
                    <a:gd name="T5" fmla="*/ 4 h 6"/>
                    <a:gd name="T6" fmla="*/ 0 w 7"/>
                    <a:gd name="T7" fmla="*/ 6 h 6"/>
                    <a:gd name="T8" fmla="*/ 3 w 7"/>
                    <a:gd name="T9" fmla="*/ 2 h 6"/>
                    <a:gd name="T10" fmla="*/ 0 60000 65536"/>
                    <a:gd name="T11" fmla="*/ 0 60000 65536"/>
                    <a:gd name="T12" fmla="*/ 0 60000 65536"/>
                    <a:gd name="T13" fmla="*/ 0 60000 65536"/>
                    <a:gd name="T14" fmla="*/ 0 60000 65536"/>
                    <a:gd name="T15" fmla="*/ 0 w 7"/>
                    <a:gd name="T16" fmla="*/ 0 h 6"/>
                    <a:gd name="T17" fmla="*/ 7 w 7"/>
                    <a:gd name="T18" fmla="*/ 6 h 6"/>
                  </a:gdLst>
                  <a:ahLst/>
                  <a:cxnLst>
                    <a:cxn ang="T10">
                      <a:pos x="T0" y="T1"/>
                    </a:cxn>
                    <a:cxn ang="T11">
                      <a:pos x="T2" y="T3"/>
                    </a:cxn>
                    <a:cxn ang="T12">
                      <a:pos x="T4" y="T5"/>
                    </a:cxn>
                    <a:cxn ang="T13">
                      <a:pos x="T6" y="T7"/>
                    </a:cxn>
                    <a:cxn ang="T14">
                      <a:pos x="T8" y="T9"/>
                    </a:cxn>
                  </a:cxnLst>
                  <a:rect l="T15" t="T16" r="T17" b="T18"/>
                  <a:pathLst>
                    <a:path w="7" h="6">
                      <a:moveTo>
                        <a:pt x="3" y="2"/>
                      </a:moveTo>
                      <a:lnTo>
                        <a:pt x="7" y="0"/>
                      </a:lnTo>
                      <a:lnTo>
                        <a:pt x="4" y="4"/>
                      </a:lnTo>
                      <a:lnTo>
                        <a:pt x="0" y="6"/>
                      </a:lnTo>
                      <a:lnTo>
                        <a:pt x="3" y="2"/>
                      </a:lnTo>
                      <a:close/>
                    </a:path>
                  </a:pathLst>
                </a:custGeom>
                <a:solidFill>
                  <a:srgbClr val="FFFFFF"/>
                </a:solidFill>
                <a:ln w="9525">
                  <a:solidFill>
                    <a:srgbClr val="000000"/>
                  </a:solidFill>
                  <a:round/>
                  <a:headEnd/>
                  <a:tailEnd/>
                </a:ln>
              </xdr:spPr>
            </xdr:sp>
          </xdr:grpSp>
          <xdr:grpSp>
            <xdr:nvGrpSpPr>
              <xdr:cNvPr id="12457" name="Group 777"/>
              <xdr:cNvGrpSpPr>
                <a:grpSpLocks/>
              </xdr:cNvGrpSpPr>
            </xdr:nvGrpSpPr>
            <xdr:grpSpPr bwMode="auto">
              <a:xfrm>
                <a:off x="4229100" y="17287875"/>
                <a:ext cx="323850" cy="323850"/>
                <a:chOff x="1133475" y="3333750"/>
                <a:chExt cx="34" cy="34"/>
              </a:xfrm>
            </xdr:grpSpPr>
            <xdr:sp macro="" textlink="">
              <xdr:nvSpPr>
                <xdr:cNvPr id="12496" name="Oval 811"/>
                <xdr:cNvSpPr>
                  <a:spLocks noChangeArrowheads="1"/>
                </xdr:cNvSpPr>
              </xdr:nvSpPr>
              <xdr:spPr bwMode="auto">
                <a:xfrm rot="-1760819">
                  <a:off x="1133494" y="3333750"/>
                  <a:ext cx="12" cy="27"/>
                </a:xfrm>
                <a:prstGeom prst="ellipse">
                  <a:avLst/>
                </a:prstGeom>
                <a:solidFill>
                  <a:srgbClr val="FFFFFF"/>
                </a:solidFill>
                <a:ln w="9525">
                  <a:solidFill>
                    <a:srgbClr val="000000"/>
                  </a:solidFill>
                  <a:round/>
                  <a:headEnd/>
                  <a:tailEnd/>
                </a:ln>
              </xdr:spPr>
            </xdr:sp>
            <xdr:sp macro="" textlink="">
              <xdr:nvSpPr>
                <xdr:cNvPr id="12497" name="Oval 812"/>
                <xdr:cNvSpPr>
                  <a:spLocks noChangeArrowheads="1"/>
                </xdr:cNvSpPr>
              </xdr:nvSpPr>
              <xdr:spPr bwMode="auto">
                <a:xfrm rot="-1760819">
                  <a:off x="1133490" y="3333759"/>
                  <a:ext cx="7" cy="17"/>
                </a:xfrm>
                <a:prstGeom prst="ellipse">
                  <a:avLst/>
                </a:prstGeom>
                <a:solidFill>
                  <a:srgbClr val="FFFFFF"/>
                </a:solidFill>
                <a:ln w="9525">
                  <a:solidFill>
                    <a:srgbClr val="000000"/>
                  </a:solidFill>
                  <a:round/>
                  <a:headEnd/>
                  <a:tailEnd/>
                </a:ln>
              </xdr:spPr>
            </xdr:sp>
            <xdr:sp macro="" textlink="">
              <xdr:nvSpPr>
                <xdr:cNvPr id="12498" name="Freeform 813"/>
                <xdr:cNvSpPr>
                  <a:spLocks/>
                </xdr:cNvSpPr>
              </xdr:nvSpPr>
              <xdr:spPr bwMode="auto">
                <a:xfrm>
                  <a:off x="1133487" y="3333751"/>
                  <a:ext cx="22" cy="28"/>
                </a:xfrm>
                <a:custGeom>
                  <a:avLst/>
                  <a:gdLst>
                    <a:gd name="T0" fmla="*/ 0 w 22"/>
                    <a:gd name="T1" fmla="*/ 5 h 28"/>
                    <a:gd name="T2" fmla="*/ 8 w 22"/>
                    <a:gd name="T3" fmla="*/ 0 h 28"/>
                    <a:gd name="T4" fmla="*/ 10 w 22"/>
                    <a:gd name="T5" fmla="*/ 1 h 28"/>
                    <a:gd name="T6" fmla="*/ 12 w 22"/>
                    <a:gd name="T7" fmla="*/ 2 h 28"/>
                    <a:gd name="T8" fmla="*/ 15 w 22"/>
                    <a:gd name="T9" fmla="*/ 5 h 28"/>
                    <a:gd name="T10" fmla="*/ 18 w 22"/>
                    <a:gd name="T11" fmla="*/ 8 h 28"/>
                    <a:gd name="T12" fmla="*/ 20 w 22"/>
                    <a:gd name="T13" fmla="*/ 12 h 28"/>
                    <a:gd name="T14" fmla="*/ 21 w 22"/>
                    <a:gd name="T15" fmla="*/ 15 h 28"/>
                    <a:gd name="T16" fmla="*/ 22 w 22"/>
                    <a:gd name="T17" fmla="*/ 18 h 28"/>
                    <a:gd name="T18" fmla="*/ 22 w 22"/>
                    <a:gd name="T19" fmla="*/ 21 h 28"/>
                    <a:gd name="T20" fmla="*/ 21 w 22"/>
                    <a:gd name="T21" fmla="*/ 23 h 28"/>
                    <a:gd name="T22" fmla="*/ 19 w 22"/>
                    <a:gd name="T23" fmla="*/ 26 h 28"/>
                    <a:gd name="T24" fmla="*/ 14 w 22"/>
                    <a:gd name="T25" fmla="*/ 28 h 2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2"/>
                    <a:gd name="T40" fmla="*/ 0 h 28"/>
                    <a:gd name="T41" fmla="*/ 22 w 22"/>
                    <a:gd name="T42" fmla="*/ 28 h 28"/>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2" h="28">
                      <a:moveTo>
                        <a:pt x="0" y="5"/>
                      </a:moveTo>
                      <a:lnTo>
                        <a:pt x="8" y="0"/>
                      </a:lnTo>
                      <a:lnTo>
                        <a:pt x="10" y="1"/>
                      </a:lnTo>
                      <a:lnTo>
                        <a:pt x="12" y="2"/>
                      </a:lnTo>
                      <a:lnTo>
                        <a:pt x="15" y="5"/>
                      </a:lnTo>
                      <a:lnTo>
                        <a:pt x="18" y="8"/>
                      </a:lnTo>
                      <a:lnTo>
                        <a:pt x="20" y="12"/>
                      </a:lnTo>
                      <a:lnTo>
                        <a:pt x="21" y="15"/>
                      </a:lnTo>
                      <a:lnTo>
                        <a:pt x="22" y="18"/>
                      </a:lnTo>
                      <a:lnTo>
                        <a:pt x="22" y="21"/>
                      </a:lnTo>
                      <a:lnTo>
                        <a:pt x="21" y="23"/>
                      </a:lnTo>
                      <a:lnTo>
                        <a:pt x="19" y="26"/>
                      </a:lnTo>
                      <a:lnTo>
                        <a:pt x="14" y="28"/>
                      </a:lnTo>
                    </a:path>
                  </a:pathLst>
                </a:custGeom>
                <a:solidFill>
                  <a:srgbClr val="FFFF99"/>
                </a:solidFill>
                <a:ln w="9525">
                  <a:solidFill>
                    <a:srgbClr val="000000"/>
                  </a:solidFill>
                  <a:round/>
                  <a:headEnd/>
                  <a:tailEnd/>
                </a:ln>
              </xdr:spPr>
            </xdr:sp>
            <xdr:sp macro="" textlink="">
              <xdr:nvSpPr>
                <xdr:cNvPr id="12499" name="Oval 814"/>
                <xdr:cNvSpPr>
                  <a:spLocks noChangeArrowheads="1"/>
                </xdr:cNvSpPr>
              </xdr:nvSpPr>
              <xdr:spPr bwMode="auto">
                <a:xfrm rot="-1760819">
                  <a:off x="1133488" y="3333754"/>
                  <a:ext cx="12" cy="27"/>
                </a:xfrm>
                <a:prstGeom prst="ellipse">
                  <a:avLst/>
                </a:prstGeom>
                <a:solidFill>
                  <a:srgbClr val="FFFF99"/>
                </a:solidFill>
                <a:ln w="9525">
                  <a:solidFill>
                    <a:srgbClr val="000000"/>
                  </a:solidFill>
                  <a:round/>
                  <a:headEnd/>
                  <a:tailEnd/>
                </a:ln>
              </xdr:spPr>
            </xdr:sp>
            <xdr:sp macro="" textlink="">
              <xdr:nvSpPr>
                <xdr:cNvPr id="12500" name="Freeform 815"/>
                <xdr:cNvSpPr>
                  <a:spLocks/>
                </xdr:cNvSpPr>
              </xdr:nvSpPr>
              <xdr:spPr bwMode="auto">
                <a:xfrm>
                  <a:off x="1133475" y="3333760"/>
                  <a:ext cx="24" cy="23"/>
                </a:xfrm>
                <a:custGeom>
                  <a:avLst/>
                  <a:gdLst>
                    <a:gd name="T0" fmla="*/ 0 w 24"/>
                    <a:gd name="T1" fmla="*/ 8 h 23"/>
                    <a:gd name="T2" fmla="*/ 8 w 24"/>
                    <a:gd name="T3" fmla="*/ 4 h 23"/>
                    <a:gd name="T4" fmla="*/ 15 w 24"/>
                    <a:gd name="T5" fmla="*/ 0 h 23"/>
                    <a:gd name="T6" fmla="*/ 18 w 24"/>
                    <a:gd name="T7" fmla="*/ 1 h 23"/>
                    <a:gd name="T8" fmla="*/ 20 w 24"/>
                    <a:gd name="T9" fmla="*/ 3 h 23"/>
                    <a:gd name="T10" fmla="*/ 22 w 24"/>
                    <a:gd name="T11" fmla="*/ 5 h 23"/>
                    <a:gd name="T12" fmla="*/ 23 w 24"/>
                    <a:gd name="T13" fmla="*/ 8 h 23"/>
                    <a:gd name="T14" fmla="*/ 24 w 24"/>
                    <a:gd name="T15" fmla="*/ 10 h 23"/>
                    <a:gd name="T16" fmla="*/ 24 w 24"/>
                    <a:gd name="T17" fmla="*/ 13 h 23"/>
                    <a:gd name="T18" fmla="*/ 23 w 24"/>
                    <a:gd name="T19" fmla="*/ 15 h 23"/>
                    <a:gd name="T20" fmla="*/ 20 w 24"/>
                    <a:gd name="T21" fmla="*/ 17 h 23"/>
                    <a:gd name="T22" fmla="*/ 16 w 24"/>
                    <a:gd name="T23" fmla="*/ 19 h 23"/>
                    <a:gd name="T24" fmla="*/ 9 w 24"/>
                    <a:gd name="T25" fmla="*/ 23 h 2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4"/>
                    <a:gd name="T40" fmla="*/ 0 h 23"/>
                    <a:gd name="T41" fmla="*/ 24 w 24"/>
                    <a:gd name="T42" fmla="*/ 23 h 23"/>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4" h="23">
                      <a:moveTo>
                        <a:pt x="0" y="8"/>
                      </a:moveTo>
                      <a:lnTo>
                        <a:pt x="8" y="4"/>
                      </a:lnTo>
                      <a:lnTo>
                        <a:pt x="15" y="0"/>
                      </a:lnTo>
                      <a:lnTo>
                        <a:pt x="18" y="1"/>
                      </a:lnTo>
                      <a:lnTo>
                        <a:pt x="20" y="3"/>
                      </a:lnTo>
                      <a:lnTo>
                        <a:pt x="22" y="5"/>
                      </a:lnTo>
                      <a:lnTo>
                        <a:pt x="23" y="8"/>
                      </a:lnTo>
                      <a:lnTo>
                        <a:pt x="24" y="10"/>
                      </a:lnTo>
                      <a:lnTo>
                        <a:pt x="24" y="13"/>
                      </a:lnTo>
                      <a:lnTo>
                        <a:pt x="23" y="15"/>
                      </a:lnTo>
                      <a:lnTo>
                        <a:pt x="20" y="17"/>
                      </a:lnTo>
                      <a:lnTo>
                        <a:pt x="16" y="19"/>
                      </a:lnTo>
                      <a:lnTo>
                        <a:pt x="9" y="23"/>
                      </a:lnTo>
                    </a:path>
                  </a:pathLst>
                </a:custGeom>
                <a:solidFill>
                  <a:srgbClr val="FF9933"/>
                </a:solidFill>
                <a:ln w="9525">
                  <a:solidFill>
                    <a:srgbClr val="000000"/>
                  </a:solidFill>
                  <a:round/>
                  <a:headEnd/>
                  <a:tailEnd/>
                </a:ln>
              </xdr:spPr>
            </xdr:sp>
            <xdr:sp macro="" textlink="">
              <xdr:nvSpPr>
                <xdr:cNvPr id="12501" name="Oval 816"/>
                <xdr:cNvSpPr>
                  <a:spLocks noChangeArrowheads="1"/>
                </xdr:cNvSpPr>
              </xdr:nvSpPr>
              <xdr:spPr bwMode="auto">
                <a:xfrm rot="-1760819">
                  <a:off x="1133476" y="3333767"/>
                  <a:ext cx="7" cy="17"/>
                </a:xfrm>
                <a:prstGeom prst="ellipse">
                  <a:avLst/>
                </a:prstGeom>
                <a:solidFill>
                  <a:srgbClr val="FF9933"/>
                </a:solidFill>
                <a:ln w="9525">
                  <a:solidFill>
                    <a:srgbClr val="000000"/>
                  </a:solidFill>
                  <a:round/>
                  <a:headEnd/>
                  <a:tailEnd/>
                </a:ln>
              </xdr:spPr>
            </xdr:sp>
          </xdr:grpSp>
          <xdr:grpSp>
            <xdr:nvGrpSpPr>
              <xdr:cNvPr id="12458" name="Group 778"/>
              <xdr:cNvGrpSpPr>
                <a:grpSpLocks/>
              </xdr:cNvGrpSpPr>
            </xdr:nvGrpSpPr>
            <xdr:grpSpPr bwMode="auto">
              <a:xfrm>
                <a:off x="4238625" y="17954625"/>
                <a:ext cx="323850" cy="323850"/>
                <a:chOff x="1409700" y="3810000"/>
                <a:chExt cx="34" cy="34"/>
              </a:xfrm>
            </xdr:grpSpPr>
            <xdr:sp macro="" textlink="">
              <xdr:nvSpPr>
                <xdr:cNvPr id="12490" name="Oval 805"/>
                <xdr:cNvSpPr>
                  <a:spLocks noChangeArrowheads="1"/>
                </xdr:cNvSpPr>
              </xdr:nvSpPr>
              <xdr:spPr bwMode="auto">
                <a:xfrm rot="-1760819">
                  <a:off x="1409719" y="3810000"/>
                  <a:ext cx="12" cy="27"/>
                </a:xfrm>
                <a:prstGeom prst="ellipse">
                  <a:avLst/>
                </a:prstGeom>
                <a:solidFill>
                  <a:srgbClr val="FFFFFF"/>
                </a:solidFill>
                <a:ln w="9525">
                  <a:solidFill>
                    <a:srgbClr val="000000"/>
                  </a:solidFill>
                  <a:round/>
                  <a:headEnd/>
                  <a:tailEnd/>
                </a:ln>
              </xdr:spPr>
            </xdr:sp>
            <xdr:sp macro="" textlink="">
              <xdr:nvSpPr>
                <xdr:cNvPr id="12491" name="Oval 806"/>
                <xdr:cNvSpPr>
                  <a:spLocks noChangeArrowheads="1"/>
                </xdr:cNvSpPr>
              </xdr:nvSpPr>
              <xdr:spPr bwMode="auto">
                <a:xfrm rot="-1760819">
                  <a:off x="1409715" y="3810009"/>
                  <a:ext cx="7" cy="17"/>
                </a:xfrm>
                <a:prstGeom prst="ellipse">
                  <a:avLst/>
                </a:prstGeom>
                <a:solidFill>
                  <a:srgbClr val="FFFFFF"/>
                </a:solidFill>
                <a:ln w="9525">
                  <a:solidFill>
                    <a:srgbClr val="000000"/>
                  </a:solidFill>
                  <a:round/>
                  <a:headEnd/>
                  <a:tailEnd/>
                </a:ln>
              </xdr:spPr>
            </xdr:sp>
            <xdr:sp macro="" textlink="">
              <xdr:nvSpPr>
                <xdr:cNvPr id="12492" name="Freeform 807"/>
                <xdr:cNvSpPr>
                  <a:spLocks/>
                </xdr:cNvSpPr>
              </xdr:nvSpPr>
              <xdr:spPr bwMode="auto">
                <a:xfrm>
                  <a:off x="1409712" y="3810001"/>
                  <a:ext cx="22" cy="28"/>
                </a:xfrm>
                <a:custGeom>
                  <a:avLst/>
                  <a:gdLst>
                    <a:gd name="T0" fmla="*/ 0 w 22"/>
                    <a:gd name="T1" fmla="*/ 5 h 28"/>
                    <a:gd name="T2" fmla="*/ 8 w 22"/>
                    <a:gd name="T3" fmla="*/ 0 h 28"/>
                    <a:gd name="T4" fmla="*/ 10 w 22"/>
                    <a:gd name="T5" fmla="*/ 1 h 28"/>
                    <a:gd name="T6" fmla="*/ 12 w 22"/>
                    <a:gd name="T7" fmla="*/ 2 h 28"/>
                    <a:gd name="T8" fmla="*/ 15 w 22"/>
                    <a:gd name="T9" fmla="*/ 5 h 28"/>
                    <a:gd name="T10" fmla="*/ 18 w 22"/>
                    <a:gd name="T11" fmla="*/ 8 h 28"/>
                    <a:gd name="T12" fmla="*/ 20 w 22"/>
                    <a:gd name="T13" fmla="*/ 12 h 28"/>
                    <a:gd name="T14" fmla="*/ 21 w 22"/>
                    <a:gd name="T15" fmla="*/ 15 h 28"/>
                    <a:gd name="T16" fmla="*/ 22 w 22"/>
                    <a:gd name="T17" fmla="*/ 18 h 28"/>
                    <a:gd name="T18" fmla="*/ 22 w 22"/>
                    <a:gd name="T19" fmla="*/ 21 h 28"/>
                    <a:gd name="T20" fmla="*/ 21 w 22"/>
                    <a:gd name="T21" fmla="*/ 23 h 28"/>
                    <a:gd name="T22" fmla="*/ 19 w 22"/>
                    <a:gd name="T23" fmla="*/ 26 h 28"/>
                    <a:gd name="T24" fmla="*/ 14 w 22"/>
                    <a:gd name="T25" fmla="*/ 28 h 2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2"/>
                    <a:gd name="T40" fmla="*/ 0 h 28"/>
                    <a:gd name="T41" fmla="*/ 22 w 22"/>
                    <a:gd name="T42" fmla="*/ 28 h 28"/>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2" h="28">
                      <a:moveTo>
                        <a:pt x="0" y="5"/>
                      </a:moveTo>
                      <a:lnTo>
                        <a:pt x="8" y="0"/>
                      </a:lnTo>
                      <a:lnTo>
                        <a:pt x="10" y="1"/>
                      </a:lnTo>
                      <a:lnTo>
                        <a:pt x="12" y="2"/>
                      </a:lnTo>
                      <a:lnTo>
                        <a:pt x="15" y="5"/>
                      </a:lnTo>
                      <a:lnTo>
                        <a:pt x="18" y="8"/>
                      </a:lnTo>
                      <a:lnTo>
                        <a:pt x="20" y="12"/>
                      </a:lnTo>
                      <a:lnTo>
                        <a:pt x="21" y="15"/>
                      </a:lnTo>
                      <a:lnTo>
                        <a:pt x="22" y="18"/>
                      </a:lnTo>
                      <a:lnTo>
                        <a:pt x="22" y="21"/>
                      </a:lnTo>
                      <a:lnTo>
                        <a:pt x="21" y="23"/>
                      </a:lnTo>
                      <a:lnTo>
                        <a:pt x="19" y="26"/>
                      </a:lnTo>
                      <a:lnTo>
                        <a:pt x="14" y="28"/>
                      </a:lnTo>
                    </a:path>
                  </a:pathLst>
                </a:custGeom>
                <a:solidFill>
                  <a:srgbClr val="FFFF99"/>
                </a:solidFill>
                <a:ln w="9525">
                  <a:solidFill>
                    <a:srgbClr val="000000"/>
                  </a:solidFill>
                  <a:round/>
                  <a:headEnd/>
                  <a:tailEnd/>
                </a:ln>
              </xdr:spPr>
            </xdr:sp>
            <xdr:sp macro="" textlink="">
              <xdr:nvSpPr>
                <xdr:cNvPr id="12493" name="Oval 808"/>
                <xdr:cNvSpPr>
                  <a:spLocks noChangeArrowheads="1"/>
                </xdr:cNvSpPr>
              </xdr:nvSpPr>
              <xdr:spPr bwMode="auto">
                <a:xfrm rot="-1760819">
                  <a:off x="1409713" y="3810004"/>
                  <a:ext cx="12" cy="27"/>
                </a:xfrm>
                <a:prstGeom prst="ellipse">
                  <a:avLst/>
                </a:prstGeom>
                <a:solidFill>
                  <a:srgbClr val="FFFF99"/>
                </a:solidFill>
                <a:ln w="9525">
                  <a:solidFill>
                    <a:srgbClr val="000000"/>
                  </a:solidFill>
                  <a:round/>
                  <a:headEnd/>
                  <a:tailEnd/>
                </a:ln>
              </xdr:spPr>
            </xdr:sp>
            <xdr:sp macro="" textlink="">
              <xdr:nvSpPr>
                <xdr:cNvPr id="12494" name="Freeform 809"/>
                <xdr:cNvSpPr>
                  <a:spLocks/>
                </xdr:cNvSpPr>
              </xdr:nvSpPr>
              <xdr:spPr bwMode="auto">
                <a:xfrm>
                  <a:off x="1409700" y="3810010"/>
                  <a:ext cx="24" cy="23"/>
                </a:xfrm>
                <a:custGeom>
                  <a:avLst/>
                  <a:gdLst>
                    <a:gd name="T0" fmla="*/ 0 w 24"/>
                    <a:gd name="T1" fmla="*/ 8 h 23"/>
                    <a:gd name="T2" fmla="*/ 8 w 24"/>
                    <a:gd name="T3" fmla="*/ 4 h 23"/>
                    <a:gd name="T4" fmla="*/ 15 w 24"/>
                    <a:gd name="T5" fmla="*/ 0 h 23"/>
                    <a:gd name="T6" fmla="*/ 18 w 24"/>
                    <a:gd name="T7" fmla="*/ 1 h 23"/>
                    <a:gd name="T8" fmla="*/ 20 w 24"/>
                    <a:gd name="T9" fmla="*/ 3 h 23"/>
                    <a:gd name="T10" fmla="*/ 22 w 24"/>
                    <a:gd name="T11" fmla="*/ 5 h 23"/>
                    <a:gd name="T12" fmla="*/ 23 w 24"/>
                    <a:gd name="T13" fmla="*/ 8 h 23"/>
                    <a:gd name="T14" fmla="*/ 24 w 24"/>
                    <a:gd name="T15" fmla="*/ 10 h 23"/>
                    <a:gd name="T16" fmla="*/ 24 w 24"/>
                    <a:gd name="T17" fmla="*/ 13 h 23"/>
                    <a:gd name="T18" fmla="*/ 23 w 24"/>
                    <a:gd name="T19" fmla="*/ 15 h 23"/>
                    <a:gd name="T20" fmla="*/ 20 w 24"/>
                    <a:gd name="T21" fmla="*/ 17 h 23"/>
                    <a:gd name="T22" fmla="*/ 16 w 24"/>
                    <a:gd name="T23" fmla="*/ 19 h 23"/>
                    <a:gd name="T24" fmla="*/ 9 w 24"/>
                    <a:gd name="T25" fmla="*/ 23 h 2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4"/>
                    <a:gd name="T40" fmla="*/ 0 h 23"/>
                    <a:gd name="T41" fmla="*/ 24 w 24"/>
                    <a:gd name="T42" fmla="*/ 23 h 23"/>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4" h="23">
                      <a:moveTo>
                        <a:pt x="0" y="8"/>
                      </a:moveTo>
                      <a:lnTo>
                        <a:pt x="8" y="4"/>
                      </a:lnTo>
                      <a:lnTo>
                        <a:pt x="15" y="0"/>
                      </a:lnTo>
                      <a:lnTo>
                        <a:pt x="18" y="1"/>
                      </a:lnTo>
                      <a:lnTo>
                        <a:pt x="20" y="3"/>
                      </a:lnTo>
                      <a:lnTo>
                        <a:pt x="22" y="5"/>
                      </a:lnTo>
                      <a:lnTo>
                        <a:pt x="23" y="8"/>
                      </a:lnTo>
                      <a:lnTo>
                        <a:pt x="24" y="10"/>
                      </a:lnTo>
                      <a:lnTo>
                        <a:pt x="24" y="13"/>
                      </a:lnTo>
                      <a:lnTo>
                        <a:pt x="23" y="15"/>
                      </a:lnTo>
                      <a:lnTo>
                        <a:pt x="20" y="17"/>
                      </a:lnTo>
                      <a:lnTo>
                        <a:pt x="16" y="19"/>
                      </a:lnTo>
                      <a:lnTo>
                        <a:pt x="9" y="23"/>
                      </a:lnTo>
                    </a:path>
                  </a:pathLst>
                </a:custGeom>
                <a:solidFill>
                  <a:srgbClr val="FF9933"/>
                </a:solidFill>
                <a:ln w="9525">
                  <a:solidFill>
                    <a:srgbClr val="000000"/>
                  </a:solidFill>
                  <a:round/>
                  <a:headEnd/>
                  <a:tailEnd/>
                </a:ln>
              </xdr:spPr>
            </xdr:sp>
            <xdr:sp macro="" textlink="">
              <xdr:nvSpPr>
                <xdr:cNvPr id="12495" name="Oval 810"/>
                <xdr:cNvSpPr>
                  <a:spLocks noChangeArrowheads="1"/>
                </xdr:cNvSpPr>
              </xdr:nvSpPr>
              <xdr:spPr bwMode="auto">
                <a:xfrm rot="-1760819">
                  <a:off x="1409701" y="3810017"/>
                  <a:ext cx="7" cy="17"/>
                </a:xfrm>
                <a:prstGeom prst="ellipse">
                  <a:avLst/>
                </a:prstGeom>
                <a:solidFill>
                  <a:srgbClr val="FF9933"/>
                </a:solidFill>
                <a:ln w="9525">
                  <a:solidFill>
                    <a:srgbClr val="000000"/>
                  </a:solidFill>
                  <a:round/>
                  <a:headEnd/>
                  <a:tailEnd/>
                </a:ln>
              </xdr:spPr>
            </xdr:sp>
          </xdr:grpSp>
          <xdr:sp macro="" textlink="">
            <xdr:nvSpPr>
              <xdr:cNvPr id="12459" name="Line 1257"/>
              <xdr:cNvSpPr>
                <a:spLocks noChangeShapeType="1"/>
              </xdr:cNvSpPr>
            </xdr:nvSpPr>
            <xdr:spPr bwMode="auto">
              <a:xfrm>
                <a:off x="3981450" y="18135600"/>
                <a:ext cx="171450" cy="0"/>
              </a:xfrm>
              <a:prstGeom prst="line">
                <a:avLst/>
              </a:prstGeom>
              <a:noFill/>
              <a:ln w="38100">
                <a:solidFill>
                  <a:srgbClr val="000000"/>
                </a:solidFill>
                <a:round/>
                <a:headEnd/>
                <a:tailEnd/>
              </a:ln>
            </xdr:spPr>
          </xdr:sp>
          <xdr:grpSp>
            <xdr:nvGrpSpPr>
              <xdr:cNvPr id="12463" name="Group 1275"/>
              <xdr:cNvGrpSpPr>
                <a:grpSpLocks/>
              </xdr:cNvGrpSpPr>
            </xdr:nvGrpSpPr>
            <xdr:grpSpPr bwMode="auto">
              <a:xfrm>
                <a:off x="3981450" y="17383125"/>
                <a:ext cx="171450" cy="161925"/>
                <a:chOff x="295" y="443"/>
                <a:chExt cx="18" cy="17"/>
              </a:xfrm>
            </xdr:grpSpPr>
            <xdr:sp macro="" textlink="">
              <xdr:nvSpPr>
                <xdr:cNvPr id="12488" name="Line 1276"/>
                <xdr:cNvSpPr>
                  <a:spLocks noChangeShapeType="1"/>
                </xdr:cNvSpPr>
              </xdr:nvSpPr>
              <xdr:spPr bwMode="auto">
                <a:xfrm>
                  <a:off x="304" y="443"/>
                  <a:ext cx="0" cy="17"/>
                </a:xfrm>
                <a:prstGeom prst="line">
                  <a:avLst/>
                </a:prstGeom>
                <a:noFill/>
                <a:ln w="38100">
                  <a:solidFill>
                    <a:srgbClr val="000000"/>
                  </a:solidFill>
                  <a:round/>
                  <a:headEnd/>
                  <a:tailEnd/>
                </a:ln>
              </xdr:spPr>
            </xdr:sp>
            <xdr:sp macro="" textlink="">
              <xdr:nvSpPr>
                <xdr:cNvPr id="12489" name="Line 1277"/>
                <xdr:cNvSpPr>
                  <a:spLocks noChangeShapeType="1"/>
                </xdr:cNvSpPr>
              </xdr:nvSpPr>
              <xdr:spPr bwMode="auto">
                <a:xfrm>
                  <a:off x="295" y="451"/>
                  <a:ext cx="18" cy="0"/>
                </a:xfrm>
                <a:prstGeom prst="line">
                  <a:avLst/>
                </a:prstGeom>
                <a:noFill/>
                <a:ln w="38100">
                  <a:solidFill>
                    <a:srgbClr val="000000"/>
                  </a:solidFill>
                  <a:round/>
                  <a:headEnd/>
                  <a:tailEnd/>
                </a:ln>
              </xdr:spPr>
            </xdr:sp>
          </xdr:grpSp>
          <xdr:cxnSp macro="">
            <xdr:nvCxnSpPr>
              <xdr:cNvPr id="26" name="Straight Connector 25"/>
              <xdr:cNvCxnSpPr/>
            </xdr:nvCxnSpPr>
            <xdr:spPr>
              <a:xfrm flipH="1">
                <a:off x="7075325" y="16489531"/>
                <a:ext cx="803859" cy="49204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3" name="Straight Connector 542"/>
              <xdr:cNvCxnSpPr/>
            </xdr:nvCxnSpPr>
            <xdr:spPr>
              <a:xfrm flipV="1">
                <a:off x="7081591" y="16989844"/>
                <a:ext cx="2006" cy="6707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6" name="Straight Connector 545"/>
              <xdr:cNvCxnSpPr/>
            </xdr:nvCxnSpPr>
            <xdr:spPr>
              <a:xfrm flipH="1">
                <a:off x="7075324" y="17183100"/>
                <a:ext cx="805866" cy="49003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8" name="Straight Connector 547"/>
              <xdr:cNvCxnSpPr/>
            </xdr:nvCxnSpPr>
            <xdr:spPr>
              <a:xfrm flipV="1">
                <a:off x="7883195" y="16493541"/>
                <a:ext cx="0" cy="69382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xdr:cNvCxnSpPr/>
            </xdr:nvCxnSpPr>
            <xdr:spPr>
              <a:xfrm flipH="1" flipV="1">
                <a:off x="6189997" y="16918907"/>
                <a:ext cx="885324" cy="626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6" name="Straight Connector 535"/>
              <xdr:cNvCxnSpPr/>
            </xdr:nvCxnSpPr>
            <xdr:spPr>
              <a:xfrm flipH="1">
                <a:off x="6096000" y="16933446"/>
                <a:ext cx="428124" cy="26544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13283" name="Straight Connector 813282"/>
              <xdr:cNvCxnSpPr/>
            </xdr:nvCxnSpPr>
            <xdr:spPr>
              <a:xfrm>
                <a:off x="7684920" y="15991222"/>
                <a:ext cx="200526" cy="498308"/>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813286" name="Freeform 813285"/>
              <xdr:cNvSpPr/>
            </xdr:nvSpPr>
            <xdr:spPr>
              <a:xfrm>
                <a:off x="4609190" y="17065811"/>
                <a:ext cx="574665" cy="780779"/>
              </a:xfrm>
              <a:custGeom>
                <a:avLst/>
                <a:gdLst>
                  <a:gd name="connsiteX0" fmla="*/ 6266 w 469983"/>
                  <a:gd name="connsiteY0" fmla="*/ 0 h 714375"/>
                  <a:gd name="connsiteX1" fmla="*/ 388519 w 469983"/>
                  <a:gd name="connsiteY1" fmla="*/ 194260 h 714375"/>
                  <a:gd name="connsiteX2" fmla="*/ 413585 w 469983"/>
                  <a:gd name="connsiteY2" fmla="*/ 238125 h 714375"/>
                  <a:gd name="connsiteX3" fmla="*/ 438651 w 469983"/>
                  <a:gd name="connsiteY3" fmla="*/ 294523 h 714375"/>
                  <a:gd name="connsiteX4" fmla="*/ 451184 w 469983"/>
                  <a:gd name="connsiteY4" fmla="*/ 338388 h 714375"/>
                  <a:gd name="connsiteX5" fmla="*/ 469983 w 469983"/>
                  <a:gd name="connsiteY5" fmla="*/ 413586 h 714375"/>
                  <a:gd name="connsiteX6" fmla="*/ 469983 w 469983"/>
                  <a:gd name="connsiteY6" fmla="*/ 632911 h 714375"/>
                  <a:gd name="connsiteX7" fmla="*/ 457450 w 469983"/>
                  <a:gd name="connsiteY7" fmla="*/ 689309 h 714375"/>
                  <a:gd name="connsiteX8" fmla="*/ 438651 w 469983"/>
                  <a:gd name="connsiteY8" fmla="*/ 701842 h 714375"/>
                  <a:gd name="connsiteX9" fmla="*/ 413585 w 469983"/>
                  <a:gd name="connsiteY9" fmla="*/ 714375 h 714375"/>
                  <a:gd name="connsiteX10" fmla="*/ 375986 w 469983"/>
                  <a:gd name="connsiteY10" fmla="*/ 701842 h 714375"/>
                  <a:gd name="connsiteX11" fmla="*/ 0 w 469983"/>
                  <a:gd name="connsiteY11" fmla="*/ 501316 h 714375"/>
                  <a:gd name="connsiteX12" fmla="*/ 6266 w 469983"/>
                  <a:gd name="connsiteY12" fmla="*/ 0 h 714375"/>
                  <a:gd name="connsiteX0" fmla="*/ 28386 w 492103"/>
                  <a:gd name="connsiteY0" fmla="*/ 1553 h 715928"/>
                  <a:gd name="connsiteX1" fmla="*/ 410639 w 492103"/>
                  <a:gd name="connsiteY1" fmla="*/ 195813 h 715928"/>
                  <a:gd name="connsiteX2" fmla="*/ 435705 w 492103"/>
                  <a:gd name="connsiteY2" fmla="*/ 239678 h 715928"/>
                  <a:gd name="connsiteX3" fmla="*/ 460771 w 492103"/>
                  <a:gd name="connsiteY3" fmla="*/ 296076 h 715928"/>
                  <a:gd name="connsiteX4" fmla="*/ 473304 w 492103"/>
                  <a:gd name="connsiteY4" fmla="*/ 339941 h 715928"/>
                  <a:gd name="connsiteX5" fmla="*/ 492103 w 492103"/>
                  <a:gd name="connsiteY5" fmla="*/ 415139 h 715928"/>
                  <a:gd name="connsiteX6" fmla="*/ 492103 w 492103"/>
                  <a:gd name="connsiteY6" fmla="*/ 634464 h 715928"/>
                  <a:gd name="connsiteX7" fmla="*/ 479570 w 492103"/>
                  <a:gd name="connsiteY7" fmla="*/ 690862 h 715928"/>
                  <a:gd name="connsiteX8" fmla="*/ 460771 w 492103"/>
                  <a:gd name="connsiteY8" fmla="*/ 703395 h 715928"/>
                  <a:gd name="connsiteX9" fmla="*/ 435705 w 492103"/>
                  <a:gd name="connsiteY9" fmla="*/ 715928 h 715928"/>
                  <a:gd name="connsiteX10" fmla="*/ 398106 w 492103"/>
                  <a:gd name="connsiteY10" fmla="*/ 703395 h 715928"/>
                  <a:gd name="connsiteX11" fmla="*/ 22120 w 492103"/>
                  <a:gd name="connsiteY11" fmla="*/ 502869 h 715928"/>
                  <a:gd name="connsiteX12" fmla="*/ 48591 w 492103"/>
                  <a:gd name="connsiteY12" fmla="*/ 126884 h 715928"/>
                  <a:gd name="connsiteX13" fmla="*/ 28386 w 492103"/>
                  <a:gd name="connsiteY13" fmla="*/ 1553 h 715928"/>
                  <a:gd name="connsiteX0" fmla="*/ 13165 w 581267"/>
                  <a:gd name="connsiteY0" fmla="*/ 764 h 782285"/>
                  <a:gd name="connsiteX1" fmla="*/ 499803 w 581267"/>
                  <a:gd name="connsiteY1" fmla="*/ 262170 h 782285"/>
                  <a:gd name="connsiteX2" fmla="*/ 524869 w 581267"/>
                  <a:gd name="connsiteY2" fmla="*/ 306035 h 782285"/>
                  <a:gd name="connsiteX3" fmla="*/ 549935 w 581267"/>
                  <a:gd name="connsiteY3" fmla="*/ 362433 h 782285"/>
                  <a:gd name="connsiteX4" fmla="*/ 562468 w 581267"/>
                  <a:gd name="connsiteY4" fmla="*/ 406298 h 782285"/>
                  <a:gd name="connsiteX5" fmla="*/ 581267 w 581267"/>
                  <a:gd name="connsiteY5" fmla="*/ 481496 h 782285"/>
                  <a:gd name="connsiteX6" fmla="*/ 581267 w 581267"/>
                  <a:gd name="connsiteY6" fmla="*/ 700821 h 782285"/>
                  <a:gd name="connsiteX7" fmla="*/ 568734 w 581267"/>
                  <a:gd name="connsiteY7" fmla="*/ 757219 h 782285"/>
                  <a:gd name="connsiteX8" fmla="*/ 549935 w 581267"/>
                  <a:gd name="connsiteY8" fmla="*/ 769752 h 782285"/>
                  <a:gd name="connsiteX9" fmla="*/ 524869 w 581267"/>
                  <a:gd name="connsiteY9" fmla="*/ 782285 h 782285"/>
                  <a:gd name="connsiteX10" fmla="*/ 487270 w 581267"/>
                  <a:gd name="connsiteY10" fmla="*/ 769752 h 782285"/>
                  <a:gd name="connsiteX11" fmla="*/ 111284 w 581267"/>
                  <a:gd name="connsiteY11" fmla="*/ 569226 h 782285"/>
                  <a:gd name="connsiteX12" fmla="*/ 137755 w 581267"/>
                  <a:gd name="connsiteY12" fmla="*/ 193241 h 782285"/>
                  <a:gd name="connsiteX13" fmla="*/ 13165 w 581267"/>
                  <a:gd name="connsiteY13" fmla="*/ 764 h 782285"/>
                  <a:gd name="connsiteX0" fmla="*/ 23631 w 591733"/>
                  <a:gd name="connsiteY0" fmla="*/ 7646 h 789167"/>
                  <a:gd name="connsiteX1" fmla="*/ 510269 w 591733"/>
                  <a:gd name="connsiteY1" fmla="*/ 269052 h 789167"/>
                  <a:gd name="connsiteX2" fmla="*/ 535335 w 591733"/>
                  <a:gd name="connsiteY2" fmla="*/ 312917 h 789167"/>
                  <a:gd name="connsiteX3" fmla="*/ 560401 w 591733"/>
                  <a:gd name="connsiteY3" fmla="*/ 369315 h 789167"/>
                  <a:gd name="connsiteX4" fmla="*/ 572934 w 591733"/>
                  <a:gd name="connsiteY4" fmla="*/ 413180 h 789167"/>
                  <a:gd name="connsiteX5" fmla="*/ 591733 w 591733"/>
                  <a:gd name="connsiteY5" fmla="*/ 488378 h 789167"/>
                  <a:gd name="connsiteX6" fmla="*/ 591733 w 591733"/>
                  <a:gd name="connsiteY6" fmla="*/ 707703 h 789167"/>
                  <a:gd name="connsiteX7" fmla="*/ 579200 w 591733"/>
                  <a:gd name="connsiteY7" fmla="*/ 764101 h 789167"/>
                  <a:gd name="connsiteX8" fmla="*/ 560401 w 591733"/>
                  <a:gd name="connsiteY8" fmla="*/ 776634 h 789167"/>
                  <a:gd name="connsiteX9" fmla="*/ 535335 w 591733"/>
                  <a:gd name="connsiteY9" fmla="*/ 789167 h 789167"/>
                  <a:gd name="connsiteX10" fmla="*/ 497736 w 591733"/>
                  <a:gd name="connsiteY10" fmla="*/ 776634 h 789167"/>
                  <a:gd name="connsiteX11" fmla="*/ 121750 w 591733"/>
                  <a:gd name="connsiteY11" fmla="*/ 576108 h 789167"/>
                  <a:gd name="connsiteX12" fmla="*/ 148221 w 591733"/>
                  <a:gd name="connsiteY12" fmla="*/ 200123 h 789167"/>
                  <a:gd name="connsiteX13" fmla="*/ 86540 w 591733"/>
                  <a:gd name="connsiteY13" fmla="*/ 80221 h 789167"/>
                  <a:gd name="connsiteX14" fmla="*/ 23631 w 591733"/>
                  <a:gd name="connsiteY14" fmla="*/ 7646 h 789167"/>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120878 w 590861"/>
                  <a:gd name="connsiteY11" fmla="*/ 576670 h 789729"/>
                  <a:gd name="connsiteX12" fmla="*/ 147349 w 590861"/>
                  <a:gd name="connsiteY12" fmla="*/ 200685 h 789729"/>
                  <a:gd name="connsiteX13" fmla="*/ 85668 w 590861"/>
                  <a:gd name="connsiteY13" fmla="*/ 80783 h 789729"/>
                  <a:gd name="connsiteX14" fmla="*/ 22759 w 590861"/>
                  <a:gd name="connsiteY14"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120878 w 590861"/>
                  <a:gd name="connsiteY11" fmla="*/ 576670 h 789729"/>
                  <a:gd name="connsiteX12" fmla="*/ 147349 w 590861"/>
                  <a:gd name="connsiteY12" fmla="*/ 200685 h 789729"/>
                  <a:gd name="connsiteX13" fmla="*/ 130744 w 590861"/>
                  <a:gd name="connsiteY13" fmla="*/ 162317 h 789729"/>
                  <a:gd name="connsiteX14" fmla="*/ 85668 w 590861"/>
                  <a:gd name="connsiteY14" fmla="*/ 80783 h 789729"/>
                  <a:gd name="connsiteX15" fmla="*/ 22759 w 590861"/>
                  <a:gd name="connsiteY15"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120878 w 590861"/>
                  <a:gd name="connsiteY11" fmla="*/ 576670 h 789729"/>
                  <a:gd name="connsiteX12" fmla="*/ 125997 w 590861"/>
                  <a:gd name="connsiteY12" fmla="*/ 205481 h 789729"/>
                  <a:gd name="connsiteX13" fmla="*/ 130744 w 590861"/>
                  <a:gd name="connsiteY13" fmla="*/ 162317 h 789729"/>
                  <a:gd name="connsiteX14" fmla="*/ 85668 w 590861"/>
                  <a:gd name="connsiteY14" fmla="*/ 80783 h 789729"/>
                  <a:gd name="connsiteX15" fmla="*/ 22759 w 590861"/>
                  <a:gd name="connsiteY15"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120878 w 590861"/>
                  <a:gd name="connsiteY11" fmla="*/ 576670 h 789729"/>
                  <a:gd name="connsiteX12" fmla="*/ 125997 w 590861"/>
                  <a:gd name="connsiteY12" fmla="*/ 205481 h 789729"/>
                  <a:gd name="connsiteX13" fmla="*/ 130744 w 590861"/>
                  <a:gd name="connsiteY13" fmla="*/ 162317 h 789729"/>
                  <a:gd name="connsiteX14" fmla="*/ 85668 w 590861"/>
                  <a:gd name="connsiteY14" fmla="*/ 80783 h 789729"/>
                  <a:gd name="connsiteX15" fmla="*/ 22759 w 590861"/>
                  <a:gd name="connsiteY15"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120878 w 590861"/>
                  <a:gd name="connsiteY11" fmla="*/ 576670 h 789729"/>
                  <a:gd name="connsiteX12" fmla="*/ 125997 w 590861"/>
                  <a:gd name="connsiteY12" fmla="*/ 205481 h 789729"/>
                  <a:gd name="connsiteX13" fmla="*/ 121254 w 590861"/>
                  <a:gd name="connsiteY13" fmla="*/ 135939 h 789729"/>
                  <a:gd name="connsiteX14" fmla="*/ 85668 w 590861"/>
                  <a:gd name="connsiteY14" fmla="*/ 80783 h 789729"/>
                  <a:gd name="connsiteX15" fmla="*/ 22759 w 590861"/>
                  <a:gd name="connsiteY15"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120878 w 590861"/>
                  <a:gd name="connsiteY11" fmla="*/ 576670 h 789729"/>
                  <a:gd name="connsiteX12" fmla="*/ 123626 w 590861"/>
                  <a:gd name="connsiteY12" fmla="*/ 390135 h 789729"/>
                  <a:gd name="connsiteX13" fmla="*/ 125997 w 590861"/>
                  <a:gd name="connsiteY13" fmla="*/ 205481 h 789729"/>
                  <a:gd name="connsiteX14" fmla="*/ 121254 w 590861"/>
                  <a:gd name="connsiteY14" fmla="*/ 135939 h 789729"/>
                  <a:gd name="connsiteX15" fmla="*/ 85668 w 590861"/>
                  <a:gd name="connsiteY15" fmla="*/ 80783 h 789729"/>
                  <a:gd name="connsiteX16" fmla="*/ 22759 w 590861"/>
                  <a:gd name="connsiteY16"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120878 w 590861"/>
                  <a:gd name="connsiteY11" fmla="*/ 576670 h 789729"/>
                  <a:gd name="connsiteX12" fmla="*/ 121254 w 590861"/>
                  <a:gd name="connsiteY12" fmla="*/ 512437 h 789729"/>
                  <a:gd name="connsiteX13" fmla="*/ 123626 w 590861"/>
                  <a:gd name="connsiteY13" fmla="*/ 390135 h 789729"/>
                  <a:gd name="connsiteX14" fmla="*/ 125997 w 590861"/>
                  <a:gd name="connsiteY14" fmla="*/ 205481 h 789729"/>
                  <a:gd name="connsiteX15" fmla="*/ 121254 w 590861"/>
                  <a:gd name="connsiteY15" fmla="*/ 135939 h 789729"/>
                  <a:gd name="connsiteX16" fmla="*/ 85668 w 590861"/>
                  <a:gd name="connsiteY16" fmla="*/ 80783 h 789729"/>
                  <a:gd name="connsiteX17" fmla="*/ 22759 w 590861"/>
                  <a:gd name="connsiteY17"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120878 w 590861"/>
                  <a:gd name="connsiteY11" fmla="*/ 576670 h 789729"/>
                  <a:gd name="connsiteX12" fmla="*/ 121254 w 590861"/>
                  <a:gd name="connsiteY12" fmla="*/ 543612 h 789729"/>
                  <a:gd name="connsiteX13" fmla="*/ 121254 w 590861"/>
                  <a:gd name="connsiteY13" fmla="*/ 512437 h 789729"/>
                  <a:gd name="connsiteX14" fmla="*/ 123626 w 590861"/>
                  <a:gd name="connsiteY14" fmla="*/ 390135 h 789729"/>
                  <a:gd name="connsiteX15" fmla="*/ 125997 w 590861"/>
                  <a:gd name="connsiteY15" fmla="*/ 205481 h 789729"/>
                  <a:gd name="connsiteX16" fmla="*/ 121254 w 590861"/>
                  <a:gd name="connsiteY16" fmla="*/ 135939 h 789729"/>
                  <a:gd name="connsiteX17" fmla="*/ 85668 w 590861"/>
                  <a:gd name="connsiteY17" fmla="*/ 80783 h 789729"/>
                  <a:gd name="connsiteX18" fmla="*/ 22759 w 590861"/>
                  <a:gd name="connsiteY18"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237125 w 590861"/>
                  <a:gd name="connsiteY11" fmla="*/ 636622 h 789729"/>
                  <a:gd name="connsiteX12" fmla="*/ 121254 w 590861"/>
                  <a:gd name="connsiteY12" fmla="*/ 543612 h 789729"/>
                  <a:gd name="connsiteX13" fmla="*/ 121254 w 590861"/>
                  <a:gd name="connsiteY13" fmla="*/ 512437 h 789729"/>
                  <a:gd name="connsiteX14" fmla="*/ 123626 w 590861"/>
                  <a:gd name="connsiteY14" fmla="*/ 390135 h 789729"/>
                  <a:gd name="connsiteX15" fmla="*/ 125997 w 590861"/>
                  <a:gd name="connsiteY15" fmla="*/ 205481 h 789729"/>
                  <a:gd name="connsiteX16" fmla="*/ 121254 w 590861"/>
                  <a:gd name="connsiteY16" fmla="*/ 135939 h 789729"/>
                  <a:gd name="connsiteX17" fmla="*/ 85668 w 590861"/>
                  <a:gd name="connsiteY17" fmla="*/ 80783 h 789729"/>
                  <a:gd name="connsiteX18" fmla="*/ 22759 w 590861"/>
                  <a:gd name="connsiteY18"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237125 w 590861"/>
                  <a:gd name="connsiteY11" fmla="*/ 636622 h 789729"/>
                  <a:gd name="connsiteX12" fmla="*/ 123626 w 590861"/>
                  <a:gd name="connsiteY12" fmla="*/ 565194 h 789729"/>
                  <a:gd name="connsiteX13" fmla="*/ 121254 w 590861"/>
                  <a:gd name="connsiteY13" fmla="*/ 512437 h 789729"/>
                  <a:gd name="connsiteX14" fmla="*/ 123626 w 590861"/>
                  <a:gd name="connsiteY14" fmla="*/ 390135 h 789729"/>
                  <a:gd name="connsiteX15" fmla="*/ 125997 w 590861"/>
                  <a:gd name="connsiteY15" fmla="*/ 205481 h 789729"/>
                  <a:gd name="connsiteX16" fmla="*/ 121254 w 590861"/>
                  <a:gd name="connsiteY16" fmla="*/ 135939 h 789729"/>
                  <a:gd name="connsiteX17" fmla="*/ 85668 w 590861"/>
                  <a:gd name="connsiteY17" fmla="*/ 80783 h 789729"/>
                  <a:gd name="connsiteX18" fmla="*/ 22759 w 590861"/>
                  <a:gd name="connsiteY18"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237125 w 590861"/>
                  <a:gd name="connsiteY11" fmla="*/ 636622 h 789729"/>
                  <a:gd name="connsiteX12" fmla="*/ 123626 w 590861"/>
                  <a:gd name="connsiteY12" fmla="*/ 565194 h 789729"/>
                  <a:gd name="connsiteX13" fmla="*/ 121254 w 590861"/>
                  <a:gd name="connsiteY13" fmla="*/ 478864 h 789729"/>
                  <a:gd name="connsiteX14" fmla="*/ 123626 w 590861"/>
                  <a:gd name="connsiteY14" fmla="*/ 390135 h 789729"/>
                  <a:gd name="connsiteX15" fmla="*/ 125997 w 590861"/>
                  <a:gd name="connsiteY15" fmla="*/ 205481 h 789729"/>
                  <a:gd name="connsiteX16" fmla="*/ 121254 w 590861"/>
                  <a:gd name="connsiteY16" fmla="*/ 135939 h 789729"/>
                  <a:gd name="connsiteX17" fmla="*/ 85668 w 590861"/>
                  <a:gd name="connsiteY17" fmla="*/ 80783 h 789729"/>
                  <a:gd name="connsiteX18" fmla="*/ 22759 w 590861"/>
                  <a:gd name="connsiteY18" fmla="*/ 8208 h 789729"/>
                  <a:gd name="connsiteX0" fmla="*/ 22759 w 590861"/>
                  <a:gd name="connsiteY0" fmla="*/ 8208 h 789729"/>
                  <a:gd name="connsiteX1" fmla="*/ 509397 w 590861"/>
                  <a:gd name="connsiteY1" fmla="*/ 269614 h 789729"/>
                  <a:gd name="connsiteX2" fmla="*/ 534463 w 590861"/>
                  <a:gd name="connsiteY2" fmla="*/ 313479 h 789729"/>
                  <a:gd name="connsiteX3" fmla="*/ 559529 w 590861"/>
                  <a:gd name="connsiteY3" fmla="*/ 369877 h 789729"/>
                  <a:gd name="connsiteX4" fmla="*/ 572062 w 590861"/>
                  <a:gd name="connsiteY4" fmla="*/ 413742 h 789729"/>
                  <a:gd name="connsiteX5" fmla="*/ 590861 w 590861"/>
                  <a:gd name="connsiteY5" fmla="*/ 488940 h 789729"/>
                  <a:gd name="connsiteX6" fmla="*/ 590861 w 590861"/>
                  <a:gd name="connsiteY6" fmla="*/ 708265 h 789729"/>
                  <a:gd name="connsiteX7" fmla="*/ 578328 w 590861"/>
                  <a:gd name="connsiteY7" fmla="*/ 764663 h 789729"/>
                  <a:gd name="connsiteX8" fmla="*/ 559529 w 590861"/>
                  <a:gd name="connsiteY8" fmla="*/ 777196 h 789729"/>
                  <a:gd name="connsiteX9" fmla="*/ 534463 w 590861"/>
                  <a:gd name="connsiteY9" fmla="*/ 789729 h 789729"/>
                  <a:gd name="connsiteX10" fmla="*/ 496864 w 590861"/>
                  <a:gd name="connsiteY10" fmla="*/ 777196 h 789729"/>
                  <a:gd name="connsiteX11" fmla="*/ 237125 w 590861"/>
                  <a:gd name="connsiteY11" fmla="*/ 636622 h 789729"/>
                  <a:gd name="connsiteX12" fmla="*/ 123626 w 590861"/>
                  <a:gd name="connsiteY12" fmla="*/ 565194 h 789729"/>
                  <a:gd name="connsiteX13" fmla="*/ 121254 w 590861"/>
                  <a:gd name="connsiteY13" fmla="*/ 478864 h 789729"/>
                  <a:gd name="connsiteX14" fmla="*/ 123626 w 590861"/>
                  <a:gd name="connsiteY14" fmla="*/ 390135 h 789729"/>
                  <a:gd name="connsiteX15" fmla="*/ 125997 w 590861"/>
                  <a:gd name="connsiteY15" fmla="*/ 205481 h 789729"/>
                  <a:gd name="connsiteX16" fmla="*/ 121254 w 590861"/>
                  <a:gd name="connsiteY16" fmla="*/ 135939 h 789729"/>
                  <a:gd name="connsiteX17" fmla="*/ 85668 w 590861"/>
                  <a:gd name="connsiteY17" fmla="*/ 80783 h 789729"/>
                  <a:gd name="connsiteX18" fmla="*/ 22759 w 590861"/>
                  <a:gd name="connsiteY18" fmla="*/ 8208 h 789729"/>
                  <a:gd name="connsiteX0" fmla="*/ 21867 w 589969"/>
                  <a:gd name="connsiteY0" fmla="*/ 8208 h 789729"/>
                  <a:gd name="connsiteX1" fmla="*/ 508505 w 589969"/>
                  <a:gd name="connsiteY1" fmla="*/ 269614 h 789729"/>
                  <a:gd name="connsiteX2" fmla="*/ 533571 w 589969"/>
                  <a:gd name="connsiteY2" fmla="*/ 313479 h 789729"/>
                  <a:gd name="connsiteX3" fmla="*/ 558637 w 589969"/>
                  <a:gd name="connsiteY3" fmla="*/ 369877 h 789729"/>
                  <a:gd name="connsiteX4" fmla="*/ 571170 w 589969"/>
                  <a:gd name="connsiteY4" fmla="*/ 413742 h 789729"/>
                  <a:gd name="connsiteX5" fmla="*/ 589969 w 589969"/>
                  <a:gd name="connsiteY5" fmla="*/ 488940 h 789729"/>
                  <a:gd name="connsiteX6" fmla="*/ 589969 w 589969"/>
                  <a:gd name="connsiteY6" fmla="*/ 708265 h 789729"/>
                  <a:gd name="connsiteX7" fmla="*/ 577436 w 589969"/>
                  <a:gd name="connsiteY7" fmla="*/ 764663 h 789729"/>
                  <a:gd name="connsiteX8" fmla="*/ 558637 w 589969"/>
                  <a:gd name="connsiteY8" fmla="*/ 777196 h 789729"/>
                  <a:gd name="connsiteX9" fmla="*/ 533571 w 589969"/>
                  <a:gd name="connsiteY9" fmla="*/ 789729 h 789729"/>
                  <a:gd name="connsiteX10" fmla="*/ 495972 w 589969"/>
                  <a:gd name="connsiteY10" fmla="*/ 777196 h 789729"/>
                  <a:gd name="connsiteX11" fmla="*/ 236233 w 589969"/>
                  <a:gd name="connsiteY11" fmla="*/ 636622 h 789729"/>
                  <a:gd name="connsiteX12" fmla="*/ 122734 w 589969"/>
                  <a:gd name="connsiteY12" fmla="*/ 565194 h 789729"/>
                  <a:gd name="connsiteX13" fmla="*/ 120362 w 589969"/>
                  <a:gd name="connsiteY13" fmla="*/ 478864 h 789729"/>
                  <a:gd name="connsiteX14" fmla="*/ 122734 w 589969"/>
                  <a:gd name="connsiteY14" fmla="*/ 390135 h 789729"/>
                  <a:gd name="connsiteX15" fmla="*/ 125105 w 589969"/>
                  <a:gd name="connsiteY15" fmla="*/ 205481 h 789729"/>
                  <a:gd name="connsiteX16" fmla="*/ 120362 w 589969"/>
                  <a:gd name="connsiteY16" fmla="*/ 135939 h 789729"/>
                  <a:gd name="connsiteX17" fmla="*/ 91893 w 589969"/>
                  <a:gd name="connsiteY17" fmla="*/ 80783 h 789729"/>
                  <a:gd name="connsiteX18" fmla="*/ 21867 w 589969"/>
                  <a:gd name="connsiteY18" fmla="*/ 8208 h 789729"/>
                  <a:gd name="connsiteX0" fmla="*/ 21867 w 589969"/>
                  <a:gd name="connsiteY0" fmla="*/ 8208 h 789729"/>
                  <a:gd name="connsiteX1" fmla="*/ 508505 w 589969"/>
                  <a:gd name="connsiteY1" fmla="*/ 269614 h 789729"/>
                  <a:gd name="connsiteX2" fmla="*/ 533571 w 589969"/>
                  <a:gd name="connsiteY2" fmla="*/ 313479 h 789729"/>
                  <a:gd name="connsiteX3" fmla="*/ 558637 w 589969"/>
                  <a:gd name="connsiteY3" fmla="*/ 369877 h 789729"/>
                  <a:gd name="connsiteX4" fmla="*/ 571170 w 589969"/>
                  <a:gd name="connsiteY4" fmla="*/ 413742 h 789729"/>
                  <a:gd name="connsiteX5" fmla="*/ 589969 w 589969"/>
                  <a:gd name="connsiteY5" fmla="*/ 488940 h 789729"/>
                  <a:gd name="connsiteX6" fmla="*/ 589969 w 589969"/>
                  <a:gd name="connsiteY6" fmla="*/ 708265 h 789729"/>
                  <a:gd name="connsiteX7" fmla="*/ 577436 w 589969"/>
                  <a:gd name="connsiteY7" fmla="*/ 764663 h 789729"/>
                  <a:gd name="connsiteX8" fmla="*/ 558637 w 589969"/>
                  <a:gd name="connsiteY8" fmla="*/ 777196 h 789729"/>
                  <a:gd name="connsiteX9" fmla="*/ 533571 w 589969"/>
                  <a:gd name="connsiteY9" fmla="*/ 789729 h 789729"/>
                  <a:gd name="connsiteX10" fmla="*/ 495972 w 589969"/>
                  <a:gd name="connsiteY10" fmla="*/ 777196 h 789729"/>
                  <a:gd name="connsiteX11" fmla="*/ 236233 w 589969"/>
                  <a:gd name="connsiteY11" fmla="*/ 636622 h 789729"/>
                  <a:gd name="connsiteX12" fmla="*/ 122734 w 589969"/>
                  <a:gd name="connsiteY12" fmla="*/ 565194 h 789729"/>
                  <a:gd name="connsiteX13" fmla="*/ 120362 w 589969"/>
                  <a:gd name="connsiteY13" fmla="*/ 478864 h 789729"/>
                  <a:gd name="connsiteX14" fmla="*/ 122734 w 589969"/>
                  <a:gd name="connsiteY14" fmla="*/ 390135 h 789729"/>
                  <a:gd name="connsiteX15" fmla="*/ 125105 w 589969"/>
                  <a:gd name="connsiteY15" fmla="*/ 205481 h 789729"/>
                  <a:gd name="connsiteX16" fmla="*/ 120362 w 589969"/>
                  <a:gd name="connsiteY16" fmla="*/ 155124 h 789729"/>
                  <a:gd name="connsiteX17" fmla="*/ 120362 w 589969"/>
                  <a:gd name="connsiteY17" fmla="*/ 135939 h 789729"/>
                  <a:gd name="connsiteX18" fmla="*/ 91893 w 589969"/>
                  <a:gd name="connsiteY18" fmla="*/ 80783 h 789729"/>
                  <a:gd name="connsiteX19" fmla="*/ 21867 w 589969"/>
                  <a:gd name="connsiteY19" fmla="*/ 8208 h 789729"/>
                  <a:gd name="connsiteX0" fmla="*/ 21867 w 589969"/>
                  <a:gd name="connsiteY0" fmla="*/ 8208 h 789729"/>
                  <a:gd name="connsiteX1" fmla="*/ 508505 w 589969"/>
                  <a:gd name="connsiteY1" fmla="*/ 269614 h 789729"/>
                  <a:gd name="connsiteX2" fmla="*/ 533571 w 589969"/>
                  <a:gd name="connsiteY2" fmla="*/ 313479 h 789729"/>
                  <a:gd name="connsiteX3" fmla="*/ 558637 w 589969"/>
                  <a:gd name="connsiteY3" fmla="*/ 369877 h 789729"/>
                  <a:gd name="connsiteX4" fmla="*/ 585404 w 589969"/>
                  <a:gd name="connsiteY4" fmla="*/ 413742 h 789729"/>
                  <a:gd name="connsiteX5" fmla="*/ 589969 w 589969"/>
                  <a:gd name="connsiteY5" fmla="*/ 488940 h 789729"/>
                  <a:gd name="connsiteX6" fmla="*/ 589969 w 589969"/>
                  <a:gd name="connsiteY6" fmla="*/ 708265 h 789729"/>
                  <a:gd name="connsiteX7" fmla="*/ 577436 w 589969"/>
                  <a:gd name="connsiteY7" fmla="*/ 764663 h 789729"/>
                  <a:gd name="connsiteX8" fmla="*/ 558637 w 589969"/>
                  <a:gd name="connsiteY8" fmla="*/ 777196 h 789729"/>
                  <a:gd name="connsiteX9" fmla="*/ 533571 w 589969"/>
                  <a:gd name="connsiteY9" fmla="*/ 789729 h 789729"/>
                  <a:gd name="connsiteX10" fmla="*/ 495972 w 589969"/>
                  <a:gd name="connsiteY10" fmla="*/ 777196 h 789729"/>
                  <a:gd name="connsiteX11" fmla="*/ 236233 w 589969"/>
                  <a:gd name="connsiteY11" fmla="*/ 636622 h 789729"/>
                  <a:gd name="connsiteX12" fmla="*/ 122734 w 589969"/>
                  <a:gd name="connsiteY12" fmla="*/ 565194 h 789729"/>
                  <a:gd name="connsiteX13" fmla="*/ 120362 w 589969"/>
                  <a:gd name="connsiteY13" fmla="*/ 478864 h 789729"/>
                  <a:gd name="connsiteX14" fmla="*/ 122734 w 589969"/>
                  <a:gd name="connsiteY14" fmla="*/ 390135 h 789729"/>
                  <a:gd name="connsiteX15" fmla="*/ 125105 w 589969"/>
                  <a:gd name="connsiteY15" fmla="*/ 205481 h 789729"/>
                  <a:gd name="connsiteX16" fmla="*/ 120362 w 589969"/>
                  <a:gd name="connsiteY16" fmla="*/ 155124 h 789729"/>
                  <a:gd name="connsiteX17" fmla="*/ 120362 w 589969"/>
                  <a:gd name="connsiteY17" fmla="*/ 135939 h 789729"/>
                  <a:gd name="connsiteX18" fmla="*/ 91893 w 589969"/>
                  <a:gd name="connsiteY18" fmla="*/ 80783 h 789729"/>
                  <a:gd name="connsiteX19" fmla="*/ 21867 w 589969"/>
                  <a:gd name="connsiteY19" fmla="*/ 8208 h 789729"/>
                  <a:gd name="connsiteX0" fmla="*/ 21867 w 589969"/>
                  <a:gd name="connsiteY0" fmla="*/ 8208 h 789729"/>
                  <a:gd name="connsiteX1" fmla="*/ 508505 w 589969"/>
                  <a:gd name="connsiteY1" fmla="*/ 269614 h 789729"/>
                  <a:gd name="connsiteX2" fmla="*/ 533571 w 589969"/>
                  <a:gd name="connsiteY2" fmla="*/ 313479 h 789729"/>
                  <a:gd name="connsiteX3" fmla="*/ 570499 w 589969"/>
                  <a:gd name="connsiteY3" fmla="*/ 357887 h 789729"/>
                  <a:gd name="connsiteX4" fmla="*/ 585404 w 589969"/>
                  <a:gd name="connsiteY4" fmla="*/ 413742 h 789729"/>
                  <a:gd name="connsiteX5" fmla="*/ 589969 w 589969"/>
                  <a:gd name="connsiteY5" fmla="*/ 488940 h 789729"/>
                  <a:gd name="connsiteX6" fmla="*/ 589969 w 589969"/>
                  <a:gd name="connsiteY6" fmla="*/ 708265 h 789729"/>
                  <a:gd name="connsiteX7" fmla="*/ 577436 w 589969"/>
                  <a:gd name="connsiteY7" fmla="*/ 764663 h 789729"/>
                  <a:gd name="connsiteX8" fmla="*/ 558637 w 589969"/>
                  <a:gd name="connsiteY8" fmla="*/ 777196 h 789729"/>
                  <a:gd name="connsiteX9" fmla="*/ 533571 w 589969"/>
                  <a:gd name="connsiteY9" fmla="*/ 789729 h 789729"/>
                  <a:gd name="connsiteX10" fmla="*/ 495972 w 589969"/>
                  <a:gd name="connsiteY10" fmla="*/ 777196 h 789729"/>
                  <a:gd name="connsiteX11" fmla="*/ 236233 w 589969"/>
                  <a:gd name="connsiteY11" fmla="*/ 636622 h 789729"/>
                  <a:gd name="connsiteX12" fmla="*/ 122734 w 589969"/>
                  <a:gd name="connsiteY12" fmla="*/ 565194 h 789729"/>
                  <a:gd name="connsiteX13" fmla="*/ 120362 w 589969"/>
                  <a:gd name="connsiteY13" fmla="*/ 478864 h 789729"/>
                  <a:gd name="connsiteX14" fmla="*/ 122734 w 589969"/>
                  <a:gd name="connsiteY14" fmla="*/ 390135 h 789729"/>
                  <a:gd name="connsiteX15" fmla="*/ 125105 w 589969"/>
                  <a:gd name="connsiteY15" fmla="*/ 205481 h 789729"/>
                  <a:gd name="connsiteX16" fmla="*/ 120362 w 589969"/>
                  <a:gd name="connsiteY16" fmla="*/ 155124 h 789729"/>
                  <a:gd name="connsiteX17" fmla="*/ 120362 w 589969"/>
                  <a:gd name="connsiteY17" fmla="*/ 135939 h 789729"/>
                  <a:gd name="connsiteX18" fmla="*/ 91893 w 589969"/>
                  <a:gd name="connsiteY18" fmla="*/ 80783 h 789729"/>
                  <a:gd name="connsiteX19" fmla="*/ 21867 w 589969"/>
                  <a:gd name="connsiteY19" fmla="*/ 8208 h 789729"/>
                  <a:gd name="connsiteX0" fmla="*/ 21867 w 589969"/>
                  <a:gd name="connsiteY0" fmla="*/ 8208 h 789729"/>
                  <a:gd name="connsiteX1" fmla="*/ 508505 w 589969"/>
                  <a:gd name="connsiteY1" fmla="*/ 269614 h 789729"/>
                  <a:gd name="connsiteX2" fmla="*/ 543060 w 589969"/>
                  <a:gd name="connsiteY2" fmla="*/ 306285 h 789729"/>
                  <a:gd name="connsiteX3" fmla="*/ 570499 w 589969"/>
                  <a:gd name="connsiteY3" fmla="*/ 357887 h 789729"/>
                  <a:gd name="connsiteX4" fmla="*/ 585404 w 589969"/>
                  <a:gd name="connsiteY4" fmla="*/ 413742 h 789729"/>
                  <a:gd name="connsiteX5" fmla="*/ 589969 w 589969"/>
                  <a:gd name="connsiteY5" fmla="*/ 488940 h 789729"/>
                  <a:gd name="connsiteX6" fmla="*/ 589969 w 589969"/>
                  <a:gd name="connsiteY6" fmla="*/ 708265 h 789729"/>
                  <a:gd name="connsiteX7" fmla="*/ 577436 w 589969"/>
                  <a:gd name="connsiteY7" fmla="*/ 764663 h 789729"/>
                  <a:gd name="connsiteX8" fmla="*/ 558637 w 589969"/>
                  <a:gd name="connsiteY8" fmla="*/ 777196 h 789729"/>
                  <a:gd name="connsiteX9" fmla="*/ 533571 w 589969"/>
                  <a:gd name="connsiteY9" fmla="*/ 789729 h 789729"/>
                  <a:gd name="connsiteX10" fmla="*/ 495972 w 589969"/>
                  <a:gd name="connsiteY10" fmla="*/ 777196 h 789729"/>
                  <a:gd name="connsiteX11" fmla="*/ 236233 w 589969"/>
                  <a:gd name="connsiteY11" fmla="*/ 636622 h 789729"/>
                  <a:gd name="connsiteX12" fmla="*/ 122734 w 589969"/>
                  <a:gd name="connsiteY12" fmla="*/ 565194 h 789729"/>
                  <a:gd name="connsiteX13" fmla="*/ 120362 w 589969"/>
                  <a:gd name="connsiteY13" fmla="*/ 478864 h 789729"/>
                  <a:gd name="connsiteX14" fmla="*/ 122734 w 589969"/>
                  <a:gd name="connsiteY14" fmla="*/ 390135 h 789729"/>
                  <a:gd name="connsiteX15" fmla="*/ 125105 w 589969"/>
                  <a:gd name="connsiteY15" fmla="*/ 205481 h 789729"/>
                  <a:gd name="connsiteX16" fmla="*/ 120362 w 589969"/>
                  <a:gd name="connsiteY16" fmla="*/ 155124 h 789729"/>
                  <a:gd name="connsiteX17" fmla="*/ 120362 w 589969"/>
                  <a:gd name="connsiteY17" fmla="*/ 135939 h 789729"/>
                  <a:gd name="connsiteX18" fmla="*/ 91893 w 589969"/>
                  <a:gd name="connsiteY18" fmla="*/ 80783 h 789729"/>
                  <a:gd name="connsiteX19" fmla="*/ 21867 w 589969"/>
                  <a:gd name="connsiteY19" fmla="*/ 8208 h 789729"/>
                  <a:gd name="connsiteX0" fmla="*/ 24416 w 573539"/>
                  <a:gd name="connsiteY0" fmla="*/ 9716 h 776848"/>
                  <a:gd name="connsiteX1" fmla="*/ 492075 w 573539"/>
                  <a:gd name="connsiteY1" fmla="*/ 256733 h 776848"/>
                  <a:gd name="connsiteX2" fmla="*/ 526630 w 573539"/>
                  <a:gd name="connsiteY2" fmla="*/ 293404 h 776848"/>
                  <a:gd name="connsiteX3" fmla="*/ 554069 w 573539"/>
                  <a:gd name="connsiteY3" fmla="*/ 345006 h 776848"/>
                  <a:gd name="connsiteX4" fmla="*/ 568974 w 573539"/>
                  <a:gd name="connsiteY4" fmla="*/ 400861 h 776848"/>
                  <a:gd name="connsiteX5" fmla="*/ 573539 w 573539"/>
                  <a:gd name="connsiteY5" fmla="*/ 476059 h 776848"/>
                  <a:gd name="connsiteX6" fmla="*/ 573539 w 573539"/>
                  <a:gd name="connsiteY6" fmla="*/ 695384 h 776848"/>
                  <a:gd name="connsiteX7" fmla="*/ 561006 w 573539"/>
                  <a:gd name="connsiteY7" fmla="*/ 751782 h 776848"/>
                  <a:gd name="connsiteX8" fmla="*/ 542207 w 573539"/>
                  <a:gd name="connsiteY8" fmla="*/ 764315 h 776848"/>
                  <a:gd name="connsiteX9" fmla="*/ 517141 w 573539"/>
                  <a:gd name="connsiteY9" fmla="*/ 776848 h 776848"/>
                  <a:gd name="connsiteX10" fmla="*/ 479542 w 573539"/>
                  <a:gd name="connsiteY10" fmla="*/ 764315 h 776848"/>
                  <a:gd name="connsiteX11" fmla="*/ 219803 w 573539"/>
                  <a:gd name="connsiteY11" fmla="*/ 623741 h 776848"/>
                  <a:gd name="connsiteX12" fmla="*/ 106304 w 573539"/>
                  <a:gd name="connsiteY12" fmla="*/ 552313 h 776848"/>
                  <a:gd name="connsiteX13" fmla="*/ 103932 w 573539"/>
                  <a:gd name="connsiteY13" fmla="*/ 465983 h 776848"/>
                  <a:gd name="connsiteX14" fmla="*/ 106304 w 573539"/>
                  <a:gd name="connsiteY14" fmla="*/ 377254 h 776848"/>
                  <a:gd name="connsiteX15" fmla="*/ 108675 w 573539"/>
                  <a:gd name="connsiteY15" fmla="*/ 192600 h 776848"/>
                  <a:gd name="connsiteX16" fmla="*/ 103932 w 573539"/>
                  <a:gd name="connsiteY16" fmla="*/ 142243 h 776848"/>
                  <a:gd name="connsiteX17" fmla="*/ 103932 w 573539"/>
                  <a:gd name="connsiteY17" fmla="*/ 123058 h 776848"/>
                  <a:gd name="connsiteX18" fmla="*/ 75463 w 573539"/>
                  <a:gd name="connsiteY18" fmla="*/ 67902 h 776848"/>
                  <a:gd name="connsiteX19" fmla="*/ 24416 w 573539"/>
                  <a:gd name="connsiteY19" fmla="*/ 9716 h 776848"/>
                  <a:gd name="connsiteX0" fmla="*/ 25528 w 567534"/>
                  <a:gd name="connsiteY0" fmla="*/ 8902 h 783228"/>
                  <a:gd name="connsiteX1" fmla="*/ 486070 w 567534"/>
                  <a:gd name="connsiteY1" fmla="*/ 263113 h 783228"/>
                  <a:gd name="connsiteX2" fmla="*/ 520625 w 567534"/>
                  <a:gd name="connsiteY2" fmla="*/ 299784 h 783228"/>
                  <a:gd name="connsiteX3" fmla="*/ 548064 w 567534"/>
                  <a:gd name="connsiteY3" fmla="*/ 351386 h 783228"/>
                  <a:gd name="connsiteX4" fmla="*/ 562969 w 567534"/>
                  <a:gd name="connsiteY4" fmla="*/ 407241 h 783228"/>
                  <a:gd name="connsiteX5" fmla="*/ 567534 w 567534"/>
                  <a:gd name="connsiteY5" fmla="*/ 482439 h 783228"/>
                  <a:gd name="connsiteX6" fmla="*/ 567534 w 567534"/>
                  <a:gd name="connsiteY6" fmla="*/ 701764 h 783228"/>
                  <a:gd name="connsiteX7" fmla="*/ 555001 w 567534"/>
                  <a:gd name="connsiteY7" fmla="*/ 758162 h 783228"/>
                  <a:gd name="connsiteX8" fmla="*/ 536202 w 567534"/>
                  <a:gd name="connsiteY8" fmla="*/ 770695 h 783228"/>
                  <a:gd name="connsiteX9" fmla="*/ 511136 w 567534"/>
                  <a:gd name="connsiteY9" fmla="*/ 783228 h 783228"/>
                  <a:gd name="connsiteX10" fmla="*/ 473537 w 567534"/>
                  <a:gd name="connsiteY10" fmla="*/ 770695 h 783228"/>
                  <a:gd name="connsiteX11" fmla="*/ 213798 w 567534"/>
                  <a:gd name="connsiteY11" fmla="*/ 630121 h 783228"/>
                  <a:gd name="connsiteX12" fmla="*/ 100299 w 567534"/>
                  <a:gd name="connsiteY12" fmla="*/ 558693 h 783228"/>
                  <a:gd name="connsiteX13" fmla="*/ 97927 w 567534"/>
                  <a:gd name="connsiteY13" fmla="*/ 472363 h 783228"/>
                  <a:gd name="connsiteX14" fmla="*/ 100299 w 567534"/>
                  <a:gd name="connsiteY14" fmla="*/ 383634 h 783228"/>
                  <a:gd name="connsiteX15" fmla="*/ 102670 w 567534"/>
                  <a:gd name="connsiteY15" fmla="*/ 198980 h 783228"/>
                  <a:gd name="connsiteX16" fmla="*/ 97927 w 567534"/>
                  <a:gd name="connsiteY16" fmla="*/ 148623 h 783228"/>
                  <a:gd name="connsiteX17" fmla="*/ 97927 w 567534"/>
                  <a:gd name="connsiteY17" fmla="*/ 129438 h 783228"/>
                  <a:gd name="connsiteX18" fmla="*/ 69458 w 567534"/>
                  <a:gd name="connsiteY18" fmla="*/ 74282 h 783228"/>
                  <a:gd name="connsiteX19" fmla="*/ 25528 w 567534"/>
                  <a:gd name="connsiteY19" fmla="*/ 8902 h 783228"/>
                  <a:gd name="connsiteX0" fmla="*/ 24775 w 571526"/>
                  <a:gd name="connsiteY0" fmla="*/ 8659 h 785383"/>
                  <a:gd name="connsiteX1" fmla="*/ 490062 w 571526"/>
                  <a:gd name="connsiteY1" fmla="*/ 265268 h 785383"/>
                  <a:gd name="connsiteX2" fmla="*/ 524617 w 571526"/>
                  <a:gd name="connsiteY2" fmla="*/ 301939 h 785383"/>
                  <a:gd name="connsiteX3" fmla="*/ 552056 w 571526"/>
                  <a:gd name="connsiteY3" fmla="*/ 353541 h 785383"/>
                  <a:gd name="connsiteX4" fmla="*/ 566961 w 571526"/>
                  <a:gd name="connsiteY4" fmla="*/ 409396 h 785383"/>
                  <a:gd name="connsiteX5" fmla="*/ 571526 w 571526"/>
                  <a:gd name="connsiteY5" fmla="*/ 484594 h 785383"/>
                  <a:gd name="connsiteX6" fmla="*/ 571526 w 571526"/>
                  <a:gd name="connsiteY6" fmla="*/ 703919 h 785383"/>
                  <a:gd name="connsiteX7" fmla="*/ 558993 w 571526"/>
                  <a:gd name="connsiteY7" fmla="*/ 760317 h 785383"/>
                  <a:gd name="connsiteX8" fmla="*/ 540194 w 571526"/>
                  <a:gd name="connsiteY8" fmla="*/ 772850 h 785383"/>
                  <a:gd name="connsiteX9" fmla="*/ 515128 w 571526"/>
                  <a:gd name="connsiteY9" fmla="*/ 785383 h 785383"/>
                  <a:gd name="connsiteX10" fmla="*/ 477529 w 571526"/>
                  <a:gd name="connsiteY10" fmla="*/ 772850 h 785383"/>
                  <a:gd name="connsiteX11" fmla="*/ 217790 w 571526"/>
                  <a:gd name="connsiteY11" fmla="*/ 632276 h 785383"/>
                  <a:gd name="connsiteX12" fmla="*/ 104291 w 571526"/>
                  <a:gd name="connsiteY12" fmla="*/ 560848 h 785383"/>
                  <a:gd name="connsiteX13" fmla="*/ 101919 w 571526"/>
                  <a:gd name="connsiteY13" fmla="*/ 474518 h 785383"/>
                  <a:gd name="connsiteX14" fmla="*/ 104291 w 571526"/>
                  <a:gd name="connsiteY14" fmla="*/ 385789 h 785383"/>
                  <a:gd name="connsiteX15" fmla="*/ 106662 w 571526"/>
                  <a:gd name="connsiteY15" fmla="*/ 201135 h 785383"/>
                  <a:gd name="connsiteX16" fmla="*/ 101919 w 571526"/>
                  <a:gd name="connsiteY16" fmla="*/ 150778 h 785383"/>
                  <a:gd name="connsiteX17" fmla="*/ 101919 w 571526"/>
                  <a:gd name="connsiteY17" fmla="*/ 131593 h 785383"/>
                  <a:gd name="connsiteX18" fmla="*/ 73450 w 571526"/>
                  <a:gd name="connsiteY18" fmla="*/ 76437 h 785383"/>
                  <a:gd name="connsiteX19" fmla="*/ 24775 w 571526"/>
                  <a:gd name="connsiteY19" fmla="*/ 8659 h 785383"/>
                  <a:gd name="connsiteX0" fmla="*/ 25774 w 572525"/>
                  <a:gd name="connsiteY0" fmla="*/ 9573 h 786297"/>
                  <a:gd name="connsiteX1" fmla="*/ 491061 w 572525"/>
                  <a:gd name="connsiteY1" fmla="*/ 266182 h 786297"/>
                  <a:gd name="connsiteX2" fmla="*/ 525616 w 572525"/>
                  <a:gd name="connsiteY2" fmla="*/ 302853 h 786297"/>
                  <a:gd name="connsiteX3" fmla="*/ 553055 w 572525"/>
                  <a:gd name="connsiteY3" fmla="*/ 354455 h 786297"/>
                  <a:gd name="connsiteX4" fmla="*/ 567960 w 572525"/>
                  <a:gd name="connsiteY4" fmla="*/ 410310 h 786297"/>
                  <a:gd name="connsiteX5" fmla="*/ 572525 w 572525"/>
                  <a:gd name="connsiteY5" fmla="*/ 485508 h 786297"/>
                  <a:gd name="connsiteX6" fmla="*/ 572525 w 572525"/>
                  <a:gd name="connsiteY6" fmla="*/ 704833 h 786297"/>
                  <a:gd name="connsiteX7" fmla="*/ 559992 w 572525"/>
                  <a:gd name="connsiteY7" fmla="*/ 761231 h 786297"/>
                  <a:gd name="connsiteX8" fmla="*/ 541193 w 572525"/>
                  <a:gd name="connsiteY8" fmla="*/ 773764 h 786297"/>
                  <a:gd name="connsiteX9" fmla="*/ 516127 w 572525"/>
                  <a:gd name="connsiteY9" fmla="*/ 786297 h 786297"/>
                  <a:gd name="connsiteX10" fmla="*/ 478528 w 572525"/>
                  <a:gd name="connsiteY10" fmla="*/ 773764 h 786297"/>
                  <a:gd name="connsiteX11" fmla="*/ 218789 w 572525"/>
                  <a:gd name="connsiteY11" fmla="*/ 633190 h 786297"/>
                  <a:gd name="connsiteX12" fmla="*/ 105290 w 572525"/>
                  <a:gd name="connsiteY12" fmla="*/ 561762 h 786297"/>
                  <a:gd name="connsiteX13" fmla="*/ 102918 w 572525"/>
                  <a:gd name="connsiteY13" fmla="*/ 475432 h 786297"/>
                  <a:gd name="connsiteX14" fmla="*/ 105290 w 572525"/>
                  <a:gd name="connsiteY14" fmla="*/ 386703 h 786297"/>
                  <a:gd name="connsiteX15" fmla="*/ 107661 w 572525"/>
                  <a:gd name="connsiteY15" fmla="*/ 202049 h 786297"/>
                  <a:gd name="connsiteX16" fmla="*/ 102918 w 572525"/>
                  <a:gd name="connsiteY16" fmla="*/ 151692 h 786297"/>
                  <a:gd name="connsiteX17" fmla="*/ 102918 w 572525"/>
                  <a:gd name="connsiteY17" fmla="*/ 132507 h 786297"/>
                  <a:gd name="connsiteX18" fmla="*/ 74449 w 572525"/>
                  <a:gd name="connsiteY18" fmla="*/ 77351 h 786297"/>
                  <a:gd name="connsiteX19" fmla="*/ 25774 w 572525"/>
                  <a:gd name="connsiteY19" fmla="*/ 9573 h 786297"/>
                  <a:gd name="connsiteX0" fmla="*/ 25774 w 572525"/>
                  <a:gd name="connsiteY0" fmla="*/ 9573 h 786297"/>
                  <a:gd name="connsiteX1" fmla="*/ 491061 w 572525"/>
                  <a:gd name="connsiteY1" fmla="*/ 266182 h 786297"/>
                  <a:gd name="connsiteX2" fmla="*/ 525616 w 572525"/>
                  <a:gd name="connsiteY2" fmla="*/ 302853 h 786297"/>
                  <a:gd name="connsiteX3" fmla="*/ 553055 w 572525"/>
                  <a:gd name="connsiteY3" fmla="*/ 354455 h 786297"/>
                  <a:gd name="connsiteX4" fmla="*/ 567960 w 572525"/>
                  <a:gd name="connsiteY4" fmla="*/ 410310 h 786297"/>
                  <a:gd name="connsiteX5" fmla="*/ 572525 w 572525"/>
                  <a:gd name="connsiteY5" fmla="*/ 485508 h 786297"/>
                  <a:gd name="connsiteX6" fmla="*/ 572525 w 572525"/>
                  <a:gd name="connsiteY6" fmla="*/ 704833 h 786297"/>
                  <a:gd name="connsiteX7" fmla="*/ 564737 w 572525"/>
                  <a:gd name="connsiteY7" fmla="*/ 744444 h 786297"/>
                  <a:gd name="connsiteX8" fmla="*/ 541193 w 572525"/>
                  <a:gd name="connsiteY8" fmla="*/ 773764 h 786297"/>
                  <a:gd name="connsiteX9" fmla="*/ 516127 w 572525"/>
                  <a:gd name="connsiteY9" fmla="*/ 786297 h 786297"/>
                  <a:gd name="connsiteX10" fmla="*/ 478528 w 572525"/>
                  <a:gd name="connsiteY10" fmla="*/ 773764 h 786297"/>
                  <a:gd name="connsiteX11" fmla="*/ 218789 w 572525"/>
                  <a:gd name="connsiteY11" fmla="*/ 633190 h 786297"/>
                  <a:gd name="connsiteX12" fmla="*/ 105290 w 572525"/>
                  <a:gd name="connsiteY12" fmla="*/ 561762 h 786297"/>
                  <a:gd name="connsiteX13" fmla="*/ 102918 w 572525"/>
                  <a:gd name="connsiteY13" fmla="*/ 475432 h 786297"/>
                  <a:gd name="connsiteX14" fmla="*/ 105290 w 572525"/>
                  <a:gd name="connsiteY14" fmla="*/ 386703 h 786297"/>
                  <a:gd name="connsiteX15" fmla="*/ 107661 w 572525"/>
                  <a:gd name="connsiteY15" fmla="*/ 202049 h 786297"/>
                  <a:gd name="connsiteX16" fmla="*/ 102918 w 572525"/>
                  <a:gd name="connsiteY16" fmla="*/ 151692 h 786297"/>
                  <a:gd name="connsiteX17" fmla="*/ 102918 w 572525"/>
                  <a:gd name="connsiteY17" fmla="*/ 132507 h 786297"/>
                  <a:gd name="connsiteX18" fmla="*/ 74449 w 572525"/>
                  <a:gd name="connsiteY18" fmla="*/ 77351 h 786297"/>
                  <a:gd name="connsiteX19" fmla="*/ 25774 w 572525"/>
                  <a:gd name="connsiteY19" fmla="*/ 9573 h 7862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572525" h="786297">
                    <a:moveTo>
                      <a:pt x="25774" y="9573"/>
                    </a:moveTo>
                    <a:lnTo>
                      <a:pt x="491061" y="266182"/>
                    </a:lnTo>
                    <a:lnTo>
                      <a:pt x="525616" y="302853"/>
                    </a:lnTo>
                    <a:lnTo>
                      <a:pt x="553055" y="354455"/>
                    </a:lnTo>
                    <a:lnTo>
                      <a:pt x="567960" y="410310"/>
                    </a:lnTo>
                    <a:lnTo>
                      <a:pt x="572525" y="485508"/>
                    </a:lnTo>
                    <a:lnTo>
                      <a:pt x="572525" y="704833"/>
                    </a:lnTo>
                    <a:lnTo>
                      <a:pt x="564737" y="744444"/>
                    </a:lnTo>
                    <a:lnTo>
                      <a:pt x="541193" y="773764"/>
                    </a:lnTo>
                    <a:lnTo>
                      <a:pt x="516127" y="786297"/>
                    </a:lnTo>
                    <a:lnTo>
                      <a:pt x="478528" y="773764"/>
                    </a:lnTo>
                    <a:lnTo>
                      <a:pt x="218789" y="633190"/>
                    </a:lnTo>
                    <a:cubicBezTo>
                      <a:pt x="151838" y="595059"/>
                      <a:pt x="105227" y="572467"/>
                      <a:pt x="105290" y="561762"/>
                    </a:cubicBezTo>
                    <a:cubicBezTo>
                      <a:pt x="105353" y="551057"/>
                      <a:pt x="105290" y="504208"/>
                      <a:pt x="102918" y="475432"/>
                    </a:cubicBezTo>
                    <a:cubicBezTo>
                      <a:pt x="107663" y="449053"/>
                      <a:pt x="99359" y="438262"/>
                      <a:pt x="105290" y="386703"/>
                    </a:cubicBezTo>
                    <a:cubicBezTo>
                      <a:pt x="111221" y="335144"/>
                      <a:pt x="108452" y="243216"/>
                      <a:pt x="107661" y="202049"/>
                    </a:cubicBezTo>
                    <a:cubicBezTo>
                      <a:pt x="106870" y="160882"/>
                      <a:pt x="103708" y="163282"/>
                      <a:pt x="102918" y="151692"/>
                    </a:cubicBezTo>
                    <a:cubicBezTo>
                      <a:pt x="102128" y="140102"/>
                      <a:pt x="107268" y="142899"/>
                      <a:pt x="102918" y="132507"/>
                    </a:cubicBezTo>
                    <a:cubicBezTo>
                      <a:pt x="98569" y="122116"/>
                      <a:pt x="94028" y="102636"/>
                      <a:pt x="74449" y="77351"/>
                    </a:cubicBezTo>
                    <a:cubicBezTo>
                      <a:pt x="60802" y="38078"/>
                      <a:pt x="-48801" y="-23897"/>
                      <a:pt x="25774" y="9573"/>
                    </a:cubicBezTo>
                    <a:close/>
                  </a:path>
                </a:pathLst>
              </a:custGeom>
              <a:gradFill>
                <a:gsLst>
                  <a:gs pos="0">
                    <a:srgbClr val="CCFFCC"/>
                  </a:gs>
                  <a:gs pos="50000">
                    <a:srgbClr val="CCFFFF"/>
                  </a:gs>
                  <a:gs pos="100000">
                    <a:srgbClr val="E1E8F5"/>
                  </a:gs>
                </a:gsLst>
                <a:lin ang="5400000" scaled="0"/>
              </a:gra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xnSp macro="">
            <xdr:nvCxnSpPr>
              <xdr:cNvPr id="550" name="Straight Connector 549"/>
              <xdr:cNvCxnSpPr/>
            </xdr:nvCxnSpPr>
            <xdr:spPr>
              <a:xfrm>
                <a:off x="7785183" y="16302538"/>
                <a:ext cx="102268" cy="8742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8" name="Straight Connector 557"/>
              <xdr:cNvCxnSpPr/>
            </xdr:nvCxnSpPr>
            <xdr:spPr>
              <a:xfrm flipV="1">
                <a:off x="7206916" y="17036726"/>
                <a:ext cx="6020" cy="70433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561" name="Freeform 560"/>
              <xdr:cNvSpPr/>
            </xdr:nvSpPr>
            <xdr:spPr>
              <a:xfrm>
                <a:off x="7215188" y="16555112"/>
                <a:ext cx="806390" cy="1175425"/>
              </a:xfrm>
              <a:custGeom>
                <a:avLst/>
                <a:gdLst>
                  <a:gd name="connsiteX0" fmla="*/ 802105 w 802105"/>
                  <a:gd name="connsiteY0" fmla="*/ 0 h 1190625"/>
                  <a:gd name="connsiteX1" fmla="*/ 802105 w 802105"/>
                  <a:gd name="connsiteY1" fmla="*/ 689310 h 1190625"/>
                  <a:gd name="connsiteX2" fmla="*/ 0 w 802105"/>
                  <a:gd name="connsiteY2" fmla="*/ 1190625 h 1190625"/>
                  <a:gd name="connsiteX3" fmla="*/ 0 w 802105"/>
                  <a:gd name="connsiteY3" fmla="*/ 501316 h 1190625"/>
                  <a:gd name="connsiteX4" fmla="*/ 802105 w 802105"/>
                  <a:gd name="connsiteY4" fmla="*/ 0 h 1190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2105" h="1190625">
                    <a:moveTo>
                      <a:pt x="802105" y="0"/>
                    </a:moveTo>
                    <a:lnTo>
                      <a:pt x="802105" y="689310"/>
                    </a:lnTo>
                    <a:lnTo>
                      <a:pt x="0" y="1190625"/>
                    </a:lnTo>
                    <a:lnTo>
                      <a:pt x="0" y="501316"/>
                    </a:lnTo>
                    <a:lnTo>
                      <a:pt x="802105" y="0"/>
                    </a:lnTo>
                    <a:close/>
                  </a:path>
                </a:pathLst>
              </a:custGeom>
              <a:gradFill>
                <a:gsLst>
                  <a:gs pos="0">
                    <a:schemeClr val="bg1">
                      <a:lumMod val="50000"/>
                    </a:schemeClr>
                  </a:gs>
                  <a:gs pos="50000">
                    <a:srgbClr val="CCFFFF"/>
                  </a:gs>
                  <a:gs pos="100000">
                    <a:srgbClr val="E1E8F5"/>
                  </a:gs>
                </a:gsLst>
                <a:lin ang="1200000" scaled="0"/>
              </a:gra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813287" name="Freeform 813286"/>
              <xdr:cNvSpPr/>
            </xdr:nvSpPr>
            <xdr:spPr>
              <a:xfrm>
                <a:off x="7081587" y="16483263"/>
                <a:ext cx="803859" cy="1183606"/>
              </a:xfrm>
              <a:custGeom>
                <a:avLst/>
                <a:gdLst>
                  <a:gd name="connsiteX0" fmla="*/ 802105 w 802105"/>
                  <a:gd name="connsiteY0" fmla="*/ 0 h 1190625"/>
                  <a:gd name="connsiteX1" fmla="*/ 802105 w 802105"/>
                  <a:gd name="connsiteY1" fmla="*/ 689310 h 1190625"/>
                  <a:gd name="connsiteX2" fmla="*/ 0 w 802105"/>
                  <a:gd name="connsiteY2" fmla="*/ 1190625 h 1190625"/>
                  <a:gd name="connsiteX3" fmla="*/ 0 w 802105"/>
                  <a:gd name="connsiteY3" fmla="*/ 501316 h 1190625"/>
                  <a:gd name="connsiteX4" fmla="*/ 802105 w 802105"/>
                  <a:gd name="connsiteY4" fmla="*/ 0 h 1190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2105" h="1190625">
                    <a:moveTo>
                      <a:pt x="802105" y="0"/>
                    </a:moveTo>
                    <a:lnTo>
                      <a:pt x="802105" y="689310"/>
                    </a:lnTo>
                    <a:lnTo>
                      <a:pt x="0" y="1190625"/>
                    </a:lnTo>
                    <a:lnTo>
                      <a:pt x="0" y="501316"/>
                    </a:lnTo>
                    <a:lnTo>
                      <a:pt x="802105" y="0"/>
                    </a:lnTo>
                    <a:close/>
                  </a:path>
                </a:pathLst>
              </a:custGeom>
              <a:gradFill flip="none" rotWithShape="1">
                <a:gsLst>
                  <a:gs pos="0">
                    <a:schemeClr val="bg1">
                      <a:lumMod val="50000"/>
                    </a:schemeClr>
                  </a:gs>
                  <a:gs pos="50000">
                    <a:srgbClr val="CCFFFF"/>
                  </a:gs>
                  <a:gs pos="100000">
                    <a:srgbClr val="E1E8F5"/>
                  </a:gs>
                </a:gsLst>
                <a:lin ang="8100000" scaled="1"/>
                <a:tileRect/>
              </a:gra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37709" name="Freeform 137708"/>
              <xdr:cNvSpPr/>
            </xdr:nvSpPr>
            <xdr:spPr>
              <a:xfrm>
                <a:off x="7075321" y="16489530"/>
                <a:ext cx="937209" cy="566235"/>
              </a:xfrm>
              <a:custGeom>
                <a:avLst/>
                <a:gdLst>
                  <a:gd name="connsiteX0" fmla="*/ 808371 w 933700"/>
                  <a:gd name="connsiteY0" fmla="*/ 0 h 570246"/>
                  <a:gd name="connsiteX1" fmla="*/ 933700 w 933700"/>
                  <a:gd name="connsiteY1" fmla="*/ 68931 h 570246"/>
                  <a:gd name="connsiteX2" fmla="*/ 137862 w 933700"/>
                  <a:gd name="connsiteY2" fmla="*/ 570246 h 570246"/>
                  <a:gd name="connsiteX3" fmla="*/ 0 w 933700"/>
                  <a:gd name="connsiteY3" fmla="*/ 501316 h 570246"/>
                  <a:gd name="connsiteX4" fmla="*/ 808371 w 933700"/>
                  <a:gd name="connsiteY4" fmla="*/ 0 h 57024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33700" h="570246">
                    <a:moveTo>
                      <a:pt x="808371" y="0"/>
                    </a:moveTo>
                    <a:lnTo>
                      <a:pt x="933700" y="68931"/>
                    </a:lnTo>
                    <a:lnTo>
                      <a:pt x="137862" y="570246"/>
                    </a:lnTo>
                    <a:lnTo>
                      <a:pt x="0" y="501316"/>
                    </a:lnTo>
                    <a:lnTo>
                      <a:pt x="808371" y="0"/>
                    </a:lnTo>
                    <a:close/>
                  </a:path>
                </a:pathLst>
              </a:custGeom>
              <a:gradFill flip="none" rotWithShape="1">
                <a:gsLst>
                  <a:gs pos="0">
                    <a:schemeClr val="bg1">
                      <a:lumMod val="75000"/>
                    </a:schemeClr>
                  </a:gs>
                  <a:gs pos="50000">
                    <a:schemeClr val="bg1">
                      <a:lumMod val="95000"/>
                    </a:schemeClr>
                  </a:gs>
                  <a:gs pos="100000">
                    <a:srgbClr val="E1E8F5"/>
                  </a:gs>
                </a:gsLst>
                <a:lin ang="18900000" scaled="1"/>
                <a:tileRect/>
              </a:gra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563" name="Freeform 562"/>
              <xdr:cNvSpPr/>
            </xdr:nvSpPr>
            <xdr:spPr>
              <a:xfrm>
                <a:off x="7077326" y="17164300"/>
                <a:ext cx="937209" cy="566236"/>
              </a:xfrm>
              <a:custGeom>
                <a:avLst/>
                <a:gdLst>
                  <a:gd name="connsiteX0" fmla="*/ 808371 w 933700"/>
                  <a:gd name="connsiteY0" fmla="*/ 0 h 570246"/>
                  <a:gd name="connsiteX1" fmla="*/ 933700 w 933700"/>
                  <a:gd name="connsiteY1" fmla="*/ 68931 h 570246"/>
                  <a:gd name="connsiteX2" fmla="*/ 137862 w 933700"/>
                  <a:gd name="connsiteY2" fmla="*/ 570246 h 570246"/>
                  <a:gd name="connsiteX3" fmla="*/ 0 w 933700"/>
                  <a:gd name="connsiteY3" fmla="*/ 501316 h 570246"/>
                  <a:gd name="connsiteX4" fmla="*/ 808371 w 933700"/>
                  <a:gd name="connsiteY4" fmla="*/ 0 h 57024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33700" h="570246">
                    <a:moveTo>
                      <a:pt x="808371" y="0"/>
                    </a:moveTo>
                    <a:lnTo>
                      <a:pt x="933700" y="68931"/>
                    </a:lnTo>
                    <a:lnTo>
                      <a:pt x="137862" y="570246"/>
                    </a:lnTo>
                    <a:lnTo>
                      <a:pt x="0" y="501316"/>
                    </a:lnTo>
                    <a:lnTo>
                      <a:pt x="808371" y="0"/>
                    </a:lnTo>
                    <a:close/>
                  </a:path>
                </a:pathLst>
              </a:custGeom>
              <a:gradFill flip="none" rotWithShape="1">
                <a:gsLst>
                  <a:gs pos="0">
                    <a:schemeClr val="bg1">
                      <a:lumMod val="75000"/>
                    </a:schemeClr>
                  </a:gs>
                  <a:gs pos="50000">
                    <a:schemeClr val="bg1">
                      <a:lumMod val="95000"/>
                    </a:schemeClr>
                  </a:gs>
                  <a:gs pos="100000">
                    <a:srgbClr val="E1E8F5"/>
                  </a:gs>
                </a:gsLst>
                <a:lin ang="18900000" scaled="1"/>
                <a:tileRect/>
              </a:gra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37710" name="Freeform 137709"/>
              <xdr:cNvSpPr/>
            </xdr:nvSpPr>
            <xdr:spPr>
              <a:xfrm>
                <a:off x="7072712" y="16983904"/>
                <a:ext cx="147475" cy="757160"/>
              </a:xfrm>
              <a:custGeom>
                <a:avLst/>
                <a:gdLst>
                  <a:gd name="connsiteX0" fmla="*/ 10229 w 148091"/>
                  <a:gd name="connsiteY0" fmla="*/ 35200 h 793440"/>
                  <a:gd name="connsiteX1" fmla="*/ 141825 w 148091"/>
                  <a:gd name="connsiteY1" fmla="*/ 104130 h 793440"/>
                  <a:gd name="connsiteX2" fmla="*/ 148091 w 148091"/>
                  <a:gd name="connsiteY2" fmla="*/ 793440 h 793440"/>
                  <a:gd name="connsiteX3" fmla="*/ 10229 w 148091"/>
                  <a:gd name="connsiteY3" fmla="*/ 711976 h 793440"/>
                  <a:gd name="connsiteX4" fmla="*/ 10229 w 148091"/>
                  <a:gd name="connsiteY4" fmla="*/ 35200 h 793440"/>
                  <a:gd name="connsiteX0" fmla="*/ 10705 w 149324"/>
                  <a:gd name="connsiteY0" fmla="*/ 38304 h 796544"/>
                  <a:gd name="connsiteX1" fmla="*/ 148741 w 149324"/>
                  <a:gd name="connsiteY1" fmla="*/ 94227 h 796544"/>
                  <a:gd name="connsiteX2" fmla="*/ 148567 w 149324"/>
                  <a:gd name="connsiteY2" fmla="*/ 796544 h 796544"/>
                  <a:gd name="connsiteX3" fmla="*/ 10705 w 149324"/>
                  <a:gd name="connsiteY3" fmla="*/ 715080 h 796544"/>
                  <a:gd name="connsiteX4" fmla="*/ 10705 w 149324"/>
                  <a:gd name="connsiteY4" fmla="*/ 38304 h 796544"/>
                  <a:gd name="connsiteX0" fmla="*/ 7081 w 165016"/>
                  <a:gd name="connsiteY0" fmla="*/ 31583 h 835348"/>
                  <a:gd name="connsiteX1" fmla="*/ 164433 w 165016"/>
                  <a:gd name="connsiteY1" fmla="*/ 133031 h 835348"/>
                  <a:gd name="connsiteX2" fmla="*/ 164259 w 165016"/>
                  <a:gd name="connsiteY2" fmla="*/ 835348 h 835348"/>
                  <a:gd name="connsiteX3" fmla="*/ 26397 w 165016"/>
                  <a:gd name="connsiteY3" fmla="*/ 753884 h 835348"/>
                  <a:gd name="connsiteX4" fmla="*/ 7081 w 165016"/>
                  <a:gd name="connsiteY4" fmla="*/ 31583 h 835348"/>
                  <a:gd name="connsiteX0" fmla="*/ 7988 w 159483"/>
                  <a:gd name="connsiteY0" fmla="*/ 33257 h 824015"/>
                  <a:gd name="connsiteX1" fmla="*/ 158900 w 159483"/>
                  <a:gd name="connsiteY1" fmla="*/ 121698 h 824015"/>
                  <a:gd name="connsiteX2" fmla="*/ 158726 w 159483"/>
                  <a:gd name="connsiteY2" fmla="*/ 824015 h 824015"/>
                  <a:gd name="connsiteX3" fmla="*/ 20864 w 159483"/>
                  <a:gd name="connsiteY3" fmla="*/ 742551 h 824015"/>
                  <a:gd name="connsiteX4" fmla="*/ 7988 w 159483"/>
                  <a:gd name="connsiteY4" fmla="*/ 33257 h 824015"/>
                  <a:gd name="connsiteX0" fmla="*/ 600 w 152095"/>
                  <a:gd name="connsiteY0" fmla="*/ 30603 h 821361"/>
                  <a:gd name="connsiteX1" fmla="*/ 151512 w 152095"/>
                  <a:gd name="connsiteY1" fmla="*/ 119044 h 821361"/>
                  <a:gd name="connsiteX2" fmla="*/ 151338 w 152095"/>
                  <a:gd name="connsiteY2" fmla="*/ 821361 h 821361"/>
                  <a:gd name="connsiteX3" fmla="*/ 13476 w 152095"/>
                  <a:gd name="connsiteY3" fmla="*/ 739897 h 821361"/>
                  <a:gd name="connsiteX4" fmla="*/ 600 w 152095"/>
                  <a:gd name="connsiteY4" fmla="*/ 30603 h 821361"/>
                  <a:gd name="connsiteX0" fmla="*/ 515 w 152010"/>
                  <a:gd name="connsiteY0" fmla="*/ 30603 h 821361"/>
                  <a:gd name="connsiteX1" fmla="*/ 151427 w 152010"/>
                  <a:gd name="connsiteY1" fmla="*/ 119044 h 821361"/>
                  <a:gd name="connsiteX2" fmla="*/ 151253 w 152010"/>
                  <a:gd name="connsiteY2" fmla="*/ 821361 h 821361"/>
                  <a:gd name="connsiteX3" fmla="*/ 13391 w 152010"/>
                  <a:gd name="connsiteY3" fmla="*/ 739897 h 821361"/>
                  <a:gd name="connsiteX4" fmla="*/ 515 w 152010"/>
                  <a:gd name="connsiteY4" fmla="*/ 30603 h 821361"/>
                  <a:gd name="connsiteX0" fmla="*/ 599 w 152094"/>
                  <a:gd name="connsiteY0" fmla="*/ 27972 h 818730"/>
                  <a:gd name="connsiteX1" fmla="*/ 151511 w 152094"/>
                  <a:gd name="connsiteY1" fmla="*/ 116413 h 818730"/>
                  <a:gd name="connsiteX2" fmla="*/ 151337 w 152094"/>
                  <a:gd name="connsiteY2" fmla="*/ 818730 h 818730"/>
                  <a:gd name="connsiteX3" fmla="*/ 13475 w 152094"/>
                  <a:gd name="connsiteY3" fmla="*/ 737266 h 818730"/>
                  <a:gd name="connsiteX4" fmla="*/ 599 w 152094"/>
                  <a:gd name="connsiteY4" fmla="*/ 27972 h 818730"/>
                  <a:gd name="connsiteX0" fmla="*/ 599 w 152094"/>
                  <a:gd name="connsiteY0" fmla="*/ 25251 h 816009"/>
                  <a:gd name="connsiteX1" fmla="*/ 151511 w 152094"/>
                  <a:gd name="connsiteY1" fmla="*/ 113692 h 816009"/>
                  <a:gd name="connsiteX2" fmla="*/ 151337 w 152094"/>
                  <a:gd name="connsiteY2" fmla="*/ 816009 h 816009"/>
                  <a:gd name="connsiteX3" fmla="*/ 13475 w 152094"/>
                  <a:gd name="connsiteY3" fmla="*/ 734545 h 816009"/>
                  <a:gd name="connsiteX4" fmla="*/ 599 w 152094"/>
                  <a:gd name="connsiteY4" fmla="*/ 25251 h 816009"/>
                  <a:gd name="connsiteX0" fmla="*/ 599 w 152094"/>
                  <a:gd name="connsiteY0" fmla="*/ 25251 h 816009"/>
                  <a:gd name="connsiteX1" fmla="*/ 151511 w 152094"/>
                  <a:gd name="connsiteY1" fmla="*/ 113692 h 816009"/>
                  <a:gd name="connsiteX2" fmla="*/ 151337 w 152094"/>
                  <a:gd name="connsiteY2" fmla="*/ 816009 h 816009"/>
                  <a:gd name="connsiteX3" fmla="*/ 13475 w 152094"/>
                  <a:gd name="connsiteY3" fmla="*/ 734545 h 816009"/>
                  <a:gd name="connsiteX4" fmla="*/ 599 w 152094"/>
                  <a:gd name="connsiteY4" fmla="*/ 25251 h 816009"/>
                  <a:gd name="connsiteX0" fmla="*/ 35 w 151530"/>
                  <a:gd name="connsiteY0" fmla="*/ 7118 h 797876"/>
                  <a:gd name="connsiteX1" fmla="*/ 150947 w 151530"/>
                  <a:gd name="connsiteY1" fmla="*/ 95559 h 797876"/>
                  <a:gd name="connsiteX2" fmla="*/ 150773 w 151530"/>
                  <a:gd name="connsiteY2" fmla="*/ 797876 h 797876"/>
                  <a:gd name="connsiteX3" fmla="*/ 12911 w 151530"/>
                  <a:gd name="connsiteY3" fmla="*/ 716412 h 797876"/>
                  <a:gd name="connsiteX4" fmla="*/ 35 w 151530"/>
                  <a:gd name="connsiteY4" fmla="*/ 7118 h 797876"/>
                  <a:gd name="connsiteX0" fmla="*/ 35 w 151530"/>
                  <a:gd name="connsiteY0" fmla="*/ 260 h 791018"/>
                  <a:gd name="connsiteX1" fmla="*/ 150947 w 151530"/>
                  <a:gd name="connsiteY1" fmla="*/ 88701 h 791018"/>
                  <a:gd name="connsiteX2" fmla="*/ 150773 w 151530"/>
                  <a:gd name="connsiteY2" fmla="*/ 791018 h 791018"/>
                  <a:gd name="connsiteX3" fmla="*/ 12911 w 151530"/>
                  <a:gd name="connsiteY3" fmla="*/ 709554 h 791018"/>
                  <a:gd name="connsiteX4" fmla="*/ 35 w 151530"/>
                  <a:gd name="connsiteY4" fmla="*/ 260 h 79101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51530" h="791018">
                    <a:moveTo>
                      <a:pt x="35" y="260"/>
                    </a:moveTo>
                    <a:cubicBezTo>
                      <a:pt x="-2713" y="-5661"/>
                      <a:pt x="158592" y="91739"/>
                      <a:pt x="150947" y="88701"/>
                    </a:cubicBezTo>
                    <a:cubicBezTo>
                      <a:pt x="153036" y="97349"/>
                      <a:pt x="148684" y="561248"/>
                      <a:pt x="150773" y="791018"/>
                    </a:cubicBezTo>
                    <a:lnTo>
                      <a:pt x="12911" y="709554"/>
                    </a:lnTo>
                    <a:cubicBezTo>
                      <a:pt x="10822" y="479784"/>
                      <a:pt x="2783" y="6181"/>
                      <a:pt x="35" y="260"/>
                    </a:cubicBezTo>
                    <a:close/>
                  </a:path>
                </a:pathLst>
              </a:custGeom>
              <a:gradFill>
                <a:gsLst>
                  <a:gs pos="0">
                    <a:schemeClr val="bg1">
                      <a:lumMod val="75000"/>
                    </a:schemeClr>
                  </a:gs>
                  <a:gs pos="50000">
                    <a:schemeClr val="bg1">
                      <a:lumMod val="95000"/>
                    </a:schemeClr>
                  </a:gs>
                  <a:gs pos="100000">
                    <a:srgbClr val="E1E8F5"/>
                  </a:gs>
                </a:gsLst>
                <a:lin ang="18900000" scaled="1"/>
              </a:gra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37715" name="Freeform 137714"/>
              <xdr:cNvSpPr/>
            </xdr:nvSpPr>
            <xdr:spPr>
              <a:xfrm>
                <a:off x="5152525" y="16981571"/>
                <a:ext cx="999875" cy="853490"/>
              </a:xfrm>
              <a:custGeom>
                <a:avLst/>
                <a:gdLst>
                  <a:gd name="connsiteX0" fmla="*/ 933701 w 933701"/>
                  <a:gd name="connsiteY0" fmla="*/ 0 h 858503"/>
                  <a:gd name="connsiteX1" fmla="*/ 933701 w 933701"/>
                  <a:gd name="connsiteY1" fmla="*/ 307056 h 858503"/>
                  <a:gd name="connsiteX2" fmla="*/ 0 w 933701"/>
                  <a:gd name="connsiteY2" fmla="*/ 858503 h 858503"/>
                  <a:gd name="connsiteX3" fmla="*/ 37599 w 933701"/>
                  <a:gd name="connsiteY3" fmla="*/ 808372 h 858503"/>
                  <a:gd name="connsiteX4" fmla="*/ 37599 w 933701"/>
                  <a:gd name="connsiteY4" fmla="*/ 551447 h 858503"/>
                  <a:gd name="connsiteX5" fmla="*/ 933701 w 933701"/>
                  <a:gd name="connsiteY5" fmla="*/ 0 h 858503"/>
                  <a:gd name="connsiteX0" fmla="*/ 933701 w 1027698"/>
                  <a:gd name="connsiteY0" fmla="*/ 0 h 858503"/>
                  <a:gd name="connsiteX1" fmla="*/ 1027698 w 1027698"/>
                  <a:gd name="connsiteY1" fmla="*/ 250658 h 858503"/>
                  <a:gd name="connsiteX2" fmla="*/ 0 w 1027698"/>
                  <a:gd name="connsiteY2" fmla="*/ 858503 h 858503"/>
                  <a:gd name="connsiteX3" fmla="*/ 37599 w 1027698"/>
                  <a:gd name="connsiteY3" fmla="*/ 808372 h 858503"/>
                  <a:gd name="connsiteX4" fmla="*/ 37599 w 1027698"/>
                  <a:gd name="connsiteY4" fmla="*/ 551447 h 858503"/>
                  <a:gd name="connsiteX5" fmla="*/ 933701 w 1027698"/>
                  <a:gd name="connsiteY5" fmla="*/ 0 h 858503"/>
                  <a:gd name="connsiteX0" fmla="*/ 933701 w 996366"/>
                  <a:gd name="connsiteY0" fmla="*/ 0 h 858503"/>
                  <a:gd name="connsiteX1" fmla="*/ 996366 w 996366"/>
                  <a:gd name="connsiteY1" fmla="*/ 250658 h 858503"/>
                  <a:gd name="connsiteX2" fmla="*/ 0 w 996366"/>
                  <a:gd name="connsiteY2" fmla="*/ 858503 h 858503"/>
                  <a:gd name="connsiteX3" fmla="*/ 37599 w 996366"/>
                  <a:gd name="connsiteY3" fmla="*/ 808372 h 858503"/>
                  <a:gd name="connsiteX4" fmla="*/ 37599 w 996366"/>
                  <a:gd name="connsiteY4" fmla="*/ 551447 h 858503"/>
                  <a:gd name="connsiteX5" fmla="*/ 933701 w 996366"/>
                  <a:gd name="connsiteY5" fmla="*/ 0 h 8585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96366" h="858503">
                    <a:moveTo>
                      <a:pt x="933701" y="0"/>
                    </a:moveTo>
                    <a:lnTo>
                      <a:pt x="996366" y="250658"/>
                    </a:lnTo>
                    <a:lnTo>
                      <a:pt x="0" y="858503"/>
                    </a:lnTo>
                    <a:lnTo>
                      <a:pt x="37599" y="808372"/>
                    </a:lnTo>
                    <a:lnTo>
                      <a:pt x="37599" y="551447"/>
                    </a:lnTo>
                    <a:lnTo>
                      <a:pt x="933701" y="0"/>
                    </a:lnTo>
                    <a:close/>
                  </a:path>
                </a:pathLst>
              </a:custGeom>
              <a:gradFill flip="none" rotWithShape="1">
                <a:gsLst>
                  <a:gs pos="0">
                    <a:srgbClr val="CCFFCC"/>
                  </a:gs>
                  <a:gs pos="50000">
                    <a:srgbClr val="CCFFFF"/>
                  </a:gs>
                  <a:gs pos="100000">
                    <a:srgbClr val="CCFFFF"/>
                  </a:gs>
                </a:gsLst>
                <a:lin ang="18900000" scaled="1"/>
                <a:tileRect/>
              </a:gradFill>
              <a:ln w="3175">
                <a:solidFill>
                  <a:schemeClr val="dk1">
                    <a:shade val="95000"/>
                    <a:satMod val="10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572" name="Freeform 571"/>
              <xdr:cNvSpPr/>
            </xdr:nvSpPr>
            <xdr:spPr>
              <a:xfrm>
                <a:off x="7799722" y="15339260"/>
                <a:ext cx="928234" cy="857417"/>
              </a:xfrm>
              <a:custGeom>
                <a:avLst/>
                <a:gdLst>
                  <a:gd name="connsiteX0" fmla="*/ 933701 w 933701"/>
                  <a:gd name="connsiteY0" fmla="*/ 0 h 858503"/>
                  <a:gd name="connsiteX1" fmla="*/ 933701 w 933701"/>
                  <a:gd name="connsiteY1" fmla="*/ 307056 h 858503"/>
                  <a:gd name="connsiteX2" fmla="*/ 0 w 933701"/>
                  <a:gd name="connsiteY2" fmla="*/ 858503 h 858503"/>
                  <a:gd name="connsiteX3" fmla="*/ 37599 w 933701"/>
                  <a:gd name="connsiteY3" fmla="*/ 808372 h 858503"/>
                  <a:gd name="connsiteX4" fmla="*/ 37599 w 933701"/>
                  <a:gd name="connsiteY4" fmla="*/ 551447 h 858503"/>
                  <a:gd name="connsiteX5" fmla="*/ 933701 w 933701"/>
                  <a:gd name="connsiteY5" fmla="*/ 0 h 858503"/>
                  <a:gd name="connsiteX0" fmla="*/ 933701 w 1027698"/>
                  <a:gd name="connsiteY0" fmla="*/ 0 h 858503"/>
                  <a:gd name="connsiteX1" fmla="*/ 1027698 w 1027698"/>
                  <a:gd name="connsiteY1" fmla="*/ 250658 h 858503"/>
                  <a:gd name="connsiteX2" fmla="*/ 0 w 1027698"/>
                  <a:gd name="connsiteY2" fmla="*/ 858503 h 858503"/>
                  <a:gd name="connsiteX3" fmla="*/ 37599 w 1027698"/>
                  <a:gd name="connsiteY3" fmla="*/ 808372 h 858503"/>
                  <a:gd name="connsiteX4" fmla="*/ 37599 w 1027698"/>
                  <a:gd name="connsiteY4" fmla="*/ 551447 h 858503"/>
                  <a:gd name="connsiteX5" fmla="*/ 933701 w 1027698"/>
                  <a:gd name="connsiteY5" fmla="*/ 0 h 858503"/>
                  <a:gd name="connsiteX0" fmla="*/ 933701 w 996366"/>
                  <a:gd name="connsiteY0" fmla="*/ 0 h 858503"/>
                  <a:gd name="connsiteX1" fmla="*/ 996366 w 996366"/>
                  <a:gd name="connsiteY1" fmla="*/ 250658 h 858503"/>
                  <a:gd name="connsiteX2" fmla="*/ 0 w 996366"/>
                  <a:gd name="connsiteY2" fmla="*/ 858503 h 858503"/>
                  <a:gd name="connsiteX3" fmla="*/ 37599 w 996366"/>
                  <a:gd name="connsiteY3" fmla="*/ 808372 h 858503"/>
                  <a:gd name="connsiteX4" fmla="*/ 37599 w 996366"/>
                  <a:gd name="connsiteY4" fmla="*/ 551447 h 858503"/>
                  <a:gd name="connsiteX5" fmla="*/ 933701 w 996366"/>
                  <a:gd name="connsiteY5" fmla="*/ 0 h 858503"/>
                  <a:gd name="connsiteX0" fmla="*/ 933701 w 946235"/>
                  <a:gd name="connsiteY0" fmla="*/ 0 h 858503"/>
                  <a:gd name="connsiteX1" fmla="*/ 946235 w 946235"/>
                  <a:gd name="connsiteY1" fmla="*/ 325855 h 858503"/>
                  <a:gd name="connsiteX2" fmla="*/ 0 w 946235"/>
                  <a:gd name="connsiteY2" fmla="*/ 858503 h 858503"/>
                  <a:gd name="connsiteX3" fmla="*/ 37599 w 946235"/>
                  <a:gd name="connsiteY3" fmla="*/ 808372 h 858503"/>
                  <a:gd name="connsiteX4" fmla="*/ 37599 w 946235"/>
                  <a:gd name="connsiteY4" fmla="*/ 551447 h 858503"/>
                  <a:gd name="connsiteX5" fmla="*/ 933701 w 946235"/>
                  <a:gd name="connsiteY5" fmla="*/ 0 h 858503"/>
                  <a:gd name="connsiteX0" fmla="*/ 933701 w 946235"/>
                  <a:gd name="connsiteY0" fmla="*/ 0 h 858503"/>
                  <a:gd name="connsiteX1" fmla="*/ 946235 w 946235"/>
                  <a:gd name="connsiteY1" fmla="*/ 325855 h 858503"/>
                  <a:gd name="connsiteX2" fmla="*/ 0 w 946235"/>
                  <a:gd name="connsiteY2" fmla="*/ 858503 h 858503"/>
                  <a:gd name="connsiteX3" fmla="*/ 37599 w 946235"/>
                  <a:gd name="connsiteY3" fmla="*/ 808372 h 858503"/>
                  <a:gd name="connsiteX4" fmla="*/ 0 w 946235"/>
                  <a:gd name="connsiteY4" fmla="*/ 607845 h 858503"/>
                  <a:gd name="connsiteX5" fmla="*/ 933701 w 946235"/>
                  <a:gd name="connsiteY5" fmla="*/ 0 h 858503"/>
                  <a:gd name="connsiteX0" fmla="*/ 933701 w 946235"/>
                  <a:gd name="connsiteY0" fmla="*/ 0 h 858503"/>
                  <a:gd name="connsiteX1" fmla="*/ 946235 w 946235"/>
                  <a:gd name="connsiteY1" fmla="*/ 325855 h 858503"/>
                  <a:gd name="connsiteX2" fmla="*/ 0 w 946235"/>
                  <a:gd name="connsiteY2" fmla="*/ 858503 h 858503"/>
                  <a:gd name="connsiteX3" fmla="*/ 37599 w 946235"/>
                  <a:gd name="connsiteY3" fmla="*/ 808372 h 858503"/>
                  <a:gd name="connsiteX4" fmla="*/ 0 w 946235"/>
                  <a:gd name="connsiteY4" fmla="*/ 589046 h 858503"/>
                  <a:gd name="connsiteX5" fmla="*/ 933701 w 946235"/>
                  <a:gd name="connsiteY5" fmla="*/ 0 h 858503"/>
                  <a:gd name="connsiteX0" fmla="*/ 933701 w 946235"/>
                  <a:gd name="connsiteY0" fmla="*/ 0 h 858503"/>
                  <a:gd name="connsiteX1" fmla="*/ 946235 w 946235"/>
                  <a:gd name="connsiteY1" fmla="*/ 325855 h 858503"/>
                  <a:gd name="connsiteX2" fmla="*/ 68931 w 946235"/>
                  <a:gd name="connsiteY2" fmla="*/ 858503 h 858503"/>
                  <a:gd name="connsiteX3" fmla="*/ 37599 w 946235"/>
                  <a:gd name="connsiteY3" fmla="*/ 808372 h 858503"/>
                  <a:gd name="connsiteX4" fmla="*/ 0 w 946235"/>
                  <a:gd name="connsiteY4" fmla="*/ 589046 h 858503"/>
                  <a:gd name="connsiteX5" fmla="*/ 933701 w 946235"/>
                  <a:gd name="connsiteY5" fmla="*/ 0 h 858503"/>
                  <a:gd name="connsiteX0" fmla="*/ 933701 w 946235"/>
                  <a:gd name="connsiteY0" fmla="*/ 0 h 883569"/>
                  <a:gd name="connsiteX1" fmla="*/ 946235 w 946235"/>
                  <a:gd name="connsiteY1" fmla="*/ 325855 h 883569"/>
                  <a:gd name="connsiteX2" fmla="*/ 37599 w 946235"/>
                  <a:gd name="connsiteY2" fmla="*/ 883569 h 883569"/>
                  <a:gd name="connsiteX3" fmla="*/ 37599 w 946235"/>
                  <a:gd name="connsiteY3" fmla="*/ 808372 h 883569"/>
                  <a:gd name="connsiteX4" fmla="*/ 0 w 946235"/>
                  <a:gd name="connsiteY4" fmla="*/ 589046 h 883569"/>
                  <a:gd name="connsiteX5" fmla="*/ 933701 w 946235"/>
                  <a:gd name="connsiteY5" fmla="*/ 0 h 883569"/>
                  <a:gd name="connsiteX0" fmla="*/ 933701 w 946235"/>
                  <a:gd name="connsiteY0" fmla="*/ 0 h 883569"/>
                  <a:gd name="connsiteX1" fmla="*/ 946235 w 946235"/>
                  <a:gd name="connsiteY1" fmla="*/ 325855 h 883569"/>
                  <a:gd name="connsiteX2" fmla="*/ 37599 w 946235"/>
                  <a:gd name="connsiteY2" fmla="*/ 883569 h 883569"/>
                  <a:gd name="connsiteX3" fmla="*/ 25066 w 946235"/>
                  <a:gd name="connsiteY3" fmla="*/ 795839 h 883569"/>
                  <a:gd name="connsiteX4" fmla="*/ 0 w 946235"/>
                  <a:gd name="connsiteY4" fmla="*/ 589046 h 883569"/>
                  <a:gd name="connsiteX5" fmla="*/ 933701 w 946235"/>
                  <a:gd name="connsiteY5" fmla="*/ 0 h 8835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46235" h="883569">
                    <a:moveTo>
                      <a:pt x="933701" y="0"/>
                    </a:moveTo>
                    <a:lnTo>
                      <a:pt x="946235" y="325855"/>
                    </a:lnTo>
                    <a:lnTo>
                      <a:pt x="37599" y="883569"/>
                    </a:lnTo>
                    <a:lnTo>
                      <a:pt x="25066" y="795839"/>
                    </a:lnTo>
                    <a:lnTo>
                      <a:pt x="0" y="589046"/>
                    </a:lnTo>
                    <a:lnTo>
                      <a:pt x="933701" y="0"/>
                    </a:lnTo>
                    <a:close/>
                  </a:path>
                </a:pathLst>
              </a:custGeom>
              <a:gradFill flip="none" rotWithShape="1">
                <a:gsLst>
                  <a:gs pos="0">
                    <a:srgbClr val="CCFFCC"/>
                  </a:gs>
                  <a:gs pos="50000">
                    <a:srgbClr val="CCFFFF"/>
                  </a:gs>
                  <a:gs pos="100000">
                    <a:srgbClr val="CCFFFF"/>
                  </a:gs>
                </a:gsLst>
                <a:lin ang="18900000" scaled="1"/>
                <a:tileRect/>
              </a:gradFill>
              <a:ln w="3175">
                <a:solidFill>
                  <a:schemeClr val="dk1">
                    <a:shade val="95000"/>
                    <a:satMod val="10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xnSp macro="">
            <xdr:nvCxnSpPr>
              <xdr:cNvPr id="570" name="Straight Connector 569"/>
              <xdr:cNvCxnSpPr>
                <a:endCxn id="813286" idx="9"/>
              </xdr:cNvCxnSpPr>
            </xdr:nvCxnSpPr>
            <xdr:spPr>
              <a:xfrm flipH="1">
                <a:off x="5127246" y="17219701"/>
                <a:ext cx="1033430" cy="626889"/>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137714" name="Freeform 137713"/>
              <xdr:cNvSpPr/>
            </xdr:nvSpPr>
            <xdr:spPr>
              <a:xfrm>
                <a:off x="6087979" y="16975305"/>
                <a:ext cx="993608" cy="691564"/>
              </a:xfrm>
              <a:custGeom>
                <a:avLst/>
                <a:gdLst>
                  <a:gd name="connsiteX0" fmla="*/ 990098 w 990098"/>
                  <a:gd name="connsiteY0" fmla="*/ 0 h 695575"/>
                  <a:gd name="connsiteX1" fmla="*/ 0 w 990098"/>
                  <a:gd name="connsiteY1" fmla="*/ 12533 h 695575"/>
                  <a:gd name="connsiteX2" fmla="*/ 6266 w 990098"/>
                  <a:gd name="connsiteY2" fmla="*/ 225592 h 695575"/>
                  <a:gd name="connsiteX3" fmla="*/ 990098 w 990098"/>
                  <a:gd name="connsiteY3" fmla="*/ 695575 h 695575"/>
                  <a:gd name="connsiteX4" fmla="*/ 990098 w 990098"/>
                  <a:gd name="connsiteY4" fmla="*/ 0 h 695575"/>
                  <a:gd name="connsiteX0" fmla="*/ 990098 w 990098"/>
                  <a:gd name="connsiteY0" fmla="*/ 0 h 695575"/>
                  <a:gd name="connsiteX1" fmla="*/ 0 w 990098"/>
                  <a:gd name="connsiteY1" fmla="*/ 12533 h 695575"/>
                  <a:gd name="connsiteX2" fmla="*/ 6266 w 990098"/>
                  <a:gd name="connsiteY2" fmla="*/ 200526 h 695575"/>
                  <a:gd name="connsiteX3" fmla="*/ 990098 w 990098"/>
                  <a:gd name="connsiteY3" fmla="*/ 695575 h 695575"/>
                  <a:gd name="connsiteX4" fmla="*/ 990098 w 990098"/>
                  <a:gd name="connsiteY4" fmla="*/ 0 h 695575"/>
                  <a:gd name="connsiteX0" fmla="*/ 990098 w 990098"/>
                  <a:gd name="connsiteY0" fmla="*/ 0 h 695575"/>
                  <a:gd name="connsiteX1" fmla="*/ 0 w 990098"/>
                  <a:gd name="connsiteY1" fmla="*/ 12533 h 695575"/>
                  <a:gd name="connsiteX2" fmla="*/ 6266 w 990098"/>
                  <a:gd name="connsiteY2" fmla="*/ 287083 h 695575"/>
                  <a:gd name="connsiteX3" fmla="*/ 990098 w 990098"/>
                  <a:gd name="connsiteY3" fmla="*/ 695575 h 695575"/>
                  <a:gd name="connsiteX4" fmla="*/ 990098 w 990098"/>
                  <a:gd name="connsiteY4" fmla="*/ 0 h 6955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0098" h="695575">
                    <a:moveTo>
                      <a:pt x="990098" y="0"/>
                    </a:moveTo>
                    <a:lnTo>
                      <a:pt x="0" y="12533"/>
                    </a:lnTo>
                    <a:lnTo>
                      <a:pt x="6266" y="287083"/>
                    </a:lnTo>
                    <a:cubicBezTo>
                      <a:pt x="334210" y="452099"/>
                      <a:pt x="662154" y="530559"/>
                      <a:pt x="990098" y="695575"/>
                    </a:cubicBezTo>
                    <a:cubicBezTo>
                      <a:pt x="988009" y="463717"/>
                      <a:pt x="985921" y="231858"/>
                      <a:pt x="990098" y="0"/>
                    </a:cubicBezTo>
                    <a:close/>
                  </a:path>
                </a:pathLst>
              </a:custGeom>
              <a:gradFill>
                <a:gsLst>
                  <a:gs pos="0">
                    <a:srgbClr val="CCFFCC"/>
                  </a:gs>
                  <a:gs pos="50000">
                    <a:srgbClr val="CCFFFF"/>
                  </a:gs>
                  <a:gs pos="100000">
                    <a:srgbClr val="CCFFFF"/>
                  </a:gs>
                </a:gsLst>
                <a:lin ang="8100000" scaled="1"/>
              </a:gra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37702" name="Freeform 137701"/>
              <xdr:cNvSpPr/>
            </xdr:nvSpPr>
            <xdr:spPr>
              <a:xfrm>
                <a:off x="6102267" y="15934824"/>
                <a:ext cx="1789446" cy="1046748"/>
              </a:xfrm>
              <a:custGeom>
                <a:avLst/>
                <a:gdLst>
                  <a:gd name="connsiteX0" fmla="*/ 1698207 w 1698207"/>
                  <a:gd name="connsiteY0" fmla="*/ 501316 h 990099"/>
                  <a:gd name="connsiteX1" fmla="*/ 1491414 w 1698207"/>
                  <a:gd name="connsiteY1" fmla="*/ 0 h 990099"/>
                  <a:gd name="connsiteX2" fmla="*/ 0 w 1698207"/>
                  <a:gd name="connsiteY2" fmla="*/ 933701 h 990099"/>
                  <a:gd name="connsiteX3" fmla="*/ 889835 w 1698207"/>
                  <a:gd name="connsiteY3" fmla="*/ 990099 h 990099"/>
                  <a:gd name="connsiteX4" fmla="*/ 1698207 w 1698207"/>
                  <a:gd name="connsiteY4" fmla="*/ 501316 h 990099"/>
                  <a:gd name="connsiteX0" fmla="*/ 1879934 w 1879934"/>
                  <a:gd name="connsiteY0" fmla="*/ 501316 h 1040230"/>
                  <a:gd name="connsiteX1" fmla="*/ 1673141 w 1879934"/>
                  <a:gd name="connsiteY1" fmla="*/ 0 h 1040230"/>
                  <a:gd name="connsiteX2" fmla="*/ 0 w 1879934"/>
                  <a:gd name="connsiteY2" fmla="*/ 1040230 h 1040230"/>
                  <a:gd name="connsiteX3" fmla="*/ 1071562 w 1879934"/>
                  <a:gd name="connsiteY3" fmla="*/ 990099 h 1040230"/>
                  <a:gd name="connsiteX4" fmla="*/ 1879934 w 1879934"/>
                  <a:gd name="connsiteY4" fmla="*/ 501316 h 1040230"/>
                  <a:gd name="connsiteX0" fmla="*/ 1879934 w 1879934"/>
                  <a:gd name="connsiteY0" fmla="*/ 582780 h 1121694"/>
                  <a:gd name="connsiteX1" fmla="*/ 1811003 w 1879934"/>
                  <a:gd name="connsiteY1" fmla="*/ 0 h 1121694"/>
                  <a:gd name="connsiteX2" fmla="*/ 0 w 1879934"/>
                  <a:gd name="connsiteY2" fmla="*/ 1121694 h 1121694"/>
                  <a:gd name="connsiteX3" fmla="*/ 1071562 w 1879934"/>
                  <a:gd name="connsiteY3" fmla="*/ 1071563 h 1121694"/>
                  <a:gd name="connsiteX4" fmla="*/ 1879934 w 1879934"/>
                  <a:gd name="connsiteY4" fmla="*/ 582780 h 1121694"/>
                  <a:gd name="connsiteX0" fmla="*/ 1879934 w 1879934"/>
                  <a:gd name="connsiteY0" fmla="*/ 557715 h 1096629"/>
                  <a:gd name="connsiteX1" fmla="*/ 1779671 w 1879934"/>
                  <a:gd name="connsiteY1" fmla="*/ 0 h 1096629"/>
                  <a:gd name="connsiteX2" fmla="*/ 0 w 1879934"/>
                  <a:gd name="connsiteY2" fmla="*/ 1096629 h 1096629"/>
                  <a:gd name="connsiteX3" fmla="*/ 1071562 w 1879934"/>
                  <a:gd name="connsiteY3" fmla="*/ 1046498 h 1096629"/>
                  <a:gd name="connsiteX4" fmla="*/ 1879934 w 1879934"/>
                  <a:gd name="connsiteY4" fmla="*/ 557715 h 1096629"/>
                  <a:gd name="connsiteX0" fmla="*/ 1785937 w 1785937"/>
                  <a:gd name="connsiteY0" fmla="*/ 557715 h 1052764"/>
                  <a:gd name="connsiteX1" fmla="*/ 1685674 w 1785937"/>
                  <a:gd name="connsiteY1" fmla="*/ 0 h 1052764"/>
                  <a:gd name="connsiteX2" fmla="*/ 0 w 1785937"/>
                  <a:gd name="connsiteY2" fmla="*/ 1052764 h 1052764"/>
                  <a:gd name="connsiteX3" fmla="*/ 977565 w 1785937"/>
                  <a:gd name="connsiteY3" fmla="*/ 1046498 h 1052764"/>
                  <a:gd name="connsiteX4" fmla="*/ 1785937 w 1785937"/>
                  <a:gd name="connsiteY4" fmla="*/ 557715 h 105276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85937" h="1052764">
                    <a:moveTo>
                      <a:pt x="1785937" y="557715"/>
                    </a:moveTo>
                    <a:lnTo>
                      <a:pt x="1685674" y="0"/>
                    </a:lnTo>
                    <a:lnTo>
                      <a:pt x="0" y="1052764"/>
                    </a:lnTo>
                    <a:lnTo>
                      <a:pt x="977565" y="1046498"/>
                    </a:lnTo>
                    <a:lnTo>
                      <a:pt x="1785937" y="557715"/>
                    </a:lnTo>
                    <a:close/>
                  </a:path>
                </a:pathLst>
              </a:custGeom>
              <a:gradFill>
                <a:gsLst>
                  <a:gs pos="0">
                    <a:schemeClr val="bg1">
                      <a:lumMod val="75000"/>
                    </a:schemeClr>
                  </a:gs>
                  <a:gs pos="50000">
                    <a:schemeClr val="bg1">
                      <a:lumMod val="95000"/>
                    </a:schemeClr>
                  </a:gs>
                  <a:gs pos="100000">
                    <a:srgbClr val="E1E8F5"/>
                  </a:gs>
                </a:gsLst>
                <a:lin ang="1200000" scaled="0"/>
              </a:gra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xnSp macro="">
            <xdr:nvCxnSpPr>
              <xdr:cNvPr id="574" name="Straight Connector 573"/>
              <xdr:cNvCxnSpPr>
                <a:stCxn id="137719" idx="10"/>
              </xdr:cNvCxnSpPr>
            </xdr:nvCxnSpPr>
            <xdr:spPr>
              <a:xfrm flipH="1">
                <a:off x="7843595" y="15703900"/>
                <a:ext cx="819912" cy="501383"/>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137719" name="Freeform 137718"/>
              <xdr:cNvSpPr/>
            </xdr:nvSpPr>
            <xdr:spPr>
              <a:xfrm>
                <a:off x="8571997" y="15169064"/>
                <a:ext cx="161149" cy="534979"/>
              </a:xfrm>
              <a:custGeom>
                <a:avLst/>
                <a:gdLst>
                  <a:gd name="connsiteX0" fmla="*/ 0 w 162928"/>
                  <a:gd name="connsiteY0" fmla="*/ 0 h 532648"/>
                  <a:gd name="connsiteX1" fmla="*/ 62665 w 162928"/>
                  <a:gd name="connsiteY1" fmla="*/ 50131 h 532648"/>
                  <a:gd name="connsiteX2" fmla="*/ 119063 w 162928"/>
                  <a:gd name="connsiteY2" fmla="*/ 100263 h 532648"/>
                  <a:gd name="connsiteX3" fmla="*/ 131596 w 162928"/>
                  <a:gd name="connsiteY3" fmla="*/ 125329 h 532648"/>
                  <a:gd name="connsiteX4" fmla="*/ 156661 w 162928"/>
                  <a:gd name="connsiteY4" fmla="*/ 181727 h 532648"/>
                  <a:gd name="connsiteX5" fmla="*/ 162928 w 162928"/>
                  <a:gd name="connsiteY5" fmla="*/ 432385 h 532648"/>
                  <a:gd name="connsiteX6" fmla="*/ 156661 w 162928"/>
                  <a:gd name="connsiteY6" fmla="*/ 463717 h 532648"/>
                  <a:gd name="connsiteX7" fmla="*/ 137862 w 162928"/>
                  <a:gd name="connsiteY7" fmla="*/ 495049 h 532648"/>
                  <a:gd name="connsiteX8" fmla="*/ 131596 w 162928"/>
                  <a:gd name="connsiteY8" fmla="*/ 532648 h 532648"/>
                  <a:gd name="connsiteX9" fmla="*/ 131596 w 162928"/>
                  <a:gd name="connsiteY9" fmla="*/ 532648 h 532648"/>
                  <a:gd name="connsiteX0" fmla="*/ 0 w 162928"/>
                  <a:gd name="connsiteY0" fmla="*/ 0 h 532648"/>
                  <a:gd name="connsiteX1" fmla="*/ 62665 w 162928"/>
                  <a:gd name="connsiteY1" fmla="*/ 50131 h 532648"/>
                  <a:gd name="connsiteX2" fmla="*/ 119063 w 162928"/>
                  <a:gd name="connsiteY2" fmla="*/ 100263 h 532648"/>
                  <a:gd name="connsiteX3" fmla="*/ 131596 w 162928"/>
                  <a:gd name="connsiteY3" fmla="*/ 125329 h 532648"/>
                  <a:gd name="connsiteX4" fmla="*/ 156661 w 162928"/>
                  <a:gd name="connsiteY4" fmla="*/ 181727 h 532648"/>
                  <a:gd name="connsiteX5" fmla="*/ 162928 w 162928"/>
                  <a:gd name="connsiteY5" fmla="*/ 432385 h 532648"/>
                  <a:gd name="connsiteX6" fmla="*/ 156661 w 162928"/>
                  <a:gd name="connsiteY6" fmla="*/ 463717 h 532648"/>
                  <a:gd name="connsiteX7" fmla="*/ 162927 w 162928"/>
                  <a:gd name="connsiteY7" fmla="*/ 513849 h 532648"/>
                  <a:gd name="connsiteX8" fmla="*/ 131596 w 162928"/>
                  <a:gd name="connsiteY8" fmla="*/ 532648 h 532648"/>
                  <a:gd name="connsiteX9" fmla="*/ 131596 w 162928"/>
                  <a:gd name="connsiteY9" fmla="*/ 532648 h 532648"/>
                  <a:gd name="connsiteX0" fmla="*/ 0 w 162928"/>
                  <a:gd name="connsiteY0" fmla="*/ 0 h 532648"/>
                  <a:gd name="connsiteX1" fmla="*/ 62665 w 162928"/>
                  <a:gd name="connsiteY1" fmla="*/ 50131 h 532648"/>
                  <a:gd name="connsiteX2" fmla="*/ 119063 w 162928"/>
                  <a:gd name="connsiteY2" fmla="*/ 100263 h 532648"/>
                  <a:gd name="connsiteX3" fmla="*/ 131596 w 162928"/>
                  <a:gd name="connsiteY3" fmla="*/ 125329 h 532648"/>
                  <a:gd name="connsiteX4" fmla="*/ 156661 w 162928"/>
                  <a:gd name="connsiteY4" fmla="*/ 181727 h 532648"/>
                  <a:gd name="connsiteX5" fmla="*/ 162928 w 162928"/>
                  <a:gd name="connsiteY5" fmla="*/ 432385 h 532648"/>
                  <a:gd name="connsiteX6" fmla="*/ 156661 w 162928"/>
                  <a:gd name="connsiteY6" fmla="*/ 463717 h 532648"/>
                  <a:gd name="connsiteX7" fmla="*/ 162927 w 162928"/>
                  <a:gd name="connsiteY7" fmla="*/ 488783 h 532648"/>
                  <a:gd name="connsiteX8" fmla="*/ 131596 w 162928"/>
                  <a:gd name="connsiteY8" fmla="*/ 532648 h 532648"/>
                  <a:gd name="connsiteX9" fmla="*/ 131596 w 162928"/>
                  <a:gd name="connsiteY9" fmla="*/ 532648 h 532648"/>
                  <a:gd name="connsiteX0" fmla="*/ 0 w 162928"/>
                  <a:gd name="connsiteY0" fmla="*/ 0 h 532648"/>
                  <a:gd name="connsiteX1" fmla="*/ 67427 w 162928"/>
                  <a:gd name="connsiteY1" fmla="*/ 40552 h 532648"/>
                  <a:gd name="connsiteX2" fmla="*/ 119063 w 162928"/>
                  <a:gd name="connsiteY2" fmla="*/ 100263 h 532648"/>
                  <a:gd name="connsiteX3" fmla="*/ 131596 w 162928"/>
                  <a:gd name="connsiteY3" fmla="*/ 125329 h 532648"/>
                  <a:gd name="connsiteX4" fmla="*/ 156661 w 162928"/>
                  <a:gd name="connsiteY4" fmla="*/ 181727 h 532648"/>
                  <a:gd name="connsiteX5" fmla="*/ 162928 w 162928"/>
                  <a:gd name="connsiteY5" fmla="*/ 432385 h 532648"/>
                  <a:gd name="connsiteX6" fmla="*/ 156661 w 162928"/>
                  <a:gd name="connsiteY6" fmla="*/ 463717 h 532648"/>
                  <a:gd name="connsiteX7" fmla="*/ 162927 w 162928"/>
                  <a:gd name="connsiteY7" fmla="*/ 488783 h 532648"/>
                  <a:gd name="connsiteX8" fmla="*/ 131596 w 162928"/>
                  <a:gd name="connsiteY8" fmla="*/ 532648 h 532648"/>
                  <a:gd name="connsiteX9" fmla="*/ 131596 w 162928"/>
                  <a:gd name="connsiteY9" fmla="*/ 532648 h 532648"/>
                  <a:gd name="connsiteX0" fmla="*/ 0 w 162928"/>
                  <a:gd name="connsiteY0" fmla="*/ 0 h 532648"/>
                  <a:gd name="connsiteX1" fmla="*/ 67427 w 162928"/>
                  <a:gd name="connsiteY1" fmla="*/ 40552 h 532648"/>
                  <a:gd name="connsiteX2" fmla="*/ 109538 w 162928"/>
                  <a:gd name="connsiteY2" fmla="*/ 88290 h 532648"/>
                  <a:gd name="connsiteX3" fmla="*/ 131596 w 162928"/>
                  <a:gd name="connsiteY3" fmla="*/ 125329 h 532648"/>
                  <a:gd name="connsiteX4" fmla="*/ 156661 w 162928"/>
                  <a:gd name="connsiteY4" fmla="*/ 181727 h 532648"/>
                  <a:gd name="connsiteX5" fmla="*/ 162928 w 162928"/>
                  <a:gd name="connsiteY5" fmla="*/ 432385 h 532648"/>
                  <a:gd name="connsiteX6" fmla="*/ 156661 w 162928"/>
                  <a:gd name="connsiteY6" fmla="*/ 463717 h 532648"/>
                  <a:gd name="connsiteX7" fmla="*/ 162927 w 162928"/>
                  <a:gd name="connsiteY7" fmla="*/ 488783 h 532648"/>
                  <a:gd name="connsiteX8" fmla="*/ 131596 w 162928"/>
                  <a:gd name="connsiteY8" fmla="*/ 532648 h 532648"/>
                  <a:gd name="connsiteX9" fmla="*/ 131596 w 162928"/>
                  <a:gd name="connsiteY9" fmla="*/ 532648 h 532648"/>
                  <a:gd name="connsiteX0" fmla="*/ 0 w 162928"/>
                  <a:gd name="connsiteY0" fmla="*/ 0 h 532648"/>
                  <a:gd name="connsiteX1" fmla="*/ 67427 w 162928"/>
                  <a:gd name="connsiteY1" fmla="*/ 40552 h 532648"/>
                  <a:gd name="connsiteX2" fmla="*/ 109538 w 162928"/>
                  <a:gd name="connsiteY2" fmla="*/ 88290 h 532648"/>
                  <a:gd name="connsiteX3" fmla="*/ 141121 w 162928"/>
                  <a:gd name="connsiteY3" fmla="*/ 134908 h 532648"/>
                  <a:gd name="connsiteX4" fmla="*/ 156661 w 162928"/>
                  <a:gd name="connsiteY4" fmla="*/ 181727 h 532648"/>
                  <a:gd name="connsiteX5" fmla="*/ 162928 w 162928"/>
                  <a:gd name="connsiteY5" fmla="*/ 432385 h 532648"/>
                  <a:gd name="connsiteX6" fmla="*/ 156661 w 162928"/>
                  <a:gd name="connsiteY6" fmla="*/ 463717 h 532648"/>
                  <a:gd name="connsiteX7" fmla="*/ 162927 w 162928"/>
                  <a:gd name="connsiteY7" fmla="*/ 488783 h 532648"/>
                  <a:gd name="connsiteX8" fmla="*/ 131596 w 162928"/>
                  <a:gd name="connsiteY8" fmla="*/ 532648 h 532648"/>
                  <a:gd name="connsiteX9" fmla="*/ 131596 w 162928"/>
                  <a:gd name="connsiteY9" fmla="*/ 532648 h 532648"/>
                  <a:gd name="connsiteX0" fmla="*/ 0 w 166186"/>
                  <a:gd name="connsiteY0" fmla="*/ 0 h 532648"/>
                  <a:gd name="connsiteX1" fmla="*/ 67427 w 166186"/>
                  <a:gd name="connsiteY1" fmla="*/ 40552 h 532648"/>
                  <a:gd name="connsiteX2" fmla="*/ 109538 w 166186"/>
                  <a:gd name="connsiteY2" fmla="*/ 88290 h 532648"/>
                  <a:gd name="connsiteX3" fmla="*/ 141121 w 166186"/>
                  <a:gd name="connsiteY3" fmla="*/ 134908 h 532648"/>
                  <a:gd name="connsiteX4" fmla="*/ 156661 w 166186"/>
                  <a:gd name="connsiteY4" fmla="*/ 181727 h 532648"/>
                  <a:gd name="connsiteX5" fmla="*/ 162928 w 166186"/>
                  <a:gd name="connsiteY5" fmla="*/ 432385 h 532648"/>
                  <a:gd name="connsiteX6" fmla="*/ 166186 w 166186"/>
                  <a:gd name="connsiteY6" fmla="*/ 470901 h 532648"/>
                  <a:gd name="connsiteX7" fmla="*/ 162927 w 166186"/>
                  <a:gd name="connsiteY7" fmla="*/ 488783 h 532648"/>
                  <a:gd name="connsiteX8" fmla="*/ 131596 w 166186"/>
                  <a:gd name="connsiteY8" fmla="*/ 532648 h 532648"/>
                  <a:gd name="connsiteX9" fmla="*/ 131596 w 166186"/>
                  <a:gd name="connsiteY9" fmla="*/ 532648 h 532648"/>
                  <a:gd name="connsiteX0" fmla="*/ 0 w 166186"/>
                  <a:gd name="connsiteY0" fmla="*/ 0 h 532648"/>
                  <a:gd name="connsiteX1" fmla="*/ 67427 w 166186"/>
                  <a:gd name="connsiteY1" fmla="*/ 40552 h 532648"/>
                  <a:gd name="connsiteX2" fmla="*/ 109538 w 166186"/>
                  <a:gd name="connsiteY2" fmla="*/ 88290 h 532648"/>
                  <a:gd name="connsiteX3" fmla="*/ 141121 w 166186"/>
                  <a:gd name="connsiteY3" fmla="*/ 134908 h 532648"/>
                  <a:gd name="connsiteX4" fmla="*/ 156661 w 166186"/>
                  <a:gd name="connsiteY4" fmla="*/ 181727 h 532648"/>
                  <a:gd name="connsiteX5" fmla="*/ 162928 w 166186"/>
                  <a:gd name="connsiteY5" fmla="*/ 432385 h 532648"/>
                  <a:gd name="connsiteX6" fmla="*/ 166186 w 166186"/>
                  <a:gd name="connsiteY6" fmla="*/ 470901 h 532648"/>
                  <a:gd name="connsiteX7" fmla="*/ 160546 w 166186"/>
                  <a:gd name="connsiteY7" fmla="*/ 503152 h 532648"/>
                  <a:gd name="connsiteX8" fmla="*/ 131596 w 166186"/>
                  <a:gd name="connsiteY8" fmla="*/ 532648 h 532648"/>
                  <a:gd name="connsiteX9" fmla="*/ 131596 w 166186"/>
                  <a:gd name="connsiteY9" fmla="*/ 532648 h 532648"/>
                  <a:gd name="connsiteX0" fmla="*/ 0 w 166186"/>
                  <a:gd name="connsiteY0" fmla="*/ 0 h 533889"/>
                  <a:gd name="connsiteX1" fmla="*/ 67427 w 166186"/>
                  <a:gd name="connsiteY1" fmla="*/ 40552 h 533889"/>
                  <a:gd name="connsiteX2" fmla="*/ 109538 w 166186"/>
                  <a:gd name="connsiteY2" fmla="*/ 88290 h 533889"/>
                  <a:gd name="connsiteX3" fmla="*/ 141121 w 166186"/>
                  <a:gd name="connsiteY3" fmla="*/ 134908 h 533889"/>
                  <a:gd name="connsiteX4" fmla="*/ 156661 w 166186"/>
                  <a:gd name="connsiteY4" fmla="*/ 181727 h 533889"/>
                  <a:gd name="connsiteX5" fmla="*/ 162928 w 166186"/>
                  <a:gd name="connsiteY5" fmla="*/ 432385 h 533889"/>
                  <a:gd name="connsiteX6" fmla="*/ 166186 w 166186"/>
                  <a:gd name="connsiteY6" fmla="*/ 470901 h 533889"/>
                  <a:gd name="connsiteX7" fmla="*/ 160546 w 166186"/>
                  <a:gd name="connsiteY7" fmla="*/ 503152 h 533889"/>
                  <a:gd name="connsiteX8" fmla="*/ 131596 w 166186"/>
                  <a:gd name="connsiteY8" fmla="*/ 532648 h 533889"/>
                  <a:gd name="connsiteX9" fmla="*/ 122071 w 166186"/>
                  <a:gd name="connsiteY9" fmla="*/ 527858 h 533889"/>
                  <a:gd name="connsiteX0" fmla="*/ 0 w 166186"/>
                  <a:gd name="connsiteY0" fmla="*/ 0 h 533577"/>
                  <a:gd name="connsiteX1" fmla="*/ 67427 w 166186"/>
                  <a:gd name="connsiteY1" fmla="*/ 40552 h 533577"/>
                  <a:gd name="connsiteX2" fmla="*/ 109538 w 166186"/>
                  <a:gd name="connsiteY2" fmla="*/ 88290 h 533577"/>
                  <a:gd name="connsiteX3" fmla="*/ 141121 w 166186"/>
                  <a:gd name="connsiteY3" fmla="*/ 134908 h 533577"/>
                  <a:gd name="connsiteX4" fmla="*/ 156661 w 166186"/>
                  <a:gd name="connsiteY4" fmla="*/ 181727 h 533577"/>
                  <a:gd name="connsiteX5" fmla="*/ 162928 w 166186"/>
                  <a:gd name="connsiteY5" fmla="*/ 432385 h 533577"/>
                  <a:gd name="connsiteX6" fmla="*/ 166186 w 166186"/>
                  <a:gd name="connsiteY6" fmla="*/ 470901 h 533577"/>
                  <a:gd name="connsiteX7" fmla="*/ 153402 w 166186"/>
                  <a:gd name="connsiteY7" fmla="*/ 507942 h 533577"/>
                  <a:gd name="connsiteX8" fmla="*/ 131596 w 166186"/>
                  <a:gd name="connsiteY8" fmla="*/ 532648 h 533577"/>
                  <a:gd name="connsiteX9" fmla="*/ 122071 w 166186"/>
                  <a:gd name="connsiteY9" fmla="*/ 527858 h 533577"/>
                  <a:gd name="connsiteX0" fmla="*/ 0 w 166186"/>
                  <a:gd name="connsiteY0" fmla="*/ 0 h 533577"/>
                  <a:gd name="connsiteX1" fmla="*/ 67427 w 166186"/>
                  <a:gd name="connsiteY1" fmla="*/ 40552 h 533577"/>
                  <a:gd name="connsiteX2" fmla="*/ 109538 w 166186"/>
                  <a:gd name="connsiteY2" fmla="*/ 88290 h 533577"/>
                  <a:gd name="connsiteX3" fmla="*/ 141121 w 166186"/>
                  <a:gd name="connsiteY3" fmla="*/ 134908 h 533577"/>
                  <a:gd name="connsiteX4" fmla="*/ 156661 w 166186"/>
                  <a:gd name="connsiteY4" fmla="*/ 181727 h 533577"/>
                  <a:gd name="connsiteX5" fmla="*/ 162928 w 166186"/>
                  <a:gd name="connsiteY5" fmla="*/ 401675 h 533577"/>
                  <a:gd name="connsiteX6" fmla="*/ 166186 w 166186"/>
                  <a:gd name="connsiteY6" fmla="*/ 470901 h 533577"/>
                  <a:gd name="connsiteX7" fmla="*/ 153402 w 166186"/>
                  <a:gd name="connsiteY7" fmla="*/ 507942 h 533577"/>
                  <a:gd name="connsiteX8" fmla="*/ 131596 w 166186"/>
                  <a:gd name="connsiteY8" fmla="*/ 532648 h 533577"/>
                  <a:gd name="connsiteX9" fmla="*/ 122071 w 166186"/>
                  <a:gd name="connsiteY9" fmla="*/ 527858 h 533577"/>
                  <a:gd name="connsiteX0" fmla="*/ 0 w 168022"/>
                  <a:gd name="connsiteY0" fmla="*/ 0 h 533577"/>
                  <a:gd name="connsiteX1" fmla="*/ 67427 w 168022"/>
                  <a:gd name="connsiteY1" fmla="*/ 40552 h 533577"/>
                  <a:gd name="connsiteX2" fmla="*/ 109538 w 168022"/>
                  <a:gd name="connsiteY2" fmla="*/ 88290 h 533577"/>
                  <a:gd name="connsiteX3" fmla="*/ 141121 w 168022"/>
                  <a:gd name="connsiteY3" fmla="*/ 134908 h 533577"/>
                  <a:gd name="connsiteX4" fmla="*/ 156661 w 168022"/>
                  <a:gd name="connsiteY4" fmla="*/ 181727 h 533577"/>
                  <a:gd name="connsiteX5" fmla="*/ 168022 w 168022"/>
                  <a:gd name="connsiteY5" fmla="*/ 386252 h 533577"/>
                  <a:gd name="connsiteX6" fmla="*/ 166186 w 168022"/>
                  <a:gd name="connsiteY6" fmla="*/ 470901 h 533577"/>
                  <a:gd name="connsiteX7" fmla="*/ 153402 w 168022"/>
                  <a:gd name="connsiteY7" fmla="*/ 507942 h 533577"/>
                  <a:gd name="connsiteX8" fmla="*/ 131596 w 168022"/>
                  <a:gd name="connsiteY8" fmla="*/ 532648 h 533577"/>
                  <a:gd name="connsiteX9" fmla="*/ 122071 w 168022"/>
                  <a:gd name="connsiteY9" fmla="*/ 527858 h 533577"/>
                  <a:gd name="connsiteX0" fmla="*/ 0 w 168022"/>
                  <a:gd name="connsiteY0" fmla="*/ 0 h 533577"/>
                  <a:gd name="connsiteX1" fmla="*/ 67427 w 168022"/>
                  <a:gd name="connsiteY1" fmla="*/ 40552 h 533577"/>
                  <a:gd name="connsiteX2" fmla="*/ 109538 w 168022"/>
                  <a:gd name="connsiteY2" fmla="*/ 88290 h 533577"/>
                  <a:gd name="connsiteX3" fmla="*/ 141121 w 168022"/>
                  <a:gd name="connsiteY3" fmla="*/ 134908 h 533577"/>
                  <a:gd name="connsiteX4" fmla="*/ 156661 w 168022"/>
                  <a:gd name="connsiteY4" fmla="*/ 181727 h 533577"/>
                  <a:gd name="connsiteX5" fmla="*/ 168022 w 168022"/>
                  <a:gd name="connsiteY5" fmla="*/ 386252 h 533577"/>
                  <a:gd name="connsiteX6" fmla="*/ 166186 w 168022"/>
                  <a:gd name="connsiteY6" fmla="*/ 445269 h 533577"/>
                  <a:gd name="connsiteX7" fmla="*/ 153402 w 168022"/>
                  <a:gd name="connsiteY7" fmla="*/ 507942 h 533577"/>
                  <a:gd name="connsiteX8" fmla="*/ 131596 w 168022"/>
                  <a:gd name="connsiteY8" fmla="*/ 532648 h 533577"/>
                  <a:gd name="connsiteX9" fmla="*/ 122071 w 168022"/>
                  <a:gd name="connsiteY9" fmla="*/ 527858 h 533577"/>
                  <a:gd name="connsiteX0" fmla="*/ 0 w 166186"/>
                  <a:gd name="connsiteY0" fmla="*/ 0 h 533577"/>
                  <a:gd name="connsiteX1" fmla="*/ 67427 w 166186"/>
                  <a:gd name="connsiteY1" fmla="*/ 40552 h 533577"/>
                  <a:gd name="connsiteX2" fmla="*/ 109538 w 166186"/>
                  <a:gd name="connsiteY2" fmla="*/ 88290 h 533577"/>
                  <a:gd name="connsiteX3" fmla="*/ 141121 w 166186"/>
                  <a:gd name="connsiteY3" fmla="*/ 134908 h 533577"/>
                  <a:gd name="connsiteX4" fmla="*/ 156661 w 166186"/>
                  <a:gd name="connsiteY4" fmla="*/ 181727 h 533577"/>
                  <a:gd name="connsiteX5" fmla="*/ 152741 w 166186"/>
                  <a:gd name="connsiteY5" fmla="*/ 391202 h 533577"/>
                  <a:gd name="connsiteX6" fmla="*/ 166186 w 166186"/>
                  <a:gd name="connsiteY6" fmla="*/ 445269 h 533577"/>
                  <a:gd name="connsiteX7" fmla="*/ 153402 w 166186"/>
                  <a:gd name="connsiteY7" fmla="*/ 507942 h 533577"/>
                  <a:gd name="connsiteX8" fmla="*/ 131596 w 166186"/>
                  <a:gd name="connsiteY8" fmla="*/ 532648 h 533577"/>
                  <a:gd name="connsiteX9" fmla="*/ 122071 w 166186"/>
                  <a:gd name="connsiteY9" fmla="*/ 527858 h 533577"/>
                  <a:gd name="connsiteX0" fmla="*/ 0 w 166186"/>
                  <a:gd name="connsiteY0" fmla="*/ 0 h 533577"/>
                  <a:gd name="connsiteX1" fmla="*/ 67427 w 166186"/>
                  <a:gd name="connsiteY1" fmla="*/ 40552 h 533577"/>
                  <a:gd name="connsiteX2" fmla="*/ 109538 w 166186"/>
                  <a:gd name="connsiteY2" fmla="*/ 88290 h 533577"/>
                  <a:gd name="connsiteX3" fmla="*/ 141121 w 166186"/>
                  <a:gd name="connsiteY3" fmla="*/ 134908 h 533577"/>
                  <a:gd name="connsiteX4" fmla="*/ 156661 w 166186"/>
                  <a:gd name="connsiteY4" fmla="*/ 181727 h 533577"/>
                  <a:gd name="connsiteX5" fmla="*/ 161052 w 166186"/>
                  <a:gd name="connsiteY5" fmla="*/ 351362 h 533577"/>
                  <a:gd name="connsiteX6" fmla="*/ 152741 w 166186"/>
                  <a:gd name="connsiteY6" fmla="*/ 391202 h 533577"/>
                  <a:gd name="connsiteX7" fmla="*/ 166186 w 166186"/>
                  <a:gd name="connsiteY7" fmla="*/ 445269 h 533577"/>
                  <a:gd name="connsiteX8" fmla="*/ 153402 w 166186"/>
                  <a:gd name="connsiteY8" fmla="*/ 507942 h 533577"/>
                  <a:gd name="connsiteX9" fmla="*/ 131596 w 166186"/>
                  <a:gd name="connsiteY9" fmla="*/ 532648 h 533577"/>
                  <a:gd name="connsiteX10" fmla="*/ 122071 w 166186"/>
                  <a:gd name="connsiteY10" fmla="*/ 527858 h 533577"/>
                  <a:gd name="connsiteX0" fmla="*/ 0 w 166186"/>
                  <a:gd name="connsiteY0" fmla="*/ 0 h 533589"/>
                  <a:gd name="connsiteX1" fmla="*/ 67427 w 166186"/>
                  <a:gd name="connsiteY1" fmla="*/ 40552 h 533589"/>
                  <a:gd name="connsiteX2" fmla="*/ 109538 w 166186"/>
                  <a:gd name="connsiteY2" fmla="*/ 88290 h 533589"/>
                  <a:gd name="connsiteX3" fmla="*/ 141121 w 166186"/>
                  <a:gd name="connsiteY3" fmla="*/ 134908 h 533589"/>
                  <a:gd name="connsiteX4" fmla="*/ 156661 w 166186"/>
                  <a:gd name="connsiteY4" fmla="*/ 181727 h 533589"/>
                  <a:gd name="connsiteX5" fmla="*/ 161052 w 166186"/>
                  <a:gd name="connsiteY5" fmla="*/ 351362 h 533589"/>
                  <a:gd name="connsiteX6" fmla="*/ 152741 w 166186"/>
                  <a:gd name="connsiteY6" fmla="*/ 391202 h 533589"/>
                  <a:gd name="connsiteX7" fmla="*/ 166186 w 166186"/>
                  <a:gd name="connsiteY7" fmla="*/ 445269 h 533589"/>
                  <a:gd name="connsiteX8" fmla="*/ 138121 w 166186"/>
                  <a:gd name="connsiteY8" fmla="*/ 507755 h 533589"/>
                  <a:gd name="connsiteX9" fmla="*/ 131596 w 166186"/>
                  <a:gd name="connsiteY9" fmla="*/ 532648 h 533589"/>
                  <a:gd name="connsiteX10" fmla="*/ 122071 w 166186"/>
                  <a:gd name="connsiteY10" fmla="*/ 527858 h 533589"/>
                  <a:gd name="connsiteX0" fmla="*/ 0 w 166186"/>
                  <a:gd name="connsiteY0" fmla="*/ 0 h 538415"/>
                  <a:gd name="connsiteX1" fmla="*/ 67427 w 166186"/>
                  <a:gd name="connsiteY1" fmla="*/ 40552 h 538415"/>
                  <a:gd name="connsiteX2" fmla="*/ 109538 w 166186"/>
                  <a:gd name="connsiteY2" fmla="*/ 88290 h 538415"/>
                  <a:gd name="connsiteX3" fmla="*/ 141121 w 166186"/>
                  <a:gd name="connsiteY3" fmla="*/ 134908 h 538415"/>
                  <a:gd name="connsiteX4" fmla="*/ 156661 w 166186"/>
                  <a:gd name="connsiteY4" fmla="*/ 181727 h 538415"/>
                  <a:gd name="connsiteX5" fmla="*/ 161052 w 166186"/>
                  <a:gd name="connsiteY5" fmla="*/ 351362 h 538415"/>
                  <a:gd name="connsiteX6" fmla="*/ 152741 w 166186"/>
                  <a:gd name="connsiteY6" fmla="*/ 391202 h 538415"/>
                  <a:gd name="connsiteX7" fmla="*/ 166186 w 166186"/>
                  <a:gd name="connsiteY7" fmla="*/ 445269 h 538415"/>
                  <a:gd name="connsiteX8" fmla="*/ 138121 w 166186"/>
                  <a:gd name="connsiteY8" fmla="*/ 507755 h 538415"/>
                  <a:gd name="connsiteX9" fmla="*/ 131596 w 166186"/>
                  <a:gd name="connsiteY9" fmla="*/ 532648 h 538415"/>
                  <a:gd name="connsiteX10" fmla="*/ 91510 w 166186"/>
                  <a:gd name="connsiteY10" fmla="*/ 537847 h 538415"/>
                  <a:gd name="connsiteX0" fmla="*/ 0 w 161133"/>
                  <a:gd name="connsiteY0" fmla="*/ 0 h 538415"/>
                  <a:gd name="connsiteX1" fmla="*/ 67427 w 161133"/>
                  <a:gd name="connsiteY1" fmla="*/ 40552 h 538415"/>
                  <a:gd name="connsiteX2" fmla="*/ 109538 w 161133"/>
                  <a:gd name="connsiteY2" fmla="*/ 88290 h 538415"/>
                  <a:gd name="connsiteX3" fmla="*/ 141121 w 161133"/>
                  <a:gd name="connsiteY3" fmla="*/ 134908 h 538415"/>
                  <a:gd name="connsiteX4" fmla="*/ 156661 w 161133"/>
                  <a:gd name="connsiteY4" fmla="*/ 181727 h 538415"/>
                  <a:gd name="connsiteX5" fmla="*/ 161052 w 161133"/>
                  <a:gd name="connsiteY5" fmla="*/ 351362 h 538415"/>
                  <a:gd name="connsiteX6" fmla="*/ 152741 w 161133"/>
                  <a:gd name="connsiteY6" fmla="*/ 391202 h 538415"/>
                  <a:gd name="connsiteX7" fmla="*/ 145812 w 161133"/>
                  <a:gd name="connsiteY7" fmla="*/ 445105 h 538415"/>
                  <a:gd name="connsiteX8" fmla="*/ 138121 w 161133"/>
                  <a:gd name="connsiteY8" fmla="*/ 507755 h 538415"/>
                  <a:gd name="connsiteX9" fmla="*/ 131596 w 161133"/>
                  <a:gd name="connsiteY9" fmla="*/ 532648 h 538415"/>
                  <a:gd name="connsiteX10" fmla="*/ 91510 w 161133"/>
                  <a:gd name="connsiteY10" fmla="*/ 537847 h 538415"/>
                  <a:gd name="connsiteX0" fmla="*/ 0 w 161133"/>
                  <a:gd name="connsiteY0" fmla="*/ 0 h 538415"/>
                  <a:gd name="connsiteX1" fmla="*/ 67427 w 161133"/>
                  <a:gd name="connsiteY1" fmla="*/ 40552 h 538415"/>
                  <a:gd name="connsiteX2" fmla="*/ 109538 w 161133"/>
                  <a:gd name="connsiteY2" fmla="*/ 88290 h 538415"/>
                  <a:gd name="connsiteX3" fmla="*/ 141121 w 161133"/>
                  <a:gd name="connsiteY3" fmla="*/ 134908 h 538415"/>
                  <a:gd name="connsiteX4" fmla="*/ 156661 w 161133"/>
                  <a:gd name="connsiteY4" fmla="*/ 181727 h 538415"/>
                  <a:gd name="connsiteX5" fmla="*/ 161052 w 161133"/>
                  <a:gd name="connsiteY5" fmla="*/ 351362 h 538415"/>
                  <a:gd name="connsiteX6" fmla="*/ 152741 w 161133"/>
                  <a:gd name="connsiteY6" fmla="*/ 391202 h 538415"/>
                  <a:gd name="connsiteX7" fmla="*/ 161092 w 161133"/>
                  <a:gd name="connsiteY7" fmla="*/ 465308 h 538415"/>
                  <a:gd name="connsiteX8" fmla="*/ 138121 w 161133"/>
                  <a:gd name="connsiteY8" fmla="*/ 507755 h 538415"/>
                  <a:gd name="connsiteX9" fmla="*/ 131596 w 161133"/>
                  <a:gd name="connsiteY9" fmla="*/ 532648 h 538415"/>
                  <a:gd name="connsiteX10" fmla="*/ 91510 w 161133"/>
                  <a:gd name="connsiteY10" fmla="*/ 537847 h 538415"/>
                  <a:gd name="connsiteX0" fmla="*/ 0 w 166186"/>
                  <a:gd name="connsiteY0" fmla="*/ 0 h 538415"/>
                  <a:gd name="connsiteX1" fmla="*/ 67427 w 166186"/>
                  <a:gd name="connsiteY1" fmla="*/ 40552 h 538415"/>
                  <a:gd name="connsiteX2" fmla="*/ 109538 w 166186"/>
                  <a:gd name="connsiteY2" fmla="*/ 88290 h 538415"/>
                  <a:gd name="connsiteX3" fmla="*/ 141121 w 166186"/>
                  <a:gd name="connsiteY3" fmla="*/ 134908 h 538415"/>
                  <a:gd name="connsiteX4" fmla="*/ 156661 w 166186"/>
                  <a:gd name="connsiteY4" fmla="*/ 181727 h 538415"/>
                  <a:gd name="connsiteX5" fmla="*/ 161052 w 166186"/>
                  <a:gd name="connsiteY5" fmla="*/ 351362 h 538415"/>
                  <a:gd name="connsiteX6" fmla="*/ 152741 w 166186"/>
                  <a:gd name="connsiteY6" fmla="*/ 391202 h 538415"/>
                  <a:gd name="connsiteX7" fmla="*/ 166186 w 166186"/>
                  <a:gd name="connsiteY7" fmla="*/ 434586 h 538415"/>
                  <a:gd name="connsiteX8" fmla="*/ 138121 w 166186"/>
                  <a:gd name="connsiteY8" fmla="*/ 507755 h 538415"/>
                  <a:gd name="connsiteX9" fmla="*/ 131596 w 166186"/>
                  <a:gd name="connsiteY9" fmla="*/ 532648 h 538415"/>
                  <a:gd name="connsiteX10" fmla="*/ 91510 w 166186"/>
                  <a:gd name="connsiteY10" fmla="*/ 537847 h 538415"/>
                  <a:gd name="connsiteX0" fmla="*/ 0 w 168021"/>
                  <a:gd name="connsiteY0" fmla="*/ 0 h 538415"/>
                  <a:gd name="connsiteX1" fmla="*/ 67427 w 168021"/>
                  <a:gd name="connsiteY1" fmla="*/ 40552 h 538415"/>
                  <a:gd name="connsiteX2" fmla="*/ 109538 w 168021"/>
                  <a:gd name="connsiteY2" fmla="*/ 88290 h 538415"/>
                  <a:gd name="connsiteX3" fmla="*/ 141121 w 168021"/>
                  <a:gd name="connsiteY3" fmla="*/ 134908 h 538415"/>
                  <a:gd name="connsiteX4" fmla="*/ 156661 w 168021"/>
                  <a:gd name="connsiteY4" fmla="*/ 181727 h 538415"/>
                  <a:gd name="connsiteX5" fmla="*/ 161052 w 168021"/>
                  <a:gd name="connsiteY5" fmla="*/ 351362 h 538415"/>
                  <a:gd name="connsiteX6" fmla="*/ 168021 w 168021"/>
                  <a:gd name="connsiteY6" fmla="*/ 391058 h 538415"/>
                  <a:gd name="connsiteX7" fmla="*/ 166186 w 168021"/>
                  <a:gd name="connsiteY7" fmla="*/ 434586 h 538415"/>
                  <a:gd name="connsiteX8" fmla="*/ 138121 w 168021"/>
                  <a:gd name="connsiteY8" fmla="*/ 507755 h 538415"/>
                  <a:gd name="connsiteX9" fmla="*/ 131596 w 168021"/>
                  <a:gd name="connsiteY9" fmla="*/ 532648 h 538415"/>
                  <a:gd name="connsiteX10" fmla="*/ 91510 w 168021"/>
                  <a:gd name="connsiteY10" fmla="*/ 537847 h 538415"/>
                  <a:gd name="connsiteX0" fmla="*/ 0 w 168021"/>
                  <a:gd name="connsiteY0" fmla="*/ 0 h 537990"/>
                  <a:gd name="connsiteX1" fmla="*/ 67427 w 168021"/>
                  <a:gd name="connsiteY1" fmla="*/ 40552 h 537990"/>
                  <a:gd name="connsiteX2" fmla="*/ 109538 w 168021"/>
                  <a:gd name="connsiteY2" fmla="*/ 88290 h 537990"/>
                  <a:gd name="connsiteX3" fmla="*/ 141121 w 168021"/>
                  <a:gd name="connsiteY3" fmla="*/ 134908 h 537990"/>
                  <a:gd name="connsiteX4" fmla="*/ 156661 w 168021"/>
                  <a:gd name="connsiteY4" fmla="*/ 181727 h 537990"/>
                  <a:gd name="connsiteX5" fmla="*/ 161052 w 168021"/>
                  <a:gd name="connsiteY5" fmla="*/ 351362 h 537990"/>
                  <a:gd name="connsiteX6" fmla="*/ 168021 w 168021"/>
                  <a:gd name="connsiteY6" fmla="*/ 391058 h 537990"/>
                  <a:gd name="connsiteX7" fmla="*/ 166186 w 168021"/>
                  <a:gd name="connsiteY7" fmla="*/ 434586 h 537990"/>
                  <a:gd name="connsiteX8" fmla="*/ 138121 w 168021"/>
                  <a:gd name="connsiteY8" fmla="*/ 507755 h 537990"/>
                  <a:gd name="connsiteX9" fmla="*/ 111222 w 168021"/>
                  <a:gd name="connsiteY9" fmla="*/ 522269 h 537990"/>
                  <a:gd name="connsiteX10" fmla="*/ 91510 w 168021"/>
                  <a:gd name="connsiteY10" fmla="*/ 537847 h 537990"/>
                  <a:gd name="connsiteX0" fmla="*/ 0 w 166204"/>
                  <a:gd name="connsiteY0" fmla="*/ 0 h 537990"/>
                  <a:gd name="connsiteX1" fmla="*/ 67427 w 166204"/>
                  <a:gd name="connsiteY1" fmla="*/ 40552 h 537990"/>
                  <a:gd name="connsiteX2" fmla="*/ 109538 w 166204"/>
                  <a:gd name="connsiteY2" fmla="*/ 88290 h 537990"/>
                  <a:gd name="connsiteX3" fmla="*/ 141121 w 166204"/>
                  <a:gd name="connsiteY3" fmla="*/ 134908 h 537990"/>
                  <a:gd name="connsiteX4" fmla="*/ 156661 w 166204"/>
                  <a:gd name="connsiteY4" fmla="*/ 181727 h 537990"/>
                  <a:gd name="connsiteX5" fmla="*/ 161052 w 166204"/>
                  <a:gd name="connsiteY5" fmla="*/ 351362 h 537990"/>
                  <a:gd name="connsiteX6" fmla="*/ 152740 w 166204"/>
                  <a:gd name="connsiteY6" fmla="*/ 390914 h 537990"/>
                  <a:gd name="connsiteX7" fmla="*/ 166186 w 166204"/>
                  <a:gd name="connsiteY7" fmla="*/ 434586 h 537990"/>
                  <a:gd name="connsiteX8" fmla="*/ 138121 w 166204"/>
                  <a:gd name="connsiteY8" fmla="*/ 507755 h 537990"/>
                  <a:gd name="connsiteX9" fmla="*/ 111222 w 166204"/>
                  <a:gd name="connsiteY9" fmla="*/ 522269 h 537990"/>
                  <a:gd name="connsiteX10" fmla="*/ 91510 w 166204"/>
                  <a:gd name="connsiteY10" fmla="*/ 537847 h 537990"/>
                  <a:gd name="connsiteX0" fmla="*/ 0 w 161133"/>
                  <a:gd name="connsiteY0" fmla="*/ 0 h 537990"/>
                  <a:gd name="connsiteX1" fmla="*/ 67427 w 161133"/>
                  <a:gd name="connsiteY1" fmla="*/ 40552 h 537990"/>
                  <a:gd name="connsiteX2" fmla="*/ 109538 w 161133"/>
                  <a:gd name="connsiteY2" fmla="*/ 88290 h 537990"/>
                  <a:gd name="connsiteX3" fmla="*/ 141121 w 161133"/>
                  <a:gd name="connsiteY3" fmla="*/ 134908 h 537990"/>
                  <a:gd name="connsiteX4" fmla="*/ 156661 w 161133"/>
                  <a:gd name="connsiteY4" fmla="*/ 181727 h 537990"/>
                  <a:gd name="connsiteX5" fmla="*/ 161052 w 161133"/>
                  <a:gd name="connsiteY5" fmla="*/ 351362 h 537990"/>
                  <a:gd name="connsiteX6" fmla="*/ 152740 w 161133"/>
                  <a:gd name="connsiteY6" fmla="*/ 390914 h 537990"/>
                  <a:gd name="connsiteX7" fmla="*/ 161092 w 161133"/>
                  <a:gd name="connsiteY7" fmla="*/ 449701 h 537990"/>
                  <a:gd name="connsiteX8" fmla="*/ 138121 w 161133"/>
                  <a:gd name="connsiteY8" fmla="*/ 507755 h 537990"/>
                  <a:gd name="connsiteX9" fmla="*/ 111222 w 161133"/>
                  <a:gd name="connsiteY9" fmla="*/ 522269 h 537990"/>
                  <a:gd name="connsiteX10" fmla="*/ 91510 w 161133"/>
                  <a:gd name="connsiteY10" fmla="*/ 537847 h 537990"/>
                  <a:gd name="connsiteX0" fmla="*/ 0 w 168021"/>
                  <a:gd name="connsiteY0" fmla="*/ 0 h 537990"/>
                  <a:gd name="connsiteX1" fmla="*/ 67427 w 168021"/>
                  <a:gd name="connsiteY1" fmla="*/ 40552 h 537990"/>
                  <a:gd name="connsiteX2" fmla="*/ 109538 w 168021"/>
                  <a:gd name="connsiteY2" fmla="*/ 88290 h 537990"/>
                  <a:gd name="connsiteX3" fmla="*/ 141121 w 168021"/>
                  <a:gd name="connsiteY3" fmla="*/ 134908 h 537990"/>
                  <a:gd name="connsiteX4" fmla="*/ 156661 w 168021"/>
                  <a:gd name="connsiteY4" fmla="*/ 181727 h 537990"/>
                  <a:gd name="connsiteX5" fmla="*/ 161052 w 168021"/>
                  <a:gd name="connsiteY5" fmla="*/ 351362 h 537990"/>
                  <a:gd name="connsiteX6" fmla="*/ 168021 w 168021"/>
                  <a:gd name="connsiteY6" fmla="*/ 400953 h 537990"/>
                  <a:gd name="connsiteX7" fmla="*/ 161092 w 168021"/>
                  <a:gd name="connsiteY7" fmla="*/ 449701 h 537990"/>
                  <a:gd name="connsiteX8" fmla="*/ 138121 w 168021"/>
                  <a:gd name="connsiteY8" fmla="*/ 507755 h 537990"/>
                  <a:gd name="connsiteX9" fmla="*/ 111222 w 168021"/>
                  <a:gd name="connsiteY9" fmla="*/ 522269 h 537990"/>
                  <a:gd name="connsiteX10" fmla="*/ 91510 w 168021"/>
                  <a:gd name="connsiteY10" fmla="*/ 537847 h 537990"/>
                  <a:gd name="connsiteX0" fmla="*/ 0 w 168021"/>
                  <a:gd name="connsiteY0" fmla="*/ 0 h 537990"/>
                  <a:gd name="connsiteX1" fmla="*/ 67427 w 168021"/>
                  <a:gd name="connsiteY1" fmla="*/ 40552 h 537990"/>
                  <a:gd name="connsiteX2" fmla="*/ 109538 w 168021"/>
                  <a:gd name="connsiteY2" fmla="*/ 88290 h 537990"/>
                  <a:gd name="connsiteX3" fmla="*/ 141121 w 168021"/>
                  <a:gd name="connsiteY3" fmla="*/ 134908 h 537990"/>
                  <a:gd name="connsiteX4" fmla="*/ 156661 w 168021"/>
                  <a:gd name="connsiteY4" fmla="*/ 181727 h 537990"/>
                  <a:gd name="connsiteX5" fmla="*/ 161052 w 168021"/>
                  <a:gd name="connsiteY5" fmla="*/ 351362 h 537990"/>
                  <a:gd name="connsiteX6" fmla="*/ 168021 w 168021"/>
                  <a:gd name="connsiteY6" fmla="*/ 400953 h 537990"/>
                  <a:gd name="connsiteX7" fmla="*/ 161092 w 168021"/>
                  <a:gd name="connsiteY7" fmla="*/ 454627 h 537990"/>
                  <a:gd name="connsiteX8" fmla="*/ 138121 w 168021"/>
                  <a:gd name="connsiteY8" fmla="*/ 507755 h 537990"/>
                  <a:gd name="connsiteX9" fmla="*/ 111222 w 168021"/>
                  <a:gd name="connsiteY9" fmla="*/ 522269 h 537990"/>
                  <a:gd name="connsiteX10" fmla="*/ 91510 w 168021"/>
                  <a:gd name="connsiteY10" fmla="*/ 537847 h 537990"/>
                  <a:gd name="connsiteX0" fmla="*/ 0 w 161149"/>
                  <a:gd name="connsiteY0" fmla="*/ 0 h 537990"/>
                  <a:gd name="connsiteX1" fmla="*/ 67427 w 161149"/>
                  <a:gd name="connsiteY1" fmla="*/ 40552 h 537990"/>
                  <a:gd name="connsiteX2" fmla="*/ 109538 w 161149"/>
                  <a:gd name="connsiteY2" fmla="*/ 88290 h 537990"/>
                  <a:gd name="connsiteX3" fmla="*/ 141121 w 161149"/>
                  <a:gd name="connsiteY3" fmla="*/ 134908 h 537990"/>
                  <a:gd name="connsiteX4" fmla="*/ 156661 w 161149"/>
                  <a:gd name="connsiteY4" fmla="*/ 181727 h 537990"/>
                  <a:gd name="connsiteX5" fmla="*/ 161052 w 161149"/>
                  <a:gd name="connsiteY5" fmla="*/ 351362 h 537990"/>
                  <a:gd name="connsiteX6" fmla="*/ 157834 w 161149"/>
                  <a:gd name="connsiteY6" fmla="*/ 405897 h 537990"/>
                  <a:gd name="connsiteX7" fmla="*/ 161092 w 161149"/>
                  <a:gd name="connsiteY7" fmla="*/ 454627 h 537990"/>
                  <a:gd name="connsiteX8" fmla="*/ 138121 w 161149"/>
                  <a:gd name="connsiteY8" fmla="*/ 507755 h 537990"/>
                  <a:gd name="connsiteX9" fmla="*/ 111222 w 161149"/>
                  <a:gd name="connsiteY9" fmla="*/ 522269 h 537990"/>
                  <a:gd name="connsiteX10" fmla="*/ 91510 w 161149"/>
                  <a:gd name="connsiteY10" fmla="*/ 537847 h 5379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61149" h="537990">
                    <a:moveTo>
                      <a:pt x="0" y="0"/>
                    </a:moveTo>
                    <a:lnTo>
                      <a:pt x="67427" y="40552"/>
                    </a:lnTo>
                    <a:lnTo>
                      <a:pt x="109538" y="88290"/>
                    </a:lnTo>
                    <a:lnTo>
                      <a:pt x="141121" y="134908"/>
                    </a:lnTo>
                    <a:lnTo>
                      <a:pt x="156661" y="181727"/>
                    </a:lnTo>
                    <a:cubicBezTo>
                      <a:pt x="158285" y="217803"/>
                      <a:pt x="161705" y="316450"/>
                      <a:pt x="161052" y="351362"/>
                    </a:cubicBezTo>
                    <a:cubicBezTo>
                      <a:pt x="160399" y="386274"/>
                      <a:pt x="155281" y="390246"/>
                      <a:pt x="157834" y="405897"/>
                    </a:cubicBezTo>
                    <a:cubicBezTo>
                      <a:pt x="157222" y="420406"/>
                      <a:pt x="161704" y="440118"/>
                      <a:pt x="161092" y="454627"/>
                    </a:cubicBezTo>
                    <a:lnTo>
                      <a:pt x="138121" y="507755"/>
                    </a:lnTo>
                    <a:cubicBezTo>
                      <a:pt x="128471" y="517587"/>
                      <a:pt x="118990" y="517254"/>
                      <a:pt x="111222" y="522269"/>
                    </a:cubicBezTo>
                    <a:cubicBezTo>
                      <a:pt x="103454" y="527284"/>
                      <a:pt x="94685" y="539444"/>
                      <a:pt x="91510" y="537847"/>
                    </a:cubicBez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sp macro="" textlink="">
            <xdr:nvSpPr>
              <xdr:cNvPr id="10" name="Freeform 9"/>
              <xdr:cNvSpPr/>
            </xdr:nvSpPr>
            <xdr:spPr>
              <a:xfrm>
                <a:off x="1876425" y="16533019"/>
                <a:ext cx="450056" cy="452437"/>
              </a:xfrm>
              <a:custGeom>
                <a:avLst/>
                <a:gdLst>
                  <a:gd name="connsiteX0" fmla="*/ 447675 w 450056"/>
                  <a:gd name="connsiteY0" fmla="*/ 452437 h 452437"/>
                  <a:gd name="connsiteX1" fmla="*/ 450056 w 450056"/>
                  <a:gd name="connsiteY1" fmla="*/ 0 h 452437"/>
                  <a:gd name="connsiteX2" fmla="*/ 0 w 450056"/>
                  <a:gd name="connsiteY2" fmla="*/ 250031 h 452437"/>
                  <a:gd name="connsiteX3" fmla="*/ 23813 w 450056"/>
                  <a:gd name="connsiteY3" fmla="*/ 245269 h 452437"/>
                  <a:gd name="connsiteX4" fmla="*/ 57150 w 450056"/>
                  <a:gd name="connsiteY4" fmla="*/ 250031 h 452437"/>
                  <a:gd name="connsiteX5" fmla="*/ 92869 w 450056"/>
                  <a:gd name="connsiteY5" fmla="*/ 261937 h 452437"/>
                  <a:gd name="connsiteX6" fmla="*/ 447675 w 450056"/>
                  <a:gd name="connsiteY6" fmla="*/ 452437 h 4524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50056" h="452437">
                    <a:moveTo>
                      <a:pt x="447675" y="452437"/>
                    </a:moveTo>
                    <a:cubicBezTo>
                      <a:pt x="448469" y="301625"/>
                      <a:pt x="449262" y="150812"/>
                      <a:pt x="450056" y="0"/>
                    </a:cubicBezTo>
                    <a:lnTo>
                      <a:pt x="0" y="250031"/>
                    </a:lnTo>
                    <a:lnTo>
                      <a:pt x="23813" y="245269"/>
                    </a:lnTo>
                    <a:lnTo>
                      <a:pt x="57150" y="250031"/>
                    </a:lnTo>
                    <a:lnTo>
                      <a:pt x="92869" y="261937"/>
                    </a:lnTo>
                    <a:lnTo>
                      <a:pt x="447675" y="452437"/>
                    </a:lnTo>
                    <a:close/>
                  </a:path>
                </a:pathLst>
              </a:custGeom>
              <a:solidFill>
                <a:srgbClr val="CC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xnSp macro="">
          <xdr:nvCxnSpPr>
            <xdr:cNvPr id="813299" name="Straight Connector 813298"/>
            <xdr:cNvCxnSpPr/>
          </xdr:nvCxnSpPr>
          <xdr:spPr>
            <a:xfrm>
              <a:off x="4600575" y="15706725"/>
              <a:ext cx="4933950" cy="2705100"/>
            </a:xfrm>
            <a:prstGeom prst="line">
              <a:avLst/>
            </a:prstGeom>
            <a:ln w="28575">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813307" name="Straight Arrow Connector 813306"/>
            <xdr:cNvCxnSpPr/>
          </xdr:nvCxnSpPr>
          <xdr:spPr>
            <a:xfrm>
              <a:off x="4610100" y="15716250"/>
              <a:ext cx="0" cy="323850"/>
            </a:xfrm>
            <a:prstGeom prst="straightConnector1">
              <a:avLst/>
            </a:prstGeom>
            <a:ln w="28575">
              <a:solidFill>
                <a:schemeClr val="tx1"/>
              </a:solidFill>
              <a:prstDash val="solid"/>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646" name="Straight Arrow Connector 645"/>
            <xdr:cNvCxnSpPr/>
          </xdr:nvCxnSpPr>
          <xdr:spPr>
            <a:xfrm>
              <a:off x="9544050" y="18411825"/>
              <a:ext cx="0" cy="323850"/>
            </a:xfrm>
            <a:prstGeom prst="straightConnector1">
              <a:avLst/>
            </a:prstGeom>
            <a:ln w="28575">
              <a:solidFill>
                <a:schemeClr val="tx1"/>
              </a:solidFill>
              <a:prstDash val="solid"/>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813310" name="TextBox 813309"/>
            <xdr:cNvSpPr txBox="1"/>
          </xdr:nvSpPr>
          <xdr:spPr>
            <a:xfrm>
              <a:off x="4391025" y="15982950"/>
              <a:ext cx="4191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t>A</a:t>
              </a:r>
            </a:p>
          </xdr:txBody>
        </xdr:sp>
        <xdr:sp macro="" textlink="">
          <xdr:nvSpPr>
            <xdr:cNvPr id="648" name="TextBox 647"/>
            <xdr:cNvSpPr txBox="1"/>
          </xdr:nvSpPr>
          <xdr:spPr>
            <a:xfrm>
              <a:off x="9344025" y="18697575"/>
              <a:ext cx="4191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t>A</a:t>
              </a:r>
            </a:p>
          </xdr:txBody>
        </xdr:sp>
      </xdr:grpSp>
      <xdr:grpSp>
        <xdr:nvGrpSpPr>
          <xdr:cNvPr id="3" name="Group 2"/>
          <xdr:cNvGrpSpPr/>
        </xdr:nvGrpSpPr>
        <xdr:grpSpPr>
          <a:xfrm>
            <a:off x="1266825" y="18002250"/>
            <a:ext cx="5731670" cy="4010025"/>
            <a:chOff x="3952875" y="17268825"/>
            <a:chExt cx="5731670" cy="4010025"/>
          </a:xfrm>
        </xdr:grpSpPr>
        <xdr:sp macro="" textlink="">
          <xdr:nvSpPr>
            <xdr:cNvPr id="8" name="Rounded Rectangle 7"/>
            <xdr:cNvSpPr/>
          </xdr:nvSpPr>
          <xdr:spPr>
            <a:xfrm>
              <a:off x="4772025" y="20250150"/>
              <a:ext cx="771525" cy="47625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4" name="Rounded Rectangle 523"/>
            <xdr:cNvSpPr/>
          </xdr:nvSpPr>
          <xdr:spPr>
            <a:xfrm>
              <a:off x="7905750" y="18592800"/>
              <a:ext cx="771525" cy="51435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Rounded Rectangle 5"/>
            <xdr:cNvSpPr/>
          </xdr:nvSpPr>
          <xdr:spPr>
            <a:xfrm>
              <a:off x="5048250" y="18592800"/>
              <a:ext cx="3286125" cy="213360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400" name="Rounded Rectangle 12399"/>
            <xdr:cNvSpPr/>
          </xdr:nvSpPr>
          <xdr:spPr>
            <a:xfrm>
              <a:off x="5210175" y="18764250"/>
              <a:ext cx="2981325" cy="1819275"/>
            </a:xfrm>
            <a:prstGeom prst="roundRect">
              <a:avLst>
                <a:gd name="adj" fmla="val 1195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438" name="Rectangle 12437"/>
            <xdr:cNvSpPr/>
          </xdr:nvSpPr>
          <xdr:spPr>
            <a:xfrm>
              <a:off x="7972425" y="18948040"/>
              <a:ext cx="216693" cy="1422471"/>
            </a:xfrm>
            <a:prstGeom prst="rect">
              <a:avLst/>
            </a:prstGeom>
            <a:solidFill>
              <a:schemeClr val="accent1">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7699" name="Text Box 1507"/>
            <xdr:cNvSpPr txBox="1">
              <a:spLocks noChangeArrowheads="1"/>
            </xdr:cNvSpPr>
          </xdr:nvSpPr>
          <xdr:spPr bwMode="auto">
            <a:xfrm>
              <a:off x="5553075" y="20888325"/>
              <a:ext cx="1971675" cy="390525"/>
            </a:xfrm>
            <a:prstGeom prst="rect">
              <a:avLst/>
            </a:prstGeom>
            <a:solidFill>
              <a:srgbClr val="FFFFFF"/>
            </a:solidFill>
            <a:ln>
              <a:noFill/>
            </a:ln>
            <a:extLst/>
          </xdr:spPr>
          <xdr:txBody>
            <a:bodyPr vertOverflow="clip" wrap="square" lIns="45720" tIns="41148" rIns="45720" bIns="0" anchor="t" upright="1"/>
            <a:lstStyle/>
            <a:p>
              <a:pPr algn="ctr" rtl="0">
                <a:defRPr sz="1000"/>
              </a:pPr>
              <a:r>
                <a:rPr lang="en-US" sz="2200" b="1" i="0" u="none" strike="noStrike" baseline="0">
                  <a:solidFill>
                    <a:srgbClr val="000000"/>
                  </a:solidFill>
                  <a:latin typeface="Arial"/>
                  <a:cs typeface="Arial"/>
                </a:rPr>
                <a:t>Section A-A</a:t>
              </a:r>
            </a:p>
          </xdr:txBody>
        </xdr:sp>
        <xdr:sp macro="" textlink="">
          <xdr:nvSpPr>
            <xdr:cNvPr id="9" name="Rectangle 8"/>
            <xdr:cNvSpPr/>
          </xdr:nvSpPr>
          <xdr:spPr>
            <a:xfrm>
              <a:off x="4762501" y="20412074"/>
              <a:ext cx="733424" cy="171451"/>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5" name="Rectangle 524"/>
            <xdr:cNvSpPr/>
          </xdr:nvSpPr>
          <xdr:spPr>
            <a:xfrm>
              <a:off x="7939087" y="18764250"/>
              <a:ext cx="752475" cy="180975"/>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73" name="Rectangle 572"/>
            <xdr:cNvSpPr/>
          </xdr:nvSpPr>
          <xdr:spPr>
            <a:xfrm>
              <a:off x="4914901" y="20588289"/>
              <a:ext cx="569118" cy="126206"/>
            </a:xfrm>
            <a:prstGeom prst="rect">
              <a:avLst/>
            </a:prstGeom>
            <a:solidFill>
              <a:schemeClr val="bg1">
                <a:lumMod val="85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62" name="Straight Connector 561"/>
            <xdr:cNvCxnSpPr/>
          </xdr:nvCxnSpPr>
          <xdr:spPr>
            <a:xfrm flipH="1" flipV="1">
              <a:off x="4764878" y="20581144"/>
              <a:ext cx="3236122" cy="4762"/>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576" name="Rectangle 575"/>
            <xdr:cNvSpPr/>
          </xdr:nvSpPr>
          <xdr:spPr>
            <a:xfrm>
              <a:off x="4986338" y="20264438"/>
              <a:ext cx="123826" cy="142875"/>
            </a:xfrm>
            <a:prstGeom prst="rect">
              <a:avLst/>
            </a:prstGeom>
            <a:solidFill>
              <a:schemeClr val="bg1">
                <a:lumMod val="85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81" name="Rectangle 580"/>
            <xdr:cNvSpPr/>
          </xdr:nvSpPr>
          <xdr:spPr>
            <a:xfrm>
              <a:off x="7986713" y="18607088"/>
              <a:ext cx="366712" cy="152400"/>
            </a:xfrm>
            <a:prstGeom prst="rect">
              <a:avLst/>
            </a:prstGeom>
            <a:solidFill>
              <a:schemeClr val="bg1">
                <a:lumMod val="85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2467" name="Straight Connector 12466"/>
            <xdr:cNvCxnSpPr/>
          </xdr:nvCxnSpPr>
          <xdr:spPr>
            <a:xfrm flipV="1">
              <a:off x="7881940" y="18761869"/>
              <a:ext cx="807244" cy="238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84" name="Straight Connector 583"/>
            <xdr:cNvCxnSpPr/>
          </xdr:nvCxnSpPr>
          <xdr:spPr>
            <a:xfrm flipV="1">
              <a:off x="7879575" y="18942841"/>
              <a:ext cx="807244" cy="238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xdr:cNvCxnSpPr>
              <a:stCxn id="9" idx="0"/>
              <a:endCxn id="9" idx="0"/>
            </xdr:cNvCxnSpPr>
          </xdr:nvCxnSpPr>
          <xdr:spPr>
            <a:xfrm>
              <a:off x="5129213" y="20412074"/>
              <a:ext cx="0" cy="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2393" name="Group 12392"/>
            <xdr:cNvGrpSpPr/>
          </xdr:nvGrpSpPr>
          <xdr:grpSpPr>
            <a:xfrm>
              <a:off x="4976812" y="20402551"/>
              <a:ext cx="207169" cy="66675"/>
              <a:chOff x="266700" y="15313819"/>
              <a:chExt cx="207169" cy="66675"/>
            </a:xfrm>
          </xdr:grpSpPr>
          <xdr:cxnSp macro="">
            <xdr:nvCxnSpPr>
              <xdr:cNvPr id="15" name="Straight Connector 14"/>
              <xdr:cNvCxnSpPr/>
            </xdr:nvCxnSpPr>
            <xdr:spPr>
              <a:xfrm>
                <a:off x="288131" y="15335250"/>
                <a:ext cx="185738" cy="45244"/>
              </a:xfrm>
              <a:prstGeom prst="line">
                <a:avLst/>
              </a:prstGeom>
              <a:ln w="28575"/>
            </xdr:spPr>
            <xdr:style>
              <a:lnRef idx="1">
                <a:schemeClr val="dk1"/>
              </a:lnRef>
              <a:fillRef idx="0">
                <a:schemeClr val="dk1"/>
              </a:fillRef>
              <a:effectRef idx="0">
                <a:schemeClr val="dk1"/>
              </a:effectRef>
              <a:fontRef idx="minor">
                <a:schemeClr val="tx1"/>
              </a:fontRef>
            </xdr:style>
          </xdr:cxnSp>
          <xdr:sp macro="" textlink="">
            <xdr:nvSpPr>
              <xdr:cNvPr id="12391" name="Oval 12390"/>
              <xdr:cNvSpPr/>
            </xdr:nvSpPr>
            <xdr:spPr>
              <a:xfrm>
                <a:off x="266700" y="15313819"/>
                <a:ext cx="45719" cy="457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grpSp>
        <xdr:sp macro="" textlink="">
          <xdr:nvSpPr>
            <xdr:cNvPr id="12397" name="Freeform 12396"/>
            <xdr:cNvSpPr/>
          </xdr:nvSpPr>
          <xdr:spPr>
            <a:xfrm>
              <a:off x="8334375" y="18631544"/>
              <a:ext cx="463980" cy="308182"/>
            </a:xfrm>
            <a:custGeom>
              <a:avLst/>
              <a:gdLst>
                <a:gd name="connsiteX0" fmla="*/ 0 w 457200"/>
                <a:gd name="connsiteY0" fmla="*/ 161925 h 333375"/>
                <a:gd name="connsiteX1" fmla="*/ 457200 w 457200"/>
                <a:gd name="connsiteY1" fmla="*/ 0 h 333375"/>
                <a:gd name="connsiteX2" fmla="*/ 447675 w 457200"/>
                <a:gd name="connsiteY2" fmla="*/ 333375 h 333375"/>
                <a:gd name="connsiteX3" fmla="*/ 28575 w 457200"/>
                <a:gd name="connsiteY3" fmla="*/ 333375 h 333375"/>
                <a:gd name="connsiteX4" fmla="*/ 0 w 457200"/>
                <a:gd name="connsiteY4" fmla="*/ 161925 h 333375"/>
                <a:gd name="connsiteX0" fmla="*/ 0 w 457200"/>
                <a:gd name="connsiteY0" fmla="*/ 161925 h 333375"/>
                <a:gd name="connsiteX1" fmla="*/ 457200 w 457200"/>
                <a:gd name="connsiteY1" fmla="*/ 0 h 333375"/>
                <a:gd name="connsiteX2" fmla="*/ 447675 w 457200"/>
                <a:gd name="connsiteY2" fmla="*/ 333375 h 333375"/>
                <a:gd name="connsiteX3" fmla="*/ 28575 w 457200"/>
                <a:gd name="connsiteY3" fmla="*/ 312964 h 333375"/>
                <a:gd name="connsiteX4" fmla="*/ 0 w 457200"/>
                <a:gd name="connsiteY4" fmla="*/ 161925 h 333375"/>
                <a:gd name="connsiteX0" fmla="*/ 0 w 457200"/>
                <a:gd name="connsiteY0" fmla="*/ 161925 h 312964"/>
                <a:gd name="connsiteX1" fmla="*/ 457200 w 457200"/>
                <a:gd name="connsiteY1" fmla="*/ 0 h 312964"/>
                <a:gd name="connsiteX2" fmla="*/ 444290 w 457200"/>
                <a:gd name="connsiteY2" fmla="*/ 306161 h 312964"/>
                <a:gd name="connsiteX3" fmla="*/ 28575 w 457200"/>
                <a:gd name="connsiteY3" fmla="*/ 312964 h 312964"/>
                <a:gd name="connsiteX4" fmla="*/ 0 w 457200"/>
                <a:gd name="connsiteY4" fmla="*/ 161925 h 312964"/>
                <a:gd name="connsiteX0" fmla="*/ 0 w 463972"/>
                <a:gd name="connsiteY0" fmla="*/ 172130 h 323169"/>
                <a:gd name="connsiteX1" fmla="*/ 463972 w 463972"/>
                <a:gd name="connsiteY1" fmla="*/ 0 h 323169"/>
                <a:gd name="connsiteX2" fmla="*/ 444290 w 463972"/>
                <a:gd name="connsiteY2" fmla="*/ 316366 h 323169"/>
                <a:gd name="connsiteX3" fmla="*/ 28575 w 463972"/>
                <a:gd name="connsiteY3" fmla="*/ 323169 h 323169"/>
                <a:gd name="connsiteX4" fmla="*/ 0 w 463972"/>
                <a:gd name="connsiteY4" fmla="*/ 172130 h 323169"/>
                <a:gd name="connsiteX0" fmla="*/ 0 w 463972"/>
                <a:gd name="connsiteY0" fmla="*/ 179474 h 330513"/>
                <a:gd name="connsiteX1" fmla="*/ 463972 w 463972"/>
                <a:gd name="connsiteY1" fmla="*/ 0 h 330513"/>
                <a:gd name="connsiteX2" fmla="*/ 444290 w 463972"/>
                <a:gd name="connsiteY2" fmla="*/ 323710 h 330513"/>
                <a:gd name="connsiteX3" fmla="*/ 28575 w 463972"/>
                <a:gd name="connsiteY3" fmla="*/ 330513 h 330513"/>
                <a:gd name="connsiteX4" fmla="*/ 0 w 463972"/>
                <a:gd name="connsiteY4" fmla="*/ 179474 h 330513"/>
                <a:gd name="connsiteX0" fmla="*/ 0 w 463972"/>
                <a:gd name="connsiteY0" fmla="*/ 179474 h 334727"/>
                <a:gd name="connsiteX1" fmla="*/ 463972 w 463972"/>
                <a:gd name="connsiteY1" fmla="*/ 0 h 334727"/>
                <a:gd name="connsiteX2" fmla="*/ 444290 w 463972"/>
                <a:gd name="connsiteY2" fmla="*/ 334727 h 334727"/>
                <a:gd name="connsiteX3" fmla="*/ 28575 w 463972"/>
                <a:gd name="connsiteY3" fmla="*/ 330513 h 334727"/>
                <a:gd name="connsiteX4" fmla="*/ 0 w 463972"/>
                <a:gd name="connsiteY4" fmla="*/ 179474 h 3347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63972" h="334727">
                  <a:moveTo>
                    <a:pt x="0" y="179474"/>
                  </a:moveTo>
                  <a:lnTo>
                    <a:pt x="463972" y="0"/>
                  </a:lnTo>
                  <a:lnTo>
                    <a:pt x="444290" y="334727"/>
                  </a:lnTo>
                  <a:lnTo>
                    <a:pt x="28575" y="330513"/>
                  </a:lnTo>
                  <a:lnTo>
                    <a:pt x="0" y="179474"/>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399" name="Freeform 12398"/>
            <xdr:cNvSpPr/>
          </xdr:nvSpPr>
          <xdr:spPr>
            <a:xfrm>
              <a:off x="8398136" y="18316575"/>
              <a:ext cx="1279265" cy="447675"/>
            </a:xfrm>
            <a:custGeom>
              <a:avLst/>
              <a:gdLst>
                <a:gd name="connsiteX0" fmla="*/ 0 w 1257300"/>
                <a:gd name="connsiteY0" fmla="*/ 447675 h 447675"/>
                <a:gd name="connsiteX1" fmla="*/ 1152525 w 1257300"/>
                <a:gd name="connsiteY1" fmla="*/ 0 h 447675"/>
                <a:gd name="connsiteX2" fmla="*/ 1257300 w 1257300"/>
                <a:gd name="connsiteY2" fmla="*/ 0 h 447675"/>
                <a:gd name="connsiteX3" fmla="*/ 1247775 w 1257300"/>
                <a:gd name="connsiteY3" fmla="*/ 0 h 447675"/>
              </a:gdLst>
              <a:ahLst/>
              <a:cxnLst>
                <a:cxn ang="0">
                  <a:pos x="connsiteX0" y="connsiteY0"/>
                </a:cxn>
                <a:cxn ang="0">
                  <a:pos x="connsiteX1" y="connsiteY1"/>
                </a:cxn>
                <a:cxn ang="0">
                  <a:pos x="connsiteX2" y="connsiteY2"/>
                </a:cxn>
                <a:cxn ang="0">
                  <a:pos x="connsiteX3" y="connsiteY3"/>
                </a:cxn>
              </a:cxnLst>
              <a:rect l="l" t="t" r="r" b="b"/>
              <a:pathLst>
                <a:path w="1257300" h="447675">
                  <a:moveTo>
                    <a:pt x="0" y="447675"/>
                  </a:moveTo>
                  <a:lnTo>
                    <a:pt x="1152525" y="0"/>
                  </a:lnTo>
                  <a:lnTo>
                    <a:pt x="1257300" y="0"/>
                  </a:lnTo>
                  <a:lnTo>
                    <a:pt x="1247775" y="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2404" name="Straight Connector 12403"/>
            <xdr:cNvCxnSpPr>
              <a:stCxn id="12399" idx="1"/>
            </xdr:cNvCxnSpPr>
          </xdr:nvCxnSpPr>
          <xdr:spPr>
            <a:xfrm>
              <a:off x="9570705" y="18316575"/>
              <a:ext cx="1920" cy="638175"/>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579" name="Rectangle 578"/>
            <xdr:cNvSpPr/>
          </xdr:nvSpPr>
          <xdr:spPr>
            <a:xfrm>
              <a:off x="8262938" y="18959512"/>
              <a:ext cx="123826" cy="135732"/>
            </a:xfrm>
            <a:prstGeom prst="rect">
              <a:avLst/>
            </a:prstGeom>
            <a:solidFill>
              <a:schemeClr val="bg1">
                <a:lumMod val="85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401" name="Freeform 12400"/>
            <xdr:cNvSpPr/>
          </xdr:nvSpPr>
          <xdr:spPr>
            <a:xfrm>
              <a:off x="8331995" y="18949987"/>
              <a:ext cx="1352550" cy="0"/>
            </a:xfrm>
            <a:custGeom>
              <a:avLst/>
              <a:gdLst>
                <a:gd name="connsiteX0" fmla="*/ 0 w 1352550"/>
                <a:gd name="connsiteY0" fmla="*/ 0 h 0"/>
                <a:gd name="connsiteX1" fmla="*/ 1352550 w 1352550"/>
                <a:gd name="connsiteY1" fmla="*/ 0 h 0"/>
                <a:gd name="connsiteX2" fmla="*/ 1343025 w 1352550"/>
                <a:gd name="connsiteY2" fmla="*/ 0 h 0"/>
              </a:gdLst>
              <a:ahLst/>
              <a:cxnLst>
                <a:cxn ang="0">
                  <a:pos x="connsiteX0" y="connsiteY0"/>
                </a:cxn>
                <a:cxn ang="0">
                  <a:pos x="connsiteX1" y="connsiteY1"/>
                </a:cxn>
                <a:cxn ang="0">
                  <a:pos x="connsiteX2" y="connsiteY2"/>
                </a:cxn>
              </a:cxnLst>
              <a:rect l="l" t="t" r="r" b="b"/>
              <a:pathLst>
                <a:path w="1352550">
                  <a:moveTo>
                    <a:pt x="0" y="0"/>
                  </a:moveTo>
                  <a:lnTo>
                    <a:pt x="1352550" y="0"/>
                  </a:lnTo>
                  <a:lnTo>
                    <a:pt x="1343025" y="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813295" name="Group 813294"/>
            <xdr:cNvGrpSpPr/>
          </xdr:nvGrpSpPr>
          <xdr:grpSpPr>
            <a:xfrm>
              <a:off x="8024890" y="19269074"/>
              <a:ext cx="140418" cy="783428"/>
              <a:chOff x="3948190" y="14277974"/>
              <a:chExt cx="140418" cy="783428"/>
            </a:xfrm>
          </xdr:grpSpPr>
          <xdr:sp macro="" textlink="">
            <xdr:nvSpPr>
              <xdr:cNvPr id="12407" name="Rectangle 12406"/>
              <xdr:cNvSpPr/>
            </xdr:nvSpPr>
            <xdr:spPr>
              <a:xfrm>
                <a:off x="3996568" y="14714239"/>
                <a:ext cx="46795" cy="347163"/>
              </a:xfrm>
              <a:prstGeom prst="rect">
                <a:avLst/>
              </a:prstGeom>
              <a:solidFill>
                <a:schemeClr val="accent6">
                  <a:lumMod val="7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83" name="Rectangle 582"/>
              <xdr:cNvSpPr/>
            </xdr:nvSpPr>
            <xdr:spPr>
              <a:xfrm>
                <a:off x="4038680" y="14403315"/>
                <a:ext cx="49928" cy="96115"/>
              </a:xfrm>
              <a:prstGeom prst="rect">
                <a:avLst/>
              </a:prstGeom>
              <a:solidFill>
                <a:srgbClr val="FFC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82" name="Rectangle 581"/>
              <xdr:cNvSpPr/>
            </xdr:nvSpPr>
            <xdr:spPr>
              <a:xfrm>
                <a:off x="4003844" y="14277974"/>
                <a:ext cx="45719" cy="347663"/>
              </a:xfrm>
              <a:prstGeom prst="rect">
                <a:avLst/>
              </a:prstGeom>
              <a:solidFill>
                <a:schemeClr val="accent6">
                  <a:lumMod val="7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85" name="Rectangle 584"/>
              <xdr:cNvSpPr/>
            </xdr:nvSpPr>
            <xdr:spPr>
              <a:xfrm>
                <a:off x="3948190" y="14386649"/>
                <a:ext cx="45719" cy="129452"/>
              </a:xfrm>
              <a:prstGeom prst="rect">
                <a:avLst/>
              </a:prstGeom>
              <a:solidFill>
                <a:srgbClr val="FFC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424" name="Rectangle 12423"/>
              <xdr:cNvSpPr/>
            </xdr:nvSpPr>
            <xdr:spPr>
              <a:xfrm>
                <a:off x="3976230" y="14427459"/>
                <a:ext cx="105080" cy="45719"/>
              </a:xfrm>
              <a:prstGeom prst="rect">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2479" name="Group 12478"/>
            <xdr:cNvGrpSpPr/>
          </xdr:nvGrpSpPr>
          <xdr:grpSpPr>
            <a:xfrm>
              <a:off x="5210175" y="18945225"/>
              <a:ext cx="2838452" cy="1433946"/>
              <a:chOff x="1134341" y="13811250"/>
              <a:chExt cx="2842781" cy="1454052"/>
            </a:xfrm>
          </xdr:grpSpPr>
          <xdr:sp macro="" textlink="">
            <xdr:nvSpPr>
              <xdr:cNvPr id="2" name="Rectangle 1"/>
              <xdr:cNvSpPr/>
            </xdr:nvSpPr>
            <xdr:spPr>
              <a:xfrm>
                <a:off x="1134341" y="13811250"/>
                <a:ext cx="2718954" cy="1451264"/>
              </a:xfrm>
              <a:prstGeom prst="rect">
                <a:avLst/>
              </a:prstGeom>
              <a:solidFill>
                <a:schemeClr val="bg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1" name="Group 10"/>
              <xdr:cNvGrpSpPr/>
            </xdr:nvGrpSpPr>
            <xdr:grpSpPr>
              <a:xfrm>
                <a:off x="1437218" y="13823562"/>
                <a:ext cx="2234289" cy="1441740"/>
                <a:chOff x="1435951" y="14011507"/>
                <a:chExt cx="2260679" cy="1463598"/>
              </a:xfrm>
            </xdr:grpSpPr>
            <xdr:sp macro="" textlink="">
              <xdr:nvSpPr>
                <xdr:cNvPr id="12468" name="Rectangle 12467"/>
                <xdr:cNvSpPr/>
              </xdr:nvSpPr>
              <xdr:spPr>
                <a:xfrm>
                  <a:off x="1875960" y="14011624"/>
                  <a:ext cx="60984" cy="1460693"/>
                </a:xfrm>
                <a:prstGeom prst="rect">
                  <a:avLst/>
                </a:prstGeom>
                <a:solidFill>
                  <a:schemeClr val="accent1">
                    <a:lumMod val="40000"/>
                    <a:lumOff val="60000"/>
                  </a:schemeClr>
                </a:solidFill>
                <a:ln w="190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59" name="Rectangle 558"/>
                <xdr:cNvSpPr/>
              </xdr:nvSpPr>
              <xdr:spPr>
                <a:xfrm>
                  <a:off x="1435951" y="14013018"/>
                  <a:ext cx="60984" cy="1460693"/>
                </a:xfrm>
                <a:prstGeom prst="rect">
                  <a:avLst/>
                </a:prstGeom>
                <a:solidFill>
                  <a:schemeClr val="accent1">
                    <a:lumMod val="40000"/>
                    <a:lumOff val="60000"/>
                  </a:schemeClr>
                </a:solidFill>
                <a:ln w="190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60" name="Rectangle 559"/>
                <xdr:cNvSpPr/>
              </xdr:nvSpPr>
              <xdr:spPr>
                <a:xfrm>
                  <a:off x="2754351" y="14013018"/>
                  <a:ext cx="60984" cy="1460693"/>
                </a:xfrm>
                <a:prstGeom prst="rect">
                  <a:avLst/>
                </a:prstGeom>
                <a:solidFill>
                  <a:schemeClr val="accent1">
                    <a:lumMod val="40000"/>
                    <a:lumOff val="60000"/>
                  </a:schemeClr>
                </a:solidFill>
                <a:ln w="190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64" name="Rectangle 563"/>
                <xdr:cNvSpPr/>
              </xdr:nvSpPr>
              <xdr:spPr>
                <a:xfrm>
                  <a:off x="2314342" y="14014412"/>
                  <a:ext cx="60984" cy="1460693"/>
                </a:xfrm>
                <a:prstGeom prst="rect">
                  <a:avLst/>
                </a:prstGeom>
                <a:solidFill>
                  <a:schemeClr val="accent1">
                    <a:lumMod val="40000"/>
                    <a:lumOff val="60000"/>
                  </a:schemeClr>
                </a:solidFill>
                <a:ln w="190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65" name="Rectangle 564"/>
                <xdr:cNvSpPr/>
              </xdr:nvSpPr>
              <xdr:spPr>
                <a:xfrm>
                  <a:off x="3635646" y="14011507"/>
                  <a:ext cx="60984" cy="1460693"/>
                </a:xfrm>
                <a:prstGeom prst="rect">
                  <a:avLst/>
                </a:prstGeom>
                <a:solidFill>
                  <a:schemeClr val="accent1">
                    <a:lumMod val="40000"/>
                    <a:lumOff val="60000"/>
                  </a:schemeClr>
                </a:solidFill>
                <a:ln w="190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67" name="Rectangle 566"/>
                <xdr:cNvSpPr/>
              </xdr:nvSpPr>
              <xdr:spPr>
                <a:xfrm>
                  <a:off x="3195637" y="14012901"/>
                  <a:ext cx="60984" cy="1460693"/>
                </a:xfrm>
                <a:prstGeom prst="rect">
                  <a:avLst/>
                </a:prstGeom>
                <a:solidFill>
                  <a:schemeClr val="accent1">
                    <a:lumMod val="40000"/>
                    <a:lumOff val="60000"/>
                  </a:schemeClr>
                </a:solidFill>
                <a:ln w="190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557" name="Rectangle 556"/>
              <xdr:cNvSpPr/>
            </xdr:nvSpPr>
            <xdr:spPr>
              <a:xfrm>
                <a:off x="1134342" y="13815570"/>
                <a:ext cx="294186" cy="1444584"/>
              </a:xfrm>
              <a:prstGeom prst="rect">
                <a:avLst/>
              </a:prstGeom>
              <a:solidFill>
                <a:schemeClr val="bg2">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5" name="Rectangle 24"/>
              <xdr:cNvSpPr/>
            </xdr:nvSpPr>
            <xdr:spPr>
              <a:xfrm>
                <a:off x="3682334" y="13815570"/>
                <a:ext cx="294788" cy="1444584"/>
              </a:xfrm>
              <a:prstGeom prst="rect">
                <a:avLst/>
              </a:prstGeom>
              <a:solidFill>
                <a:schemeClr val="bg2">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xnSp macro="">
          <xdr:nvCxnSpPr>
            <xdr:cNvPr id="12466" name="Straight Connector 12465"/>
            <xdr:cNvCxnSpPr>
              <a:endCxn id="12401" idx="0"/>
            </xdr:cNvCxnSpPr>
          </xdr:nvCxnSpPr>
          <xdr:spPr>
            <a:xfrm>
              <a:off x="5208311" y="18945225"/>
              <a:ext cx="3123684" cy="4762"/>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2392" name="Straight Connector 12391"/>
            <xdr:cNvCxnSpPr/>
          </xdr:nvCxnSpPr>
          <xdr:spPr>
            <a:xfrm flipH="1">
              <a:off x="5205845" y="20364661"/>
              <a:ext cx="2983178" cy="14508"/>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813282" name="Straight Connector 813281"/>
            <xdr:cNvCxnSpPr/>
          </xdr:nvCxnSpPr>
          <xdr:spPr>
            <a:xfrm flipV="1">
              <a:off x="4768574" y="20406879"/>
              <a:ext cx="454597"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3289" name="Straight Connector 813288"/>
            <xdr:cNvCxnSpPr/>
          </xdr:nvCxnSpPr>
          <xdr:spPr>
            <a:xfrm flipV="1">
              <a:off x="5210175" y="20404931"/>
              <a:ext cx="330994" cy="1083"/>
            </a:xfrm>
            <a:prstGeom prst="line">
              <a:avLst/>
            </a:prstGeom>
            <a:ln w="3810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2" name="Straight Connector 611"/>
            <xdr:cNvCxnSpPr/>
          </xdr:nvCxnSpPr>
          <xdr:spPr>
            <a:xfrm flipV="1">
              <a:off x="7712869" y="20388696"/>
              <a:ext cx="468241" cy="6710"/>
            </a:xfrm>
            <a:prstGeom prst="line">
              <a:avLst/>
            </a:prstGeom>
            <a:ln w="3810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813293" name="Bent Arrow 813292"/>
            <xdr:cNvSpPr/>
          </xdr:nvSpPr>
          <xdr:spPr>
            <a:xfrm rot="16200000" flipV="1">
              <a:off x="5630569" y="20295610"/>
              <a:ext cx="205223" cy="103907"/>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813294" name="Right Arrow 813293"/>
            <xdr:cNvSpPr/>
          </xdr:nvSpPr>
          <xdr:spPr>
            <a:xfrm>
              <a:off x="4292311" y="20460567"/>
              <a:ext cx="523009" cy="562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19" name="Bent Arrow 618"/>
            <xdr:cNvSpPr/>
          </xdr:nvSpPr>
          <xdr:spPr>
            <a:xfrm rot="16200000" flipV="1">
              <a:off x="6059194" y="20300807"/>
              <a:ext cx="205223" cy="103907"/>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20" name="Bent Arrow 619"/>
            <xdr:cNvSpPr/>
          </xdr:nvSpPr>
          <xdr:spPr>
            <a:xfrm rot="16200000" flipV="1">
              <a:off x="6505137" y="20297341"/>
              <a:ext cx="205223" cy="103907"/>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21" name="Bent Arrow 620"/>
            <xdr:cNvSpPr/>
          </xdr:nvSpPr>
          <xdr:spPr>
            <a:xfrm rot="16200000" flipV="1">
              <a:off x="6938091" y="20288684"/>
              <a:ext cx="206955" cy="103907"/>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22" name="Bent Arrow 621"/>
            <xdr:cNvSpPr/>
          </xdr:nvSpPr>
          <xdr:spPr>
            <a:xfrm rot="16200000" flipV="1">
              <a:off x="7375375" y="20289549"/>
              <a:ext cx="206955" cy="103907"/>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23" name="Bent Arrow 622"/>
            <xdr:cNvSpPr/>
          </xdr:nvSpPr>
          <xdr:spPr>
            <a:xfrm>
              <a:off x="5740539" y="18856901"/>
              <a:ext cx="202626" cy="109972"/>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24" name="Bent Arrow 623"/>
            <xdr:cNvSpPr/>
          </xdr:nvSpPr>
          <xdr:spPr>
            <a:xfrm>
              <a:off x="6182153" y="18853437"/>
              <a:ext cx="203492" cy="109972"/>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25" name="Bent Arrow 624"/>
            <xdr:cNvSpPr/>
          </xdr:nvSpPr>
          <xdr:spPr>
            <a:xfrm>
              <a:off x="6610777" y="18858632"/>
              <a:ext cx="203492" cy="109972"/>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26" name="Bent Arrow 625"/>
            <xdr:cNvSpPr/>
          </xdr:nvSpPr>
          <xdr:spPr>
            <a:xfrm>
              <a:off x="7057587" y="18859498"/>
              <a:ext cx="202626" cy="109972"/>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27" name="Bent Arrow 626"/>
            <xdr:cNvSpPr/>
          </xdr:nvSpPr>
          <xdr:spPr>
            <a:xfrm>
              <a:off x="7486212" y="18856035"/>
              <a:ext cx="203492" cy="109972"/>
            </a:xfrm>
            <a:prstGeom prst="bentArrow">
              <a:avLst>
                <a:gd name="adj1" fmla="val 25000"/>
                <a:gd name="adj2" fmla="val 20455"/>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28" name="Right Arrow 627"/>
            <xdr:cNvSpPr/>
          </xdr:nvSpPr>
          <xdr:spPr>
            <a:xfrm rot="21093410">
              <a:off x="8396721" y="18784163"/>
              <a:ext cx="523875" cy="562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30" name="AutoShape 1270"/>
            <xdr:cNvSpPr>
              <a:spLocks/>
            </xdr:cNvSpPr>
          </xdr:nvSpPr>
          <xdr:spPr bwMode="auto">
            <a:xfrm>
              <a:off x="3952875" y="17535525"/>
              <a:ext cx="1905000" cy="981075"/>
            </a:xfrm>
            <a:prstGeom prst="accentCallout1">
              <a:avLst>
                <a:gd name="adj1" fmla="val 11653"/>
                <a:gd name="adj2" fmla="val 104444"/>
                <a:gd name="adj3" fmla="val 173785"/>
                <a:gd name="adj4" fmla="val 141556"/>
              </a:avLst>
            </a:prstGeom>
            <a:solidFill>
              <a:srgbClr val="FFFFFF"/>
            </a:solidFill>
            <a:ln w="19050">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Air Flow Passages between Cells</a:t>
              </a:r>
            </a:p>
          </xdr:txBody>
        </xdr:sp>
        <xdr:cxnSp macro="">
          <xdr:nvCxnSpPr>
            <xdr:cNvPr id="813297" name="Straight Connector 813296"/>
            <xdr:cNvCxnSpPr/>
          </xdr:nvCxnSpPr>
          <xdr:spPr>
            <a:xfrm>
              <a:off x="5934075" y="17640300"/>
              <a:ext cx="1162050" cy="1524000"/>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633" name="AutoShape 1270"/>
            <xdr:cNvSpPr>
              <a:spLocks/>
            </xdr:cNvSpPr>
          </xdr:nvSpPr>
          <xdr:spPr bwMode="auto">
            <a:xfrm>
              <a:off x="6838951" y="17268825"/>
              <a:ext cx="1371599" cy="695325"/>
            </a:xfrm>
            <a:prstGeom prst="accentCallout1">
              <a:avLst>
                <a:gd name="adj1" fmla="val 32042"/>
                <a:gd name="adj2" fmla="val 88055"/>
                <a:gd name="adj3" fmla="val 160911"/>
                <a:gd name="adj4" fmla="val 189166"/>
              </a:avLst>
            </a:prstGeom>
            <a:solidFill>
              <a:srgbClr val="FFFFFF"/>
            </a:solidFill>
            <a:ln w="19050">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Duct to Fan Inlet</a:t>
              </a:r>
            </a:p>
          </xdr:txBody>
        </xdr:sp>
      </xdr:grpSp>
      <xdr:cxnSp macro="">
        <xdr:nvCxnSpPr>
          <xdr:cNvPr id="137701" name="Straight Connector 137700"/>
          <xdr:cNvCxnSpPr/>
        </xdr:nvCxnSpPr>
        <xdr:spPr>
          <a:xfrm flipV="1">
            <a:off x="5362575" y="16563975"/>
            <a:ext cx="685800" cy="167640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20"/>
  </sheetPr>
  <dimension ref="A1:K40"/>
  <sheetViews>
    <sheetView workbookViewId="0">
      <selection sqref="A1:F40"/>
    </sheetView>
  </sheetViews>
  <sheetFormatPr defaultRowHeight="12.75"/>
  <cols>
    <col min="1" max="1" width="61.5703125" customWidth="1"/>
  </cols>
  <sheetData>
    <row r="1" spans="1:11" ht="12.75" customHeight="1">
      <c r="A1" s="420" t="s">
        <v>798</v>
      </c>
      <c r="B1" s="421"/>
      <c r="C1" s="421"/>
      <c r="D1" s="421"/>
      <c r="E1" s="421"/>
      <c r="F1" s="421"/>
      <c r="G1" s="231"/>
      <c r="H1" s="231"/>
      <c r="I1" s="231"/>
      <c r="J1" s="231"/>
      <c r="K1" s="231"/>
    </row>
    <row r="2" spans="1:11">
      <c r="A2" s="421"/>
      <c r="B2" s="421"/>
      <c r="C2" s="421"/>
      <c r="D2" s="421"/>
      <c r="E2" s="421"/>
      <c r="F2" s="421"/>
      <c r="G2" s="231"/>
      <c r="H2" s="231"/>
      <c r="I2" s="231"/>
      <c r="J2" s="231"/>
      <c r="K2" s="231"/>
    </row>
    <row r="3" spans="1:11">
      <c r="A3" s="421"/>
      <c r="B3" s="421"/>
      <c r="C3" s="421"/>
      <c r="D3" s="421"/>
      <c r="E3" s="421"/>
      <c r="F3" s="421"/>
      <c r="G3" s="231"/>
      <c r="H3" s="231"/>
      <c r="I3" s="231"/>
      <c r="J3" s="231"/>
      <c r="K3" s="231"/>
    </row>
    <row r="4" spans="1:11">
      <c r="A4" s="421"/>
      <c r="B4" s="421"/>
      <c r="C4" s="421"/>
      <c r="D4" s="421"/>
      <c r="E4" s="421"/>
      <c r="F4" s="421"/>
      <c r="G4" s="231"/>
      <c r="H4" s="231"/>
      <c r="I4" s="231"/>
      <c r="J4" s="231"/>
      <c r="K4" s="231"/>
    </row>
    <row r="5" spans="1:11">
      <c r="A5" s="421"/>
      <c r="B5" s="421"/>
      <c r="C5" s="421"/>
      <c r="D5" s="421"/>
      <c r="E5" s="421"/>
      <c r="F5" s="421"/>
      <c r="G5" s="231"/>
      <c r="H5" s="231"/>
      <c r="I5" s="231"/>
      <c r="J5" s="231"/>
      <c r="K5" s="231"/>
    </row>
    <row r="6" spans="1:11">
      <c r="A6" s="421"/>
      <c r="B6" s="421"/>
      <c r="C6" s="421"/>
      <c r="D6" s="421"/>
      <c r="E6" s="421"/>
      <c r="F6" s="421"/>
      <c r="G6" s="231"/>
      <c r="H6" s="231"/>
      <c r="I6" s="231"/>
      <c r="J6" s="231"/>
      <c r="K6" s="231"/>
    </row>
    <row r="7" spans="1:11">
      <c r="A7" s="421"/>
      <c r="B7" s="421"/>
      <c r="C7" s="421"/>
      <c r="D7" s="421"/>
      <c r="E7" s="421"/>
      <c r="F7" s="421"/>
      <c r="G7" s="231"/>
      <c r="H7" s="231"/>
      <c r="I7" s="231"/>
      <c r="J7" s="231"/>
      <c r="K7" s="231"/>
    </row>
    <row r="8" spans="1:11">
      <c r="A8" s="421"/>
      <c r="B8" s="421"/>
      <c r="C8" s="421"/>
      <c r="D8" s="421"/>
      <c r="E8" s="421"/>
      <c r="F8" s="421"/>
      <c r="G8" s="231"/>
      <c r="H8" s="231"/>
      <c r="I8" s="231"/>
      <c r="J8" s="231"/>
      <c r="K8" s="231"/>
    </row>
    <row r="9" spans="1:11">
      <c r="A9" s="421"/>
      <c r="B9" s="421"/>
      <c r="C9" s="421"/>
      <c r="D9" s="421"/>
      <c r="E9" s="421"/>
      <c r="F9" s="421"/>
      <c r="G9" s="231"/>
      <c r="H9" s="231"/>
      <c r="I9" s="231"/>
      <c r="J9" s="231"/>
      <c r="K9" s="231"/>
    </row>
    <row r="10" spans="1:11">
      <c r="A10" s="421"/>
      <c r="B10" s="421"/>
      <c r="C10" s="421"/>
      <c r="D10" s="421"/>
      <c r="E10" s="421"/>
      <c r="F10" s="421"/>
      <c r="G10" s="231"/>
      <c r="H10" s="231"/>
      <c r="I10" s="231"/>
      <c r="J10" s="231"/>
      <c r="K10" s="231"/>
    </row>
    <row r="11" spans="1:11">
      <c r="A11" s="421"/>
      <c r="B11" s="421"/>
      <c r="C11" s="421"/>
      <c r="D11" s="421"/>
      <c r="E11" s="421"/>
      <c r="F11" s="421"/>
      <c r="G11" s="231"/>
      <c r="H11" s="231"/>
      <c r="I11" s="231"/>
      <c r="J11" s="231"/>
      <c r="K11" s="231"/>
    </row>
    <row r="12" spans="1:11">
      <c r="A12" s="421"/>
      <c r="B12" s="421"/>
      <c r="C12" s="421"/>
      <c r="D12" s="421"/>
      <c r="E12" s="421"/>
      <c r="F12" s="421"/>
      <c r="G12" s="231"/>
      <c r="H12" s="231"/>
      <c r="I12" s="231"/>
      <c r="J12" s="231"/>
      <c r="K12" s="231"/>
    </row>
    <row r="13" spans="1:11">
      <c r="A13" s="421"/>
      <c r="B13" s="421"/>
      <c r="C13" s="421"/>
      <c r="D13" s="421"/>
      <c r="E13" s="421"/>
      <c r="F13" s="421"/>
      <c r="G13" s="231"/>
      <c r="H13" s="231"/>
      <c r="I13" s="231"/>
      <c r="J13" s="231"/>
      <c r="K13" s="231"/>
    </row>
    <row r="14" spans="1:11">
      <c r="A14" s="421"/>
      <c r="B14" s="421"/>
      <c r="C14" s="421"/>
      <c r="D14" s="421"/>
      <c r="E14" s="421"/>
      <c r="F14" s="421"/>
      <c r="G14" s="231"/>
      <c r="H14" s="231"/>
      <c r="I14" s="231"/>
      <c r="J14" s="231"/>
      <c r="K14" s="231"/>
    </row>
    <row r="15" spans="1:11">
      <c r="A15" s="421"/>
      <c r="B15" s="421"/>
      <c r="C15" s="421"/>
      <c r="D15" s="421"/>
      <c r="E15" s="421"/>
      <c r="F15" s="421"/>
      <c r="G15" s="231"/>
      <c r="H15" s="231"/>
      <c r="I15" s="231"/>
      <c r="J15" s="231"/>
      <c r="K15" s="231"/>
    </row>
    <row r="16" spans="1:11">
      <c r="A16" s="421"/>
      <c r="B16" s="421"/>
      <c r="C16" s="421"/>
      <c r="D16" s="421"/>
      <c r="E16" s="421"/>
      <c r="F16" s="421"/>
      <c r="G16" s="231"/>
      <c r="H16" s="231"/>
      <c r="I16" s="231"/>
      <c r="J16" s="231"/>
      <c r="K16" s="231"/>
    </row>
    <row r="17" spans="1:6">
      <c r="A17" s="421"/>
      <c r="B17" s="421"/>
      <c r="C17" s="421"/>
      <c r="D17" s="421"/>
      <c r="E17" s="421"/>
      <c r="F17" s="421"/>
    </row>
    <row r="18" spans="1:6">
      <c r="A18" s="421"/>
      <c r="B18" s="421"/>
      <c r="C18" s="421"/>
      <c r="D18" s="421"/>
      <c r="E18" s="421"/>
      <c r="F18" s="421"/>
    </row>
    <row r="19" spans="1:6">
      <c r="A19" s="421"/>
      <c r="B19" s="421"/>
      <c r="C19" s="421"/>
      <c r="D19" s="421"/>
      <c r="E19" s="421"/>
      <c r="F19" s="421"/>
    </row>
    <row r="20" spans="1:6">
      <c r="A20" s="421"/>
      <c r="B20" s="421"/>
      <c r="C20" s="421"/>
      <c r="D20" s="421"/>
      <c r="E20" s="421"/>
      <c r="F20" s="421"/>
    </row>
    <row r="21" spans="1:6">
      <c r="A21" s="421"/>
      <c r="B21" s="421"/>
      <c r="C21" s="421"/>
      <c r="D21" s="421"/>
      <c r="E21" s="421"/>
      <c r="F21" s="421"/>
    </row>
    <row r="22" spans="1:6">
      <c r="A22" s="421"/>
      <c r="B22" s="421"/>
      <c r="C22" s="421"/>
      <c r="D22" s="421"/>
      <c r="E22" s="421"/>
      <c r="F22" s="421"/>
    </row>
    <row r="23" spans="1:6">
      <c r="A23" s="421"/>
      <c r="B23" s="421"/>
      <c r="C23" s="421"/>
      <c r="D23" s="421"/>
      <c r="E23" s="421"/>
      <c r="F23" s="421"/>
    </row>
    <row r="24" spans="1:6">
      <c r="A24" s="421"/>
      <c r="B24" s="421"/>
      <c r="C24" s="421"/>
      <c r="D24" s="421"/>
      <c r="E24" s="421"/>
      <c r="F24" s="421"/>
    </row>
    <row r="25" spans="1:6">
      <c r="A25" s="421"/>
      <c r="B25" s="421"/>
      <c r="C25" s="421"/>
      <c r="D25" s="421"/>
      <c r="E25" s="421"/>
      <c r="F25" s="421"/>
    </row>
    <row r="26" spans="1:6">
      <c r="A26" s="421"/>
      <c r="B26" s="421"/>
      <c r="C26" s="421"/>
      <c r="D26" s="421"/>
      <c r="E26" s="421"/>
      <c r="F26" s="421"/>
    </row>
    <row r="27" spans="1:6">
      <c r="A27" s="421"/>
      <c r="B27" s="421"/>
      <c r="C27" s="421"/>
      <c r="D27" s="421"/>
      <c r="E27" s="421"/>
      <c r="F27" s="421"/>
    </row>
    <row r="28" spans="1:6">
      <c r="A28" s="421"/>
      <c r="B28" s="421"/>
      <c r="C28" s="421"/>
      <c r="D28" s="421"/>
      <c r="E28" s="421"/>
      <c r="F28" s="421"/>
    </row>
    <row r="29" spans="1:6">
      <c r="A29" s="421"/>
      <c r="B29" s="421"/>
      <c r="C29" s="421"/>
      <c r="D29" s="421"/>
      <c r="E29" s="421"/>
      <c r="F29" s="421"/>
    </row>
    <row r="30" spans="1:6">
      <c r="A30" s="421"/>
      <c r="B30" s="421"/>
      <c r="C30" s="421"/>
      <c r="D30" s="421"/>
      <c r="E30" s="421"/>
      <c r="F30" s="421"/>
    </row>
    <row r="31" spans="1:6">
      <c r="A31" s="421"/>
      <c r="B31" s="421"/>
      <c r="C31" s="421"/>
      <c r="D31" s="421"/>
      <c r="E31" s="421"/>
      <c r="F31" s="421"/>
    </row>
    <row r="32" spans="1:6">
      <c r="A32" s="421"/>
      <c r="B32" s="421"/>
      <c r="C32" s="421"/>
      <c r="D32" s="421"/>
      <c r="E32" s="421"/>
      <c r="F32" s="421"/>
    </row>
    <row r="33" spans="1:6">
      <c r="A33" s="421"/>
      <c r="B33" s="421"/>
      <c r="C33" s="421"/>
      <c r="D33" s="421"/>
      <c r="E33" s="421"/>
      <c r="F33" s="421"/>
    </row>
    <row r="34" spans="1:6">
      <c r="A34" s="421"/>
      <c r="B34" s="421"/>
      <c r="C34" s="421"/>
      <c r="D34" s="421"/>
      <c r="E34" s="421"/>
      <c r="F34" s="421"/>
    </row>
    <row r="35" spans="1:6">
      <c r="A35" s="421"/>
      <c r="B35" s="421"/>
      <c r="C35" s="421"/>
      <c r="D35" s="421"/>
      <c r="E35" s="421"/>
      <c r="F35" s="421"/>
    </row>
    <row r="36" spans="1:6">
      <c r="A36" s="421"/>
      <c r="B36" s="421"/>
      <c r="C36" s="421"/>
      <c r="D36" s="421"/>
      <c r="E36" s="421"/>
      <c r="F36" s="421"/>
    </row>
    <row r="37" spans="1:6">
      <c r="A37" s="421"/>
      <c r="B37" s="421"/>
      <c r="C37" s="421"/>
      <c r="D37" s="421"/>
      <c r="E37" s="421"/>
      <c r="F37" s="421"/>
    </row>
    <row r="38" spans="1:6">
      <c r="A38" s="421"/>
      <c r="B38" s="421"/>
      <c r="C38" s="421"/>
      <c r="D38" s="421"/>
      <c r="E38" s="421"/>
      <c r="F38" s="421"/>
    </row>
    <row r="39" spans="1:6">
      <c r="A39" s="421"/>
      <c r="B39" s="421"/>
      <c r="C39" s="421"/>
      <c r="D39" s="421"/>
      <c r="E39" s="421"/>
      <c r="F39" s="421"/>
    </row>
    <row r="40" spans="1:6">
      <c r="A40" s="421"/>
      <c r="B40" s="421"/>
      <c r="C40" s="421"/>
      <c r="D40" s="421"/>
      <c r="E40" s="421"/>
      <c r="F40" s="421"/>
    </row>
  </sheetData>
  <sheetProtection password="C99D" sheet="1" objects="1" scenarios="1"/>
  <mergeCells count="1">
    <mergeCell ref="A1:F40"/>
  </mergeCells>
  <phoneticPr fontId="5"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tabColor indexed="33"/>
    <pageSetUpPr fitToPage="1"/>
  </sheetPr>
  <dimension ref="A1"/>
  <sheetViews>
    <sheetView zoomScaleNormal="100" workbookViewId="0">
      <selection activeCell="Q24" sqref="Q24"/>
    </sheetView>
  </sheetViews>
  <sheetFormatPr defaultRowHeight="12.75"/>
  <sheetData/>
  <phoneticPr fontId="5" type="noConversion"/>
  <printOptions horizontalCentered="1"/>
  <pageMargins left="0.5" right="0.5" top="0.5" bottom="0.5" header="0.5" footer="0.5"/>
  <pageSetup scale="94" orientation="landscape" verticalDpi="300" r:id="rId1"/>
  <headerFooter alignWithMargins="0"/>
  <drawing r:id="rId2"/>
</worksheet>
</file>

<file path=xl/worksheets/sheet11.xml><?xml version="1.0" encoding="utf-8"?>
<worksheet xmlns="http://schemas.openxmlformats.org/spreadsheetml/2006/main" xmlns:r="http://schemas.openxmlformats.org/officeDocument/2006/relationships">
  <sheetPr enableFormatConditionsCalculation="0">
    <tabColor indexed="29"/>
    <pageSetUpPr fitToPage="1"/>
  </sheetPr>
  <dimension ref="A144"/>
  <sheetViews>
    <sheetView zoomScaleNormal="100" workbookViewId="0">
      <selection activeCell="F33" sqref="F33"/>
    </sheetView>
  </sheetViews>
  <sheetFormatPr defaultRowHeight="12.75"/>
  <sheetData>
    <row r="144" ht="12" customHeight="1"/>
  </sheetData>
  <phoneticPr fontId="5" type="noConversion"/>
  <pageMargins left="0.25" right="0.25" top="0.75" bottom="0.75" header="0.3" footer="0.3"/>
  <pageSetup scale="88" fitToHeight="0" orientation="landscape" verticalDpi="300" r:id="rId1"/>
  <headerFooter alignWithMargins="0"/>
  <rowBreaks count="2" manualBreakCount="2">
    <brk id="39" max="16383" man="1"/>
    <brk id="89" max="16" man="1"/>
  </rowBreaks>
  <drawing r:id="rId2"/>
</worksheet>
</file>

<file path=xl/worksheets/sheet12.xml><?xml version="1.0" encoding="utf-8"?>
<worksheet xmlns="http://schemas.openxmlformats.org/spreadsheetml/2006/main" xmlns:r="http://schemas.openxmlformats.org/officeDocument/2006/relationships">
  <sheetPr enableFormatConditionsCalculation="0">
    <tabColor indexed="29"/>
    <pageSetUpPr fitToPage="1"/>
  </sheetPr>
  <dimension ref="A1"/>
  <sheetViews>
    <sheetView showWhiteSpace="0" zoomScaleNormal="100" workbookViewId="0">
      <selection activeCell="A27" sqref="A27"/>
    </sheetView>
  </sheetViews>
  <sheetFormatPr defaultRowHeight="12.75"/>
  <sheetData/>
  <phoneticPr fontId="5" type="noConversion"/>
  <pageMargins left="0.5" right="0.5" top="0.75" bottom="0.5" header="0.3" footer="0.3"/>
  <pageSetup scale="94" fitToHeight="0" orientation="landscape" r:id="rId1"/>
  <headerFooter alignWithMargins="0"/>
  <rowBreaks count="1" manualBreakCount="1">
    <brk id="42" max="16383" man="1"/>
  </rowBreaks>
  <drawing r:id="rId2"/>
</worksheet>
</file>

<file path=xl/worksheets/sheet13.xml><?xml version="1.0" encoding="utf-8"?>
<worksheet xmlns="http://schemas.openxmlformats.org/spreadsheetml/2006/main" xmlns:r="http://schemas.openxmlformats.org/officeDocument/2006/relationships">
  <sheetPr>
    <tabColor indexed="29"/>
    <pageSetUpPr fitToPage="1"/>
  </sheetPr>
  <dimension ref="A1:P80"/>
  <sheetViews>
    <sheetView zoomScaleNormal="100" workbookViewId="0">
      <selection activeCell="P3" sqref="P3"/>
    </sheetView>
  </sheetViews>
  <sheetFormatPr defaultRowHeight="12.75"/>
  <sheetData>
    <row r="1" spans="1:16" ht="27.75">
      <c r="A1" s="431" t="s">
        <v>623</v>
      </c>
      <c r="B1" s="431"/>
      <c r="C1" s="431"/>
      <c r="D1" s="431"/>
      <c r="E1" s="431"/>
      <c r="F1" s="431"/>
      <c r="G1" s="431"/>
      <c r="H1" s="431"/>
      <c r="I1" s="431"/>
      <c r="J1" s="431"/>
      <c r="K1" s="431"/>
      <c r="L1" s="431"/>
      <c r="M1" s="431"/>
      <c r="N1" s="431"/>
      <c r="O1" s="431"/>
      <c r="P1" s="431"/>
    </row>
    <row r="2" spans="1:16" ht="23.25">
      <c r="A2" s="312"/>
    </row>
    <row r="77" spans="1:16" ht="27.75">
      <c r="A77" s="431" t="s">
        <v>624</v>
      </c>
      <c r="B77" s="431"/>
      <c r="C77" s="431"/>
      <c r="D77" s="431"/>
      <c r="E77" s="431"/>
      <c r="F77" s="431"/>
      <c r="G77" s="431"/>
      <c r="H77" s="431"/>
      <c r="I77" s="431"/>
      <c r="J77" s="431"/>
      <c r="K77" s="431"/>
      <c r="L77" s="431"/>
      <c r="M77" s="431"/>
      <c r="N77" s="431"/>
      <c r="O77" s="431"/>
      <c r="P77" s="431"/>
    </row>
    <row r="78" spans="1:16" s="321" customFormat="1">
      <c r="A78" s="368"/>
      <c r="B78" s="368"/>
      <c r="C78" s="368"/>
      <c r="D78" s="368"/>
      <c r="E78" s="368"/>
      <c r="F78" s="368"/>
      <c r="G78" s="368"/>
      <c r="H78" s="368"/>
      <c r="I78" s="368"/>
      <c r="J78" s="368"/>
      <c r="K78" s="368"/>
      <c r="L78" s="368"/>
      <c r="M78" s="368"/>
      <c r="N78" s="368"/>
      <c r="O78" s="368"/>
      <c r="P78" s="368"/>
    </row>
    <row r="79" spans="1:16" s="321" customFormat="1">
      <c r="A79" s="368"/>
      <c r="B79" s="368"/>
      <c r="C79" s="368"/>
      <c r="D79" s="368"/>
      <c r="E79" s="368"/>
      <c r="F79" s="368"/>
      <c r="G79" s="368"/>
      <c r="H79" s="368"/>
      <c r="I79" s="368"/>
      <c r="J79" s="368"/>
      <c r="K79" s="368"/>
      <c r="L79" s="368"/>
      <c r="M79" s="368"/>
      <c r="N79" s="368"/>
      <c r="O79" s="368"/>
      <c r="P79" s="368"/>
    </row>
    <row r="80" spans="1:16" s="321" customFormat="1">
      <c r="A80" s="368"/>
      <c r="B80" s="368"/>
      <c r="C80" s="368"/>
      <c r="D80" s="368"/>
      <c r="E80" s="368"/>
      <c r="F80" s="368"/>
      <c r="G80" s="368"/>
      <c r="H80" s="368"/>
      <c r="I80" s="368"/>
      <c r="J80" s="368"/>
      <c r="K80" s="368"/>
      <c r="L80" s="368"/>
      <c r="M80" s="368"/>
      <c r="N80" s="368"/>
      <c r="O80" s="368"/>
      <c r="P80" s="368"/>
    </row>
  </sheetData>
  <mergeCells count="2">
    <mergeCell ref="A1:P1"/>
    <mergeCell ref="A77:P77"/>
  </mergeCells>
  <phoneticPr fontId="5" type="noConversion"/>
  <pageMargins left="0.5" right="0.5" top="0.75" bottom="0.5" header="0.3" footer="0.3"/>
  <pageSetup scale="66" fitToHeight="0" orientation="portrait" r:id="rId1"/>
  <headerFooter alignWithMargins="0"/>
  <rowBreaks count="1" manualBreakCount="1">
    <brk id="75" max="15" man="1"/>
  </rowBreaks>
  <drawing r:id="rId2"/>
</worksheet>
</file>

<file path=xl/worksheets/sheet14.xml><?xml version="1.0" encoding="utf-8"?>
<worksheet xmlns="http://schemas.openxmlformats.org/spreadsheetml/2006/main" xmlns:r="http://schemas.openxmlformats.org/officeDocument/2006/relationships">
  <sheetPr enableFormatConditionsCalculation="0">
    <tabColor indexed="9"/>
  </sheetPr>
  <dimension ref="A1:R26"/>
  <sheetViews>
    <sheetView workbookViewId="0">
      <selection activeCell="Q18" sqref="Q18"/>
    </sheetView>
  </sheetViews>
  <sheetFormatPr defaultRowHeight="12.75"/>
  <cols>
    <col min="1" max="1" width="37.42578125" bestFit="1" customWidth="1"/>
  </cols>
  <sheetData>
    <row r="1" spans="1:18">
      <c r="B1" s="8" t="s">
        <v>603</v>
      </c>
      <c r="C1" s="8" t="s">
        <v>602</v>
      </c>
      <c r="D1" s="8"/>
      <c r="E1" s="8" t="s">
        <v>604</v>
      </c>
      <c r="F1" s="8" t="s">
        <v>602</v>
      </c>
      <c r="G1" s="8"/>
      <c r="H1" s="8" t="s">
        <v>601</v>
      </c>
      <c r="I1" s="8" t="s">
        <v>602</v>
      </c>
      <c r="K1" s="8" t="s">
        <v>599</v>
      </c>
      <c r="L1" s="8" t="s">
        <v>600</v>
      </c>
      <c r="M1" s="8"/>
      <c r="N1" s="8" t="s">
        <v>599</v>
      </c>
      <c r="O1" s="8" t="s">
        <v>602</v>
      </c>
      <c r="P1" s="8"/>
      <c r="Q1" s="8" t="s">
        <v>609</v>
      </c>
      <c r="R1" s="8" t="s">
        <v>602</v>
      </c>
    </row>
    <row r="2" spans="1:18">
      <c r="A2" t="s">
        <v>605</v>
      </c>
      <c r="C2" s="302">
        <v>1.25</v>
      </c>
      <c r="F2" s="302">
        <v>1.25</v>
      </c>
      <c r="I2" s="302">
        <v>1.07</v>
      </c>
      <c r="L2" s="302">
        <v>1.1000000000000001</v>
      </c>
      <c r="M2" s="109"/>
      <c r="O2" s="302">
        <v>1.115</v>
      </c>
      <c r="R2" s="302">
        <v>1.25</v>
      </c>
    </row>
    <row r="3" spans="1:18">
      <c r="A3" t="s">
        <v>606</v>
      </c>
      <c r="C3" s="21">
        <f>+B8*C2/C8</f>
        <v>0.60606060606060608</v>
      </c>
      <c r="F3" s="21">
        <f>+E8*F2/F8</f>
        <v>0.66287878787878785</v>
      </c>
      <c r="I3" s="21">
        <f>+H8*I2/I8</f>
        <v>0.54148484848484846</v>
      </c>
      <c r="L3" s="21">
        <f>+K8*L2/L8</f>
        <v>0.69882352941176473</v>
      </c>
      <c r="M3" s="109"/>
      <c r="O3" s="21">
        <f>+N8*O2/O8</f>
        <v>0.36490909090909091</v>
      </c>
      <c r="R3" s="21">
        <f>+Q8*R2/R8</f>
        <v>0.56818181818181823</v>
      </c>
    </row>
    <row r="4" spans="1:18">
      <c r="M4" s="113"/>
    </row>
    <row r="5" spans="1:18">
      <c r="A5" t="s">
        <v>589</v>
      </c>
      <c r="C5" s="21">
        <f>(C8-B13)*C3/B14</f>
        <v>1.2436143039591314</v>
      </c>
      <c r="F5" s="21">
        <f>(F8-E13)*F3/E14</f>
        <v>1.2430156449553</v>
      </c>
      <c r="I5" s="21">
        <f>(I8-H13)*I3/H14</f>
        <v>1.2006120367222035</v>
      </c>
      <c r="L5" s="21">
        <f>(L8-K13)*L3/K14</f>
        <v>1.0670924369747898</v>
      </c>
      <c r="M5" s="109"/>
      <c r="O5" s="21">
        <f>(O8-N13)*O3/N14</f>
        <v>1.200547807197053</v>
      </c>
      <c r="R5" s="21">
        <f>(R8-Q13)*R3/Q14</f>
        <v>1.2440134099616857</v>
      </c>
    </row>
    <row r="6" spans="1:18">
      <c r="C6" s="3"/>
      <c r="F6" s="3"/>
      <c r="I6" s="3"/>
      <c r="L6" s="3"/>
      <c r="M6" s="140"/>
      <c r="O6" s="3"/>
      <c r="R6" s="3"/>
    </row>
    <row r="7" spans="1:18">
      <c r="B7" s="5" t="s">
        <v>590</v>
      </c>
      <c r="C7" s="5" t="s">
        <v>591</v>
      </c>
      <c r="E7" s="5" t="s">
        <v>590</v>
      </c>
      <c r="F7" s="5" t="s">
        <v>591</v>
      </c>
      <c r="H7" s="5" t="s">
        <v>590</v>
      </c>
      <c r="I7" s="5" t="s">
        <v>591</v>
      </c>
      <c r="K7" s="5" t="s">
        <v>590</v>
      </c>
      <c r="L7" s="5" t="s">
        <v>591</v>
      </c>
      <c r="M7" s="262"/>
      <c r="N7" s="5" t="s">
        <v>590</v>
      </c>
      <c r="O7" s="5" t="s">
        <v>591</v>
      </c>
      <c r="Q7" s="5" t="s">
        <v>590</v>
      </c>
      <c r="R7" s="5" t="s">
        <v>591</v>
      </c>
    </row>
    <row r="8" spans="1:18">
      <c r="A8" t="s">
        <v>595</v>
      </c>
      <c r="B8" s="304">
        <v>160</v>
      </c>
      <c r="C8" s="304">
        <v>330</v>
      </c>
      <c r="E8" s="304">
        <v>175</v>
      </c>
      <c r="F8" s="304">
        <v>330</v>
      </c>
      <c r="H8" s="304">
        <v>167</v>
      </c>
      <c r="I8" s="304">
        <v>330</v>
      </c>
      <c r="K8" s="304">
        <v>108</v>
      </c>
      <c r="L8" s="304">
        <v>170</v>
      </c>
      <c r="M8" s="140"/>
      <c r="N8" s="304">
        <v>108</v>
      </c>
      <c r="O8" s="304">
        <v>330</v>
      </c>
      <c r="Q8" s="304">
        <v>150</v>
      </c>
      <c r="R8" s="304">
        <v>330</v>
      </c>
    </row>
    <row r="9" spans="1:18">
      <c r="A9" t="s">
        <v>594</v>
      </c>
      <c r="B9" s="302">
        <v>0.87</v>
      </c>
      <c r="C9" s="302">
        <v>0.9</v>
      </c>
      <c r="E9" s="302">
        <v>0.87</v>
      </c>
      <c r="F9" s="302">
        <v>0.9</v>
      </c>
      <c r="H9" s="302">
        <v>0.99</v>
      </c>
      <c r="I9" s="302">
        <v>0.9</v>
      </c>
      <c r="K9" s="302">
        <v>0.94499999999999995</v>
      </c>
      <c r="L9" s="302">
        <v>0.99</v>
      </c>
      <c r="M9" s="109"/>
      <c r="N9" s="302">
        <v>0.95</v>
      </c>
      <c r="O9" s="302">
        <v>0.9</v>
      </c>
      <c r="Q9" s="302">
        <v>0.87</v>
      </c>
      <c r="R9" s="302">
        <v>0.9</v>
      </c>
    </row>
    <row r="10" spans="1:18">
      <c r="A10" t="s">
        <v>593</v>
      </c>
      <c r="B10" s="4">
        <f>+B8/B9</f>
        <v>183.90804597701148</v>
      </c>
      <c r="C10" s="4">
        <f>+C8/C9</f>
        <v>366.66666666666669</v>
      </c>
      <c r="E10" s="4">
        <f>+E8/E9</f>
        <v>201.14942528735634</v>
      </c>
      <c r="F10" s="4">
        <f>+F8/F9</f>
        <v>366.66666666666669</v>
      </c>
      <c r="H10" s="4">
        <f>+H8/H9</f>
        <v>168.68686868686868</v>
      </c>
      <c r="I10" s="4">
        <f>+I8/I9</f>
        <v>366.66666666666669</v>
      </c>
      <c r="K10" s="4">
        <f>+K8/K9</f>
        <v>114.28571428571429</v>
      </c>
      <c r="L10" s="4">
        <f>+L8/L9</f>
        <v>171.71717171717171</v>
      </c>
      <c r="M10" s="145"/>
      <c r="N10" s="4">
        <f>+N8/N9</f>
        <v>113.68421052631579</v>
      </c>
      <c r="O10" s="4">
        <f>+O8/O9</f>
        <v>366.66666666666669</v>
      </c>
      <c r="Q10" s="4">
        <f>+Q8/Q9</f>
        <v>172.41379310344828</v>
      </c>
      <c r="R10" s="4">
        <f>+R8/R9</f>
        <v>366.66666666666669</v>
      </c>
    </row>
    <row r="11" spans="1:18">
      <c r="M11" s="113"/>
    </row>
    <row r="12" spans="1:18">
      <c r="A12" t="s">
        <v>597</v>
      </c>
      <c r="B12" s="4">
        <f>(C10-C8)*C3</f>
        <v>22.222222222222236</v>
      </c>
      <c r="E12" s="4">
        <f>(F10-F8)*F3</f>
        <v>24.305555555555568</v>
      </c>
      <c r="H12" s="4">
        <f>(I10-I8)*I3</f>
        <v>19.854444444444454</v>
      </c>
      <c r="K12" s="4">
        <f>(L10-L8)*L3</f>
        <v>1.1999999999999944</v>
      </c>
      <c r="M12" s="113"/>
      <c r="N12" s="4">
        <f>(O10-O8)*O3</f>
        <v>13.380000000000006</v>
      </c>
      <c r="Q12" s="4">
        <f>(R10-R8)*R3</f>
        <v>20.833333333333346</v>
      </c>
    </row>
    <row r="13" spans="1:18">
      <c r="A13" t="s">
        <v>598</v>
      </c>
      <c r="B13" s="4">
        <f>IF(B8+B8/B9*(1-B9)-B8*C2/C9*(1-C9)&gt;B8,B8/B9*(1-B9)-B8*C2/C9*(1-C9),0)</f>
        <v>1.6858237547892756</v>
      </c>
      <c r="E13" s="4">
        <f>IF(E8+E8/E9*(1-E9)-E8*F2/F9*(1-F9)&gt;E8,E8/E9*(1-E9)-E8*F2/F9*(1-F9),0)</f>
        <v>1.8438697318007762</v>
      </c>
      <c r="H13" s="4">
        <f>IF(H8+H8/H9*(1-H9)-H8*I2/I9*(1-I9)&gt;H8,H8/H9*(1-H9)-H8*I2/I9*(1-I9),0)</f>
        <v>0</v>
      </c>
      <c r="K13" s="4">
        <f>IF(K8+K8/K9*(1-K9)-K8*L2/L9*(1-L9)&gt;K8,K8/K9*(1-K9)-K8*L2/L9*(1-L9),0)</f>
        <v>5.0857142857142907</v>
      </c>
      <c r="M13" s="113"/>
      <c r="N13" s="4">
        <f>IF(N8+N8/N9*(1-N9)-N8*O2/O9*(1-O9)&gt;N8,N8/N9*(1-N9)-N8*O2/O9*(1-O9),0)</f>
        <v>0</v>
      </c>
      <c r="Q13" s="4">
        <f>IF(Q8+Q8/Q9*(1-Q9)-Q8*R2/R9*(1-R9)&gt;Q8,Q8/Q9*(1-Q9)-Q8*R2/R9*(1-R9),0)</f>
        <v>1.5804597701149525</v>
      </c>
    </row>
    <row r="14" spans="1:18">
      <c r="A14" t="s">
        <v>596</v>
      </c>
      <c r="B14" s="4">
        <f>MIN(B8+B8/B9*(1-B9)-B8*C2/C9*(1-C9),B8)</f>
        <v>160</v>
      </c>
      <c r="C14" s="4">
        <f>+B14/C3</f>
        <v>264</v>
      </c>
      <c r="E14" s="4">
        <f>MIN(E8+E8/E9*(1-E9)-E8*F2/F9*(1-F9),E8)</f>
        <v>175</v>
      </c>
      <c r="F14" s="4">
        <f>+E14/F3</f>
        <v>264</v>
      </c>
      <c r="H14" s="4">
        <f>MIN(H8+H8/H9*(1-H9)-H8*I2/I9*(1-I9),H8)</f>
        <v>148.83242424242422</v>
      </c>
      <c r="I14" s="4">
        <f>+H14/I3</f>
        <v>274.85981308411215</v>
      </c>
      <c r="K14" s="4">
        <f>MIN(K8+K8/K9*(1-K9)-K8*L2/L9*(1-L9),K8)</f>
        <v>108</v>
      </c>
      <c r="L14" s="4">
        <f>+K14/L3</f>
        <v>154.54545454545453</v>
      </c>
      <c r="M14" s="145"/>
      <c r="N14" s="4">
        <f>MIN(N8+N8/N9*(1-N9)-N8*O2/O9*(1-O9),N8)</f>
        <v>100.3042105263158</v>
      </c>
      <c r="O14" s="4">
        <f>+N14/O3</f>
        <v>274.87451813389981</v>
      </c>
      <c r="Q14" s="4">
        <f>MIN(Q8+Q8/Q9*(1-Q9)-Q8*R2/R9*(1-R9),Q8)</f>
        <v>150</v>
      </c>
      <c r="R14" s="4">
        <f>+Q14/R3</f>
        <v>264</v>
      </c>
    </row>
    <row r="15" spans="1:18">
      <c r="M15" s="113"/>
    </row>
    <row r="16" spans="1:18">
      <c r="M16" s="113"/>
    </row>
    <row r="17" spans="1:18">
      <c r="A17" t="s">
        <v>592</v>
      </c>
      <c r="B17" s="8" t="s">
        <v>603</v>
      </c>
      <c r="C17" s="8" t="s">
        <v>602</v>
      </c>
      <c r="D17" s="8"/>
      <c r="E17" s="8" t="s">
        <v>604</v>
      </c>
      <c r="F17" s="8" t="s">
        <v>602</v>
      </c>
      <c r="G17" s="8"/>
      <c r="H17" s="8" t="s">
        <v>601</v>
      </c>
      <c r="I17" s="8" t="s">
        <v>602</v>
      </c>
      <c r="K17" s="8" t="s">
        <v>599</v>
      </c>
      <c r="L17" s="8" t="s">
        <v>600</v>
      </c>
      <c r="M17" s="309"/>
      <c r="N17" s="8" t="s">
        <v>599</v>
      </c>
      <c r="O17" s="8" t="s">
        <v>602</v>
      </c>
      <c r="P17" s="8"/>
      <c r="Q17" s="8" t="s">
        <v>609</v>
      </c>
      <c r="R17" s="8" t="s">
        <v>602</v>
      </c>
    </row>
    <row r="18" spans="1:18">
      <c r="A18" t="s">
        <v>220</v>
      </c>
      <c r="B18" s="305">
        <f>+B14</f>
        <v>160</v>
      </c>
      <c r="C18" s="306">
        <f>C8</f>
        <v>330</v>
      </c>
      <c r="E18" s="305">
        <f>+E14</f>
        <v>175</v>
      </c>
      <c r="F18" s="306">
        <f>F8</f>
        <v>330</v>
      </c>
      <c r="H18" s="305">
        <f>+H14</f>
        <v>148.83242424242422</v>
      </c>
      <c r="I18" s="306">
        <f>I8</f>
        <v>330</v>
      </c>
      <c r="K18" s="305">
        <f>+K14</f>
        <v>108</v>
      </c>
      <c r="L18" s="306">
        <f>L8</f>
        <v>170</v>
      </c>
      <c r="M18" s="140"/>
      <c r="N18" s="305">
        <f>+N14</f>
        <v>100.3042105263158</v>
      </c>
      <c r="O18" s="306">
        <f>O8</f>
        <v>330</v>
      </c>
      <c r="Q18" s="305">
        <f>+Q14</f>
        <v>150</v>
      </c>
      <c r="R18" s="306">
        <f>R8</f>
        <v>330</v>
      </c>
    </row>
    <row r="19" spans="1:18">
      <c r="A19" s="29" t="s">
        <v>219</v>
      </c>
      <c r="B19" s="308">
        <f>C18*C3/B18</f>
        <v>1.25</v>
      </c>
      <c r="C19" s="308"/>
      <c r="D19" s="94"/>
      <c r="E19" s="308">
        <f>F18*F3/E18</f>
        <v>1.25</v>
      </c>
      <c r="F19" s="308"/>
      <c r="G19" s="94"/>
      <c r="H19" s="308">
        <f>I18*I3/H18</f>
        <v>1.2006120367222035</v>
      </c>
      <c r="I19" s="306"/>
      <c r="K19" s="308">
        <f>L18*L3/K18</f>
        <v>1.1000000000000001</v>
      </c>
      <c r="L19" s="306"/>
      <c r="M19" s="140"/>
      <c r="N19" s="308">
        <f>O18*O3/N18</f>
        <v>1.200547807197053</v>
      </c>
      <c r="O19" s="308"/>
      <c r="P19" s="94"/>
      <c r="Q19" s="308">
        <f>R18*R3/Q18</f>
        <v>1.2500000000000002</v>
      </c>
      <c r="R19" s="308"/>
    </row>
    <row r="20" spans="1:18">
      <c r="M20" s="113"/>
    </row>
    <row r="21" spans="1:18">
      <c r="M21" s="113"/>
    </row>
    <row r="22" spans="1:18">
      <c r="M22" s="113"/>
    </row>
    <row r="25" spans="1:18">
      <c r="B25" s="303"/>
      <c r="C25" t="s">
        <v>588</v>
      </c>
    </row>
    <row r="26" spans="1:18">
      <c r="B26" s="307"/>
      <c r="C26" t="s">
        <v>610</v>
      </c>
    </row>
  </sheetData>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50"/>
  </sheetPr>
  <dimension ref="A1:Y76"/>
  <sheetViews>
    <sheetView zoomScaleNormal="100" workbookViewId="0">
      <selection activeCell="E3" sqref="E3"/>
    </sheetView>
  </sheetViews>
  <sheetFormatPr defaultRowHeight="12.75"/>
  <cols>
    <col min="3" max="3" width="11" customWidth="1"/>
    <col min="4" max="4" width="10.5703125" customWidth="1"/>
    <col min="5" max="5" width="13.28515625" customWidth="1"/>
    <col min="7" max="7" width="12.42578125" customWidth="1"/>
    <col min="9" max="9" width="11.28515625" customWidth="1"/>
    <col min="12" max="12" width="11.140625" customWidth="1"/>
    <col min="15" max="15" width="12.28515625" style="289" customWidth="1"/>
  </cols>
  <sheetData>
    <row r="1" spans="1:22" ht="18">
      <c r="A1" s="423" t="s">
        <v>210</v>
      </c>
      <c r="B1" s="423"/>
      <c r="C1" s="423"/>
      <c r="D1" s="423"/>
      <c r="E1" s="423"/>
      <c r="F1" s="423"/>
      <c r="G1" s="423"/>
      <c r="H1" s="423"/>
      <c r="I1" s="423"/>
      <c r="J1" s="423"/>
      <c r="K1" s="423"/>
      <c r="L1" s="175"/>
      <c r="O1" s="285"/>
    </row>
    <row r="2" spans="1:22" ht="16.5" thickBot="1">
      <c r="A2" s="16"/>
      <c r="B2" s="8"/>
      <c r="C2" s="8"/>
      <c r="D2" s="8"/>
      <c r="E2" s="8"/>
      <c r="F2" s="422" t="s">
        <v>222</v>
      </c>
      <c r="G2" s="422"/>
      <c r="H2" s="422"/>
      <c r="I2" s="422"/>
      <c r="J2" s="422"/>
      <c r="K2" s="422"/>
      <c r="L2" s="19" t="s">
        <v>231</v>
      </c>
      <c r="O2" s="285"/>
    </row>
    <row r="3" spans="1:22" ht="15.75">
      <c r="A3" s="16"/>
      <c r="B3" s="16"/>
      <c r="C3" s="36"/>
      <c r="D3" s="160" t="s">
        <v>227</v>
      </c>
      <c r="E3" s="399" t="s">
        <v>607</v>
      </c>
      <c r="F3" s="1" t="s">
        <v>223</v>
      </c>
      <c r="G3" s="1" t="s">
        <v>607</v>
      </c>
      <c r="H3" s="1" t="s">
        <v>225</v>
      </c>
      <c r="I3" s="1" t="s">
        <v>402</v>
      </c>
      <c r="J3" s="1" t="s">
        <v>233</v>
      </c>
      <c r="K3" s="1" t="s">
        <v>224</v>
      </c>
      <c r="L3" s="1" t="s">
        <v>226</v>
      </c>
      <c r="M3" s="16"/>
      <c r="N3" s="16"/>
      <c r="O3" s="301" t="s">
        <v>608</v>
      </c>
      <c r="P3" s="36"/>
      <c r="Q3" s="160"/>
      <c r="R3" s="1"/>
      <c r="S3" s="1"/>
      <c r="T3" s="1"/>
      <c r="U3" s="1"/>
      <c r="V3" s="1"/>
    </row>
    <row r="4" spans="1:22">
      <c r="A4" s="63" t="s">
        <v>5</v>
      </c>
      <c r="B4" s="156"/>
      <c r="C4" s="23"/>
      <c r="D4" s="23"/>
      <c r="E4" s="10"/>
      <c r="M4" s="63"/>
      <c r="N4" s="63"/>
      <c r="O4" s="287"/>
      <c r="P4" s="23"/>
      <c r="Q4" s="23"/>
      <c r="R4" s="10"/>
    </row>
    <row r="5" spans="1:22">
      <c r="A5" t="s">
        <v>220</v>
      </c>
      <c r="B5" s="156"/>
      <c r="C5" s="23"/>
      <c r="D5" s="23"/>
      <c r="E5" s="111">
        <f>IF(L5&gt;0,L5,IF($E$3=$F$3,F5,IF($E$3=$G$3,G5,IF($E$3=$H$3,H5,IF($E$3=$I$3,I5,IF($E$3=$J$3,J5,IF($E$3=$K$3,K5)))))))</f>
        <v>175</v>
      </c>
      <c r="F5" s="140">
        <v>160</v>
      </c>
      <c r="G5" s="140">
        <v>175</v>
      </c>
      <c r="H5" s="3">
        <v>150</v>
      </c>
      <c r="I5" s="140">
        <v>108</v>
      </c>
      <c r="J5" s="140">
        <v>100</v>
      </c>
      <c r="L5" s="140"/>
      <c r="O5" s="288">
        <v>150</v>
      </c>
      <c r="P5" s="23"/>
      <c r="Q5" s="23"/>
      <c r="R5" s="140"/>
      <c r="S5" s="140"/>
      <c r="T5" s="3"/>
      <c r="U5" s="140"/>
      <c r="V5" s="140"/>
    </row>
    <row r="6" spans="1:22">
      <c r="A6" s="173" t="s">
        <v>8</v>
      </c>
      <c r="B6" s="23"/>
      <c r="C6" s="23"/>
      <c r="D6" s="23"/>
      <c r="E6" s="111"/>
      <c r="F6" s="113"/>
      <c r="G6" s="113"/>
      <c r="I6" s="161"/>
      <c r="J6" s="161"/>
      <c r="M6" s="173"/>
      <c r="N6" s="173"/>
      <c r="O6" s="288"/>
      <c r="P6" s="23"/>
      <c r="Q6" s="23"/>
      <c r="R6" s="140"/>
      <c r="S6" s="113"/>
      <c r="U6" s="161"/>
      <c r="V6" s="161"/>
    </row>
    <row r="7" spans="1:22">
      <c r="A7" s="12" t="s">
        <v>6</v>
      </c>
      <c r="B7" s="11"/>
      <c r="C7" s="11"/>
      <c r="D7" s="11"/>
      <c r="E7" s="111">
        <f>IF(L7&gt;0,L7,IF($E$3=$F$3,F7,IF($E$3=$G$3,G7,IF($E$3=$H$3,H7,IF($E$3=$I$3,I7,IF($E$3=$J$3,J7,IF($E$3=$K$3,K7)))))))</f>
        <v>89</v>
      </c>
      <c r="F7" s="140">
        <f>100-F8-F9</f>
        <v>89</v>
      </c>
      <c r="G7" s="140">
        <f>100-G8-G9</f>
        <v>89</v>
      </c>
      <c r="H7" s="140">
        <f>100-H8-H9</f>
        <v>89</v>
      </c>
      <c r="I7" s="140">
        <f>100-I8-I9</f>
        <v>89</v>
      </c>
      <c r="J7" s="140">
        <f>100-J8-J9</f>
        <v>89</v>
      </c>
      <c r="M7" s="12"/>
      <c r="N7" s="12"/>
      <c r="O7" s="288">
        <v>89</v>
      </c>
      <c r="P7" s="11"/>
      <c r="Q7" s="11"/>
      <c r="R7" s="140"/>
      <c r="S7" s="140"/>
      <c r="T7" s="140"/>
      <c r="U7" s="140"/>
      <c r="V7" s="140"/>
    </row>
    <row r="8" spans="1:22">
      <c r="A8" s="12" t="s">
        <v>10</v>
      </c>
      <c r="B8" s="37"/>
      <c r="C8" s="37"/>
      <c r="D8" s="37"/>
      <c r="E8" s="111">
        <f>IF(L8&gt;0,L8,IF($E$3=$F$3,F8,IF($E$3=$G$3,G8,IF($E$3=$H$3,H8,IF($E$3=$I$3,I8,IF($E$3=$J$3,J8,IF($E$3=$K$3,K8)))))))</f>
        <v>6</v>
      </c>
      <c r="F8" s="140">
        <v>6</v>
      </c>
      <c r="G8" s="140">
        <v>6</v>
      </c>
      <c r="H8" s="140">
        <v>6</v>
      </c>
      <c r="I8" s="140">
        <v>6</v>
      </c>
      <c r="J8" s="140">
        <v>6</v>
      </c>
      <c r="M8" s="12"/>
      <c r="N8" s="12"/>
      <c r="O8" s="288">
        <v>6</v>
      </c>
      <c r="P8" s="37"/>
      <c r="Q8" s="37"/>
      <c r="R8" s="140"/>
      <c r="S8" s="140"/>
      <c r="T8" s="140"/>
      <c r="U8" s="140"/>
      <c r="V8" s="140"/>
    </row>
    <row r="9" spans="1:22">
      <c r="A9" s="10" t="s">
        <v>11</v>
      </c>
      <c r="B9" s="10"/>
      <c r="C9" s="10"/>
      <c r="D9" s="10"/>
      <c r="E9" s="111">
        <f>IF(L9&gt;0,L9,IF($E$3=$F$3,F9,IF($E$3=$G$3,G9,IF($E$3=$H$3,H9,IF($E$3=$I$3,I9,IF($E$3=$J$3,J9,IF($E$3=$K$3,K9)))))))</f>
        <v>5</v>
      </c>
      <c r="F9" s="162">
        <v>5</v>
      </c>
      <c r="G9" s="162">
        <v>5</v>
      </c>
      <c r="H9" s="162">
        <v>5</v>
      </c>
      <c r="I9" s="162">
        <v>5</v>
      </c>
      <c r="J9" s="162">
        <v>5</v>
      </c>
      <c r="M9" s="10"/>
      <c r="N9" s="10"/>
      <c r="O9" s="289">
        <v>5</v>
      </c>
      <c r="P9" s="10"/>
      <c r="Q9" s="10"/>
      <c r="R9" s="140"/>
      <c r="S9" s="162"/>
      <c r="T9" s="162"/>
      <c r="U9" s="162"/>
      <c r="V9" s="162"/>
    </row>
    <row r="10" spans="1:22">
      <c r="A10" s="157" t="s">
        <v>310</v>
      </c>
      <c r="B10" s="10"/>
      <c r="C10" s="10"/>
      <c r="D10" s="10"/>
      <c r="E10" s="111" t="str">
        <f>IF(L10&gt;0,L10,IF($E$3=$F$3,F10,IF($E$3=$G$3,G10,IF($E$3=$H$3,H10,IF($E$3=$I$3,I10,IF($E$3=$J$3,J10,IF($E$3=$K$3,K10)))))))</f>
        <v>NMP</v>
      </c>
      <c r="F10" s="162" t="s">
        <v>311</v>
      </c>
      <c r="G10" s="162" t="s">
        <v>311</v>
      </c>
      <c r="H10" s="162" t="s">
        <v>311</v>
      </c>
      <c r="I10" s="162" t="s">
        <v>311</v>
      </c>
      <c r="J10" s="162" t="s">
        <v>311</v>
      </c>
      <c r="M10" s="157"/>
      <c r="N10" s="157"/>
      <c r="O10" s="289" t="s">
        <v>311</v>
      </c>
      <c r="P10" s="10"/>
      <c r="Q10" s="10"/>
      <c r="R10" s="140"/>
      <c r="S10" s="162"/>
      <c r="T10" s="162"/>
      <c r="U10" s="162"/>
      <c r="V10" s="162"/>
    </row>
    <row r="11" spans="1:22">
      <c r="A11" s="157" t="s">
        <v>372</v>
      </c>
      <c r="B11" s="15"/>
      <c r="C11" s="15"/>
      <c r="D11" s="15"/>
      <c r="E11" s="111">
        <f>IF(L11&gt;0,L11,IF($E$3=$F$3,F11,IF($E$3=$G$3,G11,IF($E$3=$H$3,H11,IF($E$3=$I$3,I11,IF($E$3=$J$3,J11,IF($E$3=$K$3,K11)))))))</f>
        <v>32</v>
      </c>
      <c r="F11" s="163">
        <v>32</v>
      </c>
      <c r="G11" s="163">
        <v>32</v>
      </c>
      <c r="H11" s="163">
        <v>50</v>
      </c>
      <c r="I11" s="163">
        <v>32</v>
      </c>
      <c r="J11" s="163">
        <v>32</v>
      </c>
      <c r="L11" s="163"/>
      <c r="M11" s="157"/>
      <c r="N11" s="157"/>
      <c r="O11" s="290">
        <v>32</v>
      </c>
      <c r="P11" s="15"/>
      <c r="Q11" s="15"/>
      <c r="R11" s="140"/>
      <c r="S11" s="163"/>
      <c r="T11" s="163"/>
      <c r="U11" s="163"/>
      <c r="V11" s="163"/>
    </row>
    <row r="12" spans="1:22" ht="14.25">
      <c r="A12" s="157" t="s">
        <v>211</v>
      </c>
      <c r="B12" s="15"/>
      <c r="C12" s="15"/>
      <c r="D12" s="15"/>
      <c r="E12" s="111"/>
      <c r="F12" s="113"/>
      <c r="G12" s="113"/>
      <c r="I12" s="163"/>
      <c r="J12" s="163"/>
      <c r="M12" s="157"/>
      <c r="N12" s="157"/>
      <c r="O12" s="291"/>
      <c r="P12" s="15"/>
      <c r="Q12" s="15"/>
      <c r="R12" s="140"/>
      <c r="S12" s="113"/>
      <c r="U12" s="163"/>
      <c r="V12" s="163"/>
    </row>
    <row r="13" spans="1:22">
      <c r="A13" s="12" t="s">
        <v>6</v>
      </c>
      <c r="B13" s="15"/>
      <c r="C13" s="15"/>
      <c r="D13" s="15"/>
      <c r="E13" s="111">
        <f>IF(L13&gt;0,L13,IF($E$3=$F$3,F13,IF($E$3=$G$3,G13,IF($E$3=$H$3,H13,IF($E$3=$I$3,I13,IF($E$3=$J$3,J13,IF($E$3=$K$3,K13)))))))</f>
        <v>4.6500000000000004</v>
      </c>
      <c r="F13" s="162">
        <v>4.78</v>
      </c>
      <c r="G13" s="162">
        <v>4.6500000000000004</v>
      </c>
      <c r="H13" s="162">
        <v>3.45</v>
      </c>
      <c r="I13" s="162">
        <v>4.2300000000000004</v>
      </c>
      <c r="J13" s="162">
        <v>4.2300000000000004</v>
      </c>
      <c r="M13" s="12"/>
      <c r="N13" s="12"/>
      <c r="O13" s="291">
        <v>4.6500000000000004</v>
      </c>
      <c r="P13" s="15"/>
      <c r="Q13" s="15"/>
      <c r="R13" s="140"/>
      <c r="S13" s="162"/>
      <c r="T13" s="162"/>
      <c r="U13" s="162"/>
      <c r="V13" s="162"/>
    </row>
    <row r="14" spans="1:22">
      <c r="A14" s="12" t="s">
        <v>10</v>
      </c>
      <c r="B14" s="15"/>
      <c r="C14" s="15"/>
      <c r="D14" s="15"/>
      <c r="E14" s="111">
        <f>IF(L14&gt;0,L14,IF($E$3=$F$3,F14,IF($E$3=$G$3,G14,IF($E$3=$H$3,H14,IF($E$3=$I$3,I14,IF($E$3=$J$3,J14,IF($E$3=$K$3,K14)))))))</f>
        <v>1.825</v>
      </c>
      <c r="F14" s="162">
        <v>1.825</v>
      </c>
      <c r="G14" s="162">
        <v>1.825</v>
      </c>
      <c r="H14" s="162">
        <v>1.825</v>
      </c>
      <c r="I14" s="162">
        <v>1.825</v>
      </c>
      <c r="J14" s="162">
        <v>1.825</v>
      </c>
      <c r="M14" s="12"/>
      <c r="N14" s="12"/>
      <c r="O14" s="291">
        <v>1.825</v>
      </c>
      <c r="P14" s="15"/>
      <c r="Q14" s="15"/>
      <c r="R14" s="140"/>
      <c r="S14" s="162"/>
      <c r="T14" s="162"/>
      <c r="U14" s="162"/>
      <c r="V14" s="162"/>
    </row>
    <row r="15" spans="1:22">
      <c r="A15" s="10" t="s">
        <v>11</v>
      </c>
      <c r="B15" s="15"/>
      <c r="C15" s="15"/>
      <c r="D15" s="15"/>
      <c r="E15" s="111">
        <f>IF(L15&gt;0,L15,IF($E$3=$F$3,F15,IF($E$3=$G$3,G15,IF($E$3=$H$3,H15,IF($E$3=$I$3,I15,IF($E$3=$J$3,J15,IF($E$3=$K$3,K15)))))))</f>
        <v>1.77</v>
      </c>
      <c r="F15" s="162">
        <v>1.77</v>
      </c>
      <c r="G15" s="162">
        <v>1.77</v>
      </c>
      <c r="H15" s="162">
        <v>1.77</v>
      </c>
      <c r="I15" s="162">
        <v>1.77</v>
      </c>
      <c r="J15" s="162">
        <v>1.77</v>
      </c>
      <c r="M15" s="10"/>
      <c r="N15" s="10"/>
      <c r="O15" s="291">
        <v>1.77</v>
      </c>
      <c r="P15" s="15"/>
      <c r="Q15" s="15"/>
      <c r="R15" s="140"/>
      <c r="S15" s="162"/>
      <c r="T15" s="162"/>
      <c r="U15" s="162"/>
      <c r="V15" s="162"/>
    </row>
    <row r="16" spans="1:22">
      <c r="A16" s="156" t="s">
        <v>212</v>
      </c>
      <c r="B16" s="27"/>
      <c r="C16" s="27"/>
      <c r="D16" s="27"/>
      <c r="E16" s="111"/>
      <c r="F16" s="113"/>
      <c r="G16" s="113"/>
      <c r="I16" s="164"/>
      <c r="J16" s="164"/>
      <c r="M16" s="156"/>
      <c r="N16" s="156"/>
      <c r="O16" s="288"/>
      <c r="P16" s="27"/>
      <c r="Q16" s="27"/>
      <c r="R16" s="140"/>
      <c r="S16" s="113"/>
      <c r="U16" s="164"/>
      <c r="V16" s="164"/>
    </row>
    <row r="17" spans="1:22">
      <c r="A17" s="29" t="s">
        <v>219</v>
      </c>
      <c r="B17" s="27"/>
      <c r="C17" s="27"/>
      <c r="D17" s="27"/>
      <c r="E17" s="111">
        <f>IF(L17&gt;0,L17,IF($E$3=$F$3,F17,IF($E$3=$G$3,G17,IF($E$3=$H$3,H17,IF($E$3=$I$3,I17,IF($E$3=$J$3,J17,IF($E$3=$K$3,K17)))))))</f>
        <v>1.25</v>
      </c>
      <c r="F17" s="162">
        <v>1.25</v>
      </c>
      <c r="G17" s="162">
        <v>1.25</v>
      </c>
      <c r="H17" s="162">
        <v>1.2</v>
      </c>
      <c r="I17" s="165">
        <v>1.1000000000000001</v>
      </c>
      <c r="J17" s="162">
        <v>1.2</v>
      </c>
      <c r="L17" s="162"/>
      <c r="M17" s="29"/>
      <c r="N17" s="29"/>
      <c r="O17" s="288">
        <v>1.25</v>
      </c>
      <c r="P17" s="27"/>
      <c r="Q17" s="27"/>
      <c r="R17" s="109"/>
      <c r="S17" s="162"/>
      <c r="T17" s="162"/>
      <c r="U17" s="165"/>
      <c r="V17" s="162"/>
    </row>
    <row r="18" spans="1:22">
      <c r="A18" t="s">
        <v>220</v>
      </c>
      <c r="B18" s="27"/>
      <c r="C18" s="27"/>
      <c r="D18" s="27"/>
      <c r="E18" s="111">
        <f>IF(L18&gt;0,L18,IF($E$3=$F$3,F18,IF($E$3=$G$3,G18,IF($E$3=$H$3,H18,IF($E$3=$I$3,I18,IF($E$3=$J$3,J18,IF($E$3=$K$3,K18)))))))</f>
        <v>330</v>
      </c>
      <c r="F18" s="162">
        <v>330</v>
      </c>
      <c r="G18" s="162">
        <v>330</v>
      </c>
      <c r="H18" s="162">
        <v>330</v>
      </c>
      <c r="I18" s="141">
        <v>170</v>
      </c>
      <c r="J18" s="162">
        <v>330</v>
      </c>
      <c r="L18" s="162"/>
      <c r="O18" s="288">
        <v>330</v>
      </c>
      <c r="P18" s="27"/>
      <c r="Q18" s="27"/>
      <c r="R18" s="140"/>
      <c r="S18" s="162"/>
      <c r="T18" s="162"/>
      <c r="U18" s="141"/>
      <c r="V18" s="162"/>
    </row>
    <row r="19" spans="1:22">
      <c r="A19" s="174" t="s">
        <v>8</v>
      </c>
      <c r="B19" s="27"/>
      <c r="C19" s="27"/>
      <c r="D19" s="27"/>
      <c r="E19" s="111"/>
      <c r="F19" s="113"/>
      <c r="G19" s="113"/>
      <c r="I19" s="164"/>
      <c r="J19" s="113"/>
      <c r="M19" s="174"/>
      <c r="N19" s="174"/>
      <c r="O19" s="288"/>
      <c r="P19" s="27"/>
      <c r="Q19" s="27"/>
      <c r="R19" s="140"/>
      <c r="S19" s="113"/>
      <c r="U19" s="164"/>
      <c r="V19" s="113"/>
    </row>
    <row r="20" spans="1:22">
      <c r="A20" s="55" t="s">
        <v>6</v>
      </c>
      <c r="B20" s="27"/>
      <c r="C20" s="27"/>
      <c r="D20" s="27"/>
      <c r="E20" s="111">
        <f>IF(L20&gt;0,L20,IF($E$3=$F$3,F20,IF($E$3=$G$3,G20,IF($E$3=$H$3,H20,IF($E$3=$I$3,I20,IF($E$3=$J$3,J20,IF($E$3=$K$3,K20)))))))</f>
        <v>95</v>
      </c>
      <c r="F20" s="166">
        <f>100-F21-F22</f>
        <v>95</v>
      </c>
      <c r="G20" s="166">
        <f>100-G21-G22</f>
        <v>95</v>
      </c>
      <c r="H20" s="166">
        <f>100-H21-H22</f>
        <v>95</v>
      </c>
      <c r="I20" s="166">
        <f>100-I21-I22</f>
        <v>89</v>
      </c>
      <c r="J20" s="166">
        <f>100-J21-J22</f>
        <v>95</v>
      </c>
      <c r="M20" s="55"/>
      <c r="N20" s="55"/>
      <c r="O20" s="292">
        <v>95</v>
      </c>
      <c r="P20" s="27"/>
      <c r="Q20" s="27"/>
      <c r="R20" s="140"/>
      <c r="S20" s="166"/>
      <c r="T20" s="166"/>
      <c r="U20" s="166"/>
      <c r="V20" s="166"/>
    </row>
    <row r="21" spans="1:22">
      <c r="A21" s="29" t="s">
        <v>10</v>
      </c>
      <c r="B21" s="27"/>
      <c r="C21" s="27"/>
      <c r="D21" s="27"/>
      <c r="E21" s="111">
        <f>IF(L21&gt;0,L21,IF($E$3=$F$3,F21,IF($E$3=$G$3,G21,IF($E$3=$H$3,H21,IF($E$3=$I$3,I21,IF($E$3=$J$3,J21,IF($E$3=$K$3,K21)))))))</f>
        <v>0</v>
      </c>
      <c r="F21" s="166">
        <v>0</v>
      </c>
      <c r="G21" s="166">
        <v>0</v>
      </c>
      <c r="H21" s="166">
        <v>0</v>
      </c>
      <c r="I21" s="166">
        <v>6</v>
      </c>
      <c r="J21" s="166">
        <v>0</v>
      </c>
      <c r="M21" s="29"/>
      <c r="N21" s="29"/>
      <c r="O21" s="292">
        <v>0</v>
      </c>
      <c r="P21" s="157"/>
      <c r="Q21" s="27"/>
      <c r="R21" s="140"/>
      <c r="S21" s="166"/>
      <c r="T21" s="166"/>
      <c r="U21" s="166"/>
      <c r="V21" s="166"/>
    </row>
    <row r="22" spans="1:22">
      <c r="A22" s="29" t="s">
        <v>11</v>
      </c>
      <c r="B22" s="27"/>
      <c r="C22" s="27"/>
      <c r="D22" s="27"/>
      <c r="E22" s="111">
        <f>IF(L22&gt;0,L22,IF($E$3=$F$3,F22,IF($E$3=$G$3,G22,IF($E$3=$H$3,H22,IF($E$3=$I$3,I22,IF($E$3=$J$3,J22,IF($E$3=$K$3,K22)))))))</f>
        <v>5</v>
      </c>
      <c r="F22" s="166">
        <v>5</v>
      </c>
      <c r="G22" s="166">
        <v>5</v>
      </c>
      <c r="H22" s="166">
        <v>5</v>
      </c>
      <c r="I22" s="166">
        <v>5</v>
      </c>
      <c r="J22" s="166">
        <v>5</v>
      </c>
      <c r="M22" s="29"/>
      <c r="N22" s="29"/>
      <c r="O22" s="292">
        <v>5</v>
      </c>
      <c r="P22" s="27"/>
      <c r="Q22" s="27"/>
      <c r="R22" s="140"/>
      <c r="S22" s="166"/>
      <c r="T22" s="166"/>
      <c r="U22" s="166"/>
      <c r="V22" s="166"/>
    </row>
    <row r="23" spans="1:22">
      <c r="A23" s="157" t="s">
        <v>310</v>
      </c>
      <c r="B23" s="27"/>
      <c r="C23" s="27"/>
      <c r="D23" s="27"/>
      <c r="E23" s="111" t="str">
        <f>IF(L23&gt;0,L23,IF($E$3=$F$3,F23,IF($E$3=$G$3,G23,IF($E$3=$H$3,H23,IF($E$3=$I$3,I23,IF($E$3=$J$3,J23,IF($E$3=$K$3,K23)))))))</f>
        <v>Water</v>
      </c>
      <c r="F23" s="166" t="s">
        <v>312</v>
      </c>
      <c r="G23" s="166" t="s">
        <v>312</v>
      </c>
      <c r="H23" s="166" t="s">
        <v>312</v>
      </c>
      <c r="I23" s="166" t="s">
        <v>312</v>
      </c>
      <c r="J23" s="166" t="s">
        <v>312</v>
      </c>
      <c r="M23" s="10"/>
      <c r="N23" s="10"/>
      <c r="O23" s="292" t="s">
        <v>312</v>
      </c>
      <c r="P23" s="27"/>
      <c r="Q23" s="27"/>
      <c r="R23" s="140"/>
      <c r="S23" s="166"/>
      <c r="T23" s="166"/>
      <c r="U23" s="166"/>
      <c r="V23" s="166"/>
    </row>
    <row r="24" spans="1:22">
      <c r="A24" s="157" t="s">
        <v>372</v>
      </c>
      <c r="B24" s="32"/>
      <c r="C24" s="32"/>
      <c r="D24" s="32"/>
      <c r="E24" s="111">
        <f>IF(L24&gt;0,L24,IF($E$3=$F$3,F24,IF($E$3=$G$3,G24,IF($E$3=$H$3,H24,IF($E$3=$I$3,I24,IF($E$3=$J$3,J24,IF($E$3=$K$3,K24)))))))</f>
        <v>34</v>
      </c>
      <c r="F24" s="141">
        <v>34</v>
      </c>
      <c r="G24" s="141">
        <v>34</v>
      </c>
      <c r="H24" s="141">
        <v>34</v>
      </c>
      <c r="I24" s="141">
        <v>40</v>
      </c>
      <c r="J24" s="141">
        <v>34</v>
      </c>
      <c r="M24" s="157"/>
      <c r="N24" s="157"/>
      <c r="O24" s="293">
        <v>34</v>
      </c>
      <c r="P24" s="32"/>
      <c r="Q24" s="32"/>
      <c r="R24" s="140"/>
      <c r="S24" s="141"/>
      <c r="T24" s="141"/>
      <c r="U24" s="141"/>
      <c r="V24" s="141"/>
    </row>
    <row r="25" spans="1:22" ht="14.25">
      <c r="A25" s="157" t="s">
        <v>211</v>
      </c>
      <c r="B25" s="32"/>
      <c r="C25" s="32"/>
      <c r="D25" s="32"/>
      <c r="E25" s="111"/>
      <c r="F25" s="113"/>
      <c r="G25" s="113"/>
      <c r="H25" s="113"/>
      <c r="I25" s="141"/>
      <c r="J25" s="113"/>
      <c r="M25" s="157"/>
      <c r="N25" s="157"/>
      <c r="O25" s="293"/>
      <c r="P25" s="32"/>
      <c r="Q25" s="32"/>
      <c r="R25" s="140"/>
      <c r="S25" s="113"/>
      <c r="T25" s="113"/>
      <c r="U25" s="141"/>
      <c r="V25" s="113"/>
    </row>
    <row r="26" spans="1:22">
      <c r="A26" s="55" t="s">
        <v>6</v>
      </c>
      <c r="B26" s="32"/>
      <c r="C26" s="32"/>
      <c r="D26" s="32"/>
      <c r="E26" s="111">
        <f>IF(L26&gt;0,L26,IF($E$3=$F$3,F26,IF($E$3=$G$3,G26,IF($E$3=$H$3,H26,IF($E$3=$I$3,I26,IF($E$3=$J$3,J26,IF($E$3=$K$3,K26)))))))</f>
        <v>2.2400000000000002</v>
      </c>
      <c r="F26" s="127">
        <v>2.2400000000000002</v>
      </c>
      <c r="G26" s="127">
        <v>2.2400000000000002</v>
      </c>
      <c r="H26" s="127">
        <v>2.2400000000000002</v>
      </c>
      <c r="I26" s="127">
        <v>3.4</v>
      </c>
      <c r="J26" s="127">
        <v>2.2400000000000002</v>
      </c>
      <c r="K26" s="94"/>
      <c r="L26" s="94"/>
      <c r="M26" s="55"/>
      <c r="N26" s="55"/>
      <c r="O26" s="294">
        <v>2.2400000000000002</v>
      </c>
      <c r="P26" s="32"/>
      <c r="Q26" s="32"/>
      <c r="R26" s="109"/>
      <c r="S26" s="127"/>
      <c r="T26" s="127"/>
      <c r="U26" s="127"/>
      <c r="V26" s="127"/>
    </row>
    <row r="27" spans="1:22">
      <c r="A27" s="29" t="s">
        <v>10</v>
      </c>
      <c r="B27" s="32"/>
      <c r="C27" s="32"/>
      <c r="D27" s="32"/>
      <c r="E27" s="111">
        <f>IF(L27&gt;0,L27,IF($E$3=$F$3,F27,IF($E$3=$G$3,G27,IF($E$3=$H$3,H27,IF($E$3=$I$3,I27,IF($E$3=$J$3,J27,IF($E$3=$K$3,K27)))))))</f>
        <v>1.95</v>
      </c>
      <c r="F27" s="127">
        <v>1.95</v>
      </c>
      <c r="G27" s="127">
        <v>1.95</v>
      </c>
      <c r="H27" s="127">
        <v>1.95</v>
      </c>
      <c r="I27" s="127">
        <v>1.95</v>
      </c>
      <c r="J27" s="127">
        <v>1.95</v>
      </c>
      <c r="K27" s="94"/>
      <c r="L27" s="94"/>
      <c r="M27" s="29"/>
      <c r="N27" s="29"/>
      <c r="O27" s="294">
        <v>1.95</v>
      </c>
      <c r="P27" s="32"/>
      <c r="Q27" s="32"/>
      <c r="R27" s="140"/>
      <c r="S27" s="127"/>
      <c r="T27" s="127"/>
      <c r="U27" s="127"/>
      <c r="V27" s="127"/>
    </row>
    <row r="28" spans="1:22">
      <c r="A28" s="29" t="s">
        <v>11</v>
      </c>
      <c r="B28" s="32"/>
      <c r="C28" s="32"/>
      <c r="D28" s="32"/>
      <c r="E28" s="111">
        <f>IF(L28&gt;0,L28,IF($E$3=$F$3,F28,IF($E$3=$G$3,G28,IF($E$3=$H$3,H28,IF($E$3=$I$3,I28,IF($E$3=$J$3,J28,IF($E$3=$K$3,K28)))))))</f>
        <v>1.1000000000000001</v>
      </c>
      <c r="F28" s="127">
        <v>1.1000000000000001</v>
      </c>
      <c r="G28" s="127">
        <v>1.1000000000000001</v>
      </c>
      <c r="H28" s="127">
        <v>1.1000000000000001</v>
      </c>
      <c r="I28" s="127">
        <v>1.1000000000000001</v>
      </c>
      <c r="J28" s="127">
        <v>1.1000000000000001</v>
      </c>
      <c r="K28" s="94"/>
      <c r="L28" s="94"/>
      <c r="M28" s="29"/>
      <c r="N28" s="29"/>
      <c r="O28" s="294">
        <v>1.1000000000000001</v>
      </c>
      <c r="P28" s="32"/>
      <c r="Q28" s="32"/>
      <c r="R28" s="140"/>
      <c r="S28" s="127"/>
      <c r="T28" s="127"/>
      <c r="U28" s="127"/>
      <c r="V28" s="127"/>
    </row>
    <row r="29" spans="1:22">
      <c r="A29" s="156" t="s">
        <v>213</v>
      </c>
      <c r="B29" s="63"/>
      <c r="C29" s="63"/>
      <c r="D29" s="63"/>
      <c r="E29" s="111"/>
      <c r="F29" s="113"/>
      <c r="G29" s="113"/>
      <c r="I29" s="81"/>
      <c r="J29" s="81"/>
      <c r="M29" s="156"/>
      <c r="N29" s="156"/>
      <c r="O29" s="287"/>
      <c r="P29" s="63"/>
      <c r="Q29" s="63"/>
      <c r="R29" s="140"/>
      <c r="S29" s="113"/>
      <c r="U29" s="81"/>
      <c r="V29" s="81"/>
    </row>
    <row r="30" spans="1:22">
      <c r="A30" s="29" t="s">
        <v>214</v>
      </c>
      <c r="B30" s="27"/>
      <c r="C30" s="27"/>
      <c r="D30" s="27"/>
      <c r="E30" s="111" t="str">
        <f>IF(L30&gt;0,L30,IF($E$3=$F$3,F30,IF($E$3=$G$3,G30,IF($E$3=$H$3,H30,IF($E$3=$I$3,I30,IF($E$3=$J$3,J30,IF($E$3=$K$3,K30)))))))</f>
        <v>Aluminum</v>
      </c>
      <c r="F30" s="141" t="s">
        <v>218</v>
      </c>
      <c r="G30" s="141" t="s">
        <v>218</v>
      </c>
      <c r="H30" s="141" t="s">
        <v>218</v>
      </c>
      <c r="I30" s="141" t="s">
        <v>218</v>
      </c>
      <c r="J30" s="141" t="s">
        <v>218</v>
      </c>
      <c r="M30" s="29"/>
      <c r="N30" s="29"/>
      <c r="O30" s="288" t="s">
        <v>218</v>
      </c>
      <c r="P30" s="27"/>
      <c r="Q30" s="27"/>
      <c r="R30" s="140"/>
      <c r="S30" s="141"/>
      <c r="T30" s="141"/>
      <c r="U30" s="141"/>
      <c r="V30" s="141"/>
    </row>
    <row r="31" spans="1:22">
      <c r="A31" s="29" t="s">
        <v>216</v>
      </c>
      <c r="B31" s="27"/>
      <c r="C31" s="27"/>
      <c r="D31" s="27"/>
      <c r="E31" s="111">
        <f>IF(L31&gt;0,L31,IF($E$3=$F$3,F31,IF($E$3=$G$3,G31,IF($E$3=$H$3,H31,IF($E$3=$I$3,I31,IF($E$3=$J$3,J31,IF($E$3=$K$3,K31)))))))</f>
        <v>20</v>
      </c>
      <c r="F31" s="141">
        <v>20</v>
      </c>
      <c r="G31" s="141">
        <v>20</v>
      </c>
      <c r="H31" s="141">
        <v>20</v>
      </c>
      <c r="I31" s="141">
        <v>20</v>
      </c>
      <c r="J31" s="141">
        <v>20</v>
      </c>
      <c r="M31" s="29"/>
      <c r="N31" s="29"/>
      <c r="O31" s="288">
        <v>20</v>
      </c>
      <c r="P31" s="27"/>
      <c r="Q31" s="27"/>
      <c r="R31" s="140"/>
      <c r="S31" s="141"/>
      <c r="T31" s="141"/>
      <c r="U31" s="141"/>
      <c r="V31" s="141"/>
    </row>
    <row r="32" spans="1:22">
      <c r="A32" s="156" t="s">
        <v>215</v>
      </c>
      <c r="B32" s="27"/>
      <c r="C32" s="27"/>
      <c r="D32" s="27"/>
      <c r="E32" s="111"/>
      <c r="F32" s="113"/>
      <c r="G32" s="113"/>
      <c r="I32" s="141"/>
      <c r="M32" s="156"/>
      <c r="N32" s="156"/>
      <c r="O32" s="288"/>
      <c r="P32" s="27"/>
      <c r="Q32" s="27"/>
      <c r="R32" s="140"/>
      <c r="S32" s="113"/>
      <c r="U32" s="141"/>
    </row>
    <row r="33" spans="1:25">
      <c r="A33" s="29" t="s">
        <v>214</v>
      </c>
      <c r="B33" s="27"/>
      <c r="C33" s="27"/>
      <c r="D33" s="27"/>
      <c r="E33" s="111" t="str">
        <f>IF(L33&gt;0,L33,IF($E$3=$F$3,F33,IF($E$3=$G$3,G33,IF($E$3=$H$3,H33,IF($E$3=$I$3,I33,IF($E$3=$J$3,J33,IF($E$3=$K$3,K33)))))))</f>
        <v>Copper</v>
      </c>
      <c r="F33" s="140" t="s">
        <v>229</v>
      </c>
      <c r="G33" s="140" t="s">
        <v>229</v>
      </c>
      <c r="H33" s="140" t="s">
        <v>229</v>
      </c>
      <c r="I33" s="141" t="s">
        <v>218</v>
      </c>
      <c r="J33" s="140" t="s">
        <v>229</v>
      </c>
      <c r="M33" s="29"/>
      <c r="N33" s="29"/>
      <c r="O33" s="288" t="s">
        <v>229</v>
      </c>
      <c r="P33" s="27"/>
      <c r="Q33" s="27"/>
      <c r="R33" s="140"/>
      <c r="S33" s="140"/>
      <c r="T33" s="140"/>
      <c r="U33" s="141"/>
      <c r="V33" s="140"/>
    </row>
    <row r="34" spans="1:25">
      <c r="A34" s="29" t="s">
        <v>216</v>
      </c>
      <c r="B34" s="27"/>
      <c r="C34" s="27"/>
      <c r="D34" s="27"/>
      <c r="E34" s="111">
        <f>IF(L34&gt;0,L34,IF($E$3=$F$3,F34,IF($E$3=$G$3,G34,IF($E$3=$H$3,H34,IF($E$3=$I$3,I34,IF($E$3=$J$3,J34,IF($E$3=$K$3,K34)))))))</f>
        <v>12</v>
      </c>
      <c r="F34" s="140">
        <v>12</v>
      </c>
      <c r="G34" s="140">
        <v>12</v>
      </c>
      <c r="H34" s="140">
        <v>12</v>
      </c>
      <c r="I34" s="141">
        <v>20</v>
      </c>
      <c r="J34" s="140">
        <v>12</v>
      </c>
      <c r="L34" s="141"/>
      <c r="M34" s="29"/>
      <c r="N34" s="29"/>
      <c r="O34" s="288">
        <v>12</v>
      </c>
      <c r="P34" s="27"/>
      <c r="Q34" s="27"/>
      <c r="R34" s="140"/>
      <c r="S34" s="140"/>
      <c r="T34" s="140"/>
      <c r="U34" s="141"/>
      <c r="V34" s="140"/>
    </row>
    <row r="35" spans="1:25">
      <c r="A35" s="159" t="s">
        <v>217</v>
      </c>
      <c r="B35" s="27"/>
      <c r="C35" s="27"/>
      <c r="D35" s="27"/>
      <c r="E35" s="111"/>
      <c r="F35" s="140"/>
      <c r="G35" s="140"/>
      <c r="I35" s="141"/>
      <c r="J35" s="141"/>
      <c r="M35" s="159"/>
      <c r="N35" s="159"/>
      <c r="O35" s="288"/>
      <c r="P35" s="27"/>
      <c r="Q35" s="27"/>
      <c r="R35" s="140"/>
      <c r="S35" s="140"/>
      <c r="U35" s="141"/>
      <c r="V35" s="141"/>
      <c r="W35" s="195"/>
    </row>
    <row r="36" spans="1:25">
      <c r="A36" s="29" t="s">
        <v>216</v>
      </c>
      <c r="B36" s="27"/>
      <c r="C36" s="27"/>
      <c r="D36" s="27"/>
      <c r="E36" s="111">
        <f>IF(L36&gt;0,L36,IF($E$3=$F$3,F36,IF($E$3=$G$3,G36,IF($E$3=$H$3,H36,IF($E$3=$I$3,I36,IF($E$3=$J$3,J36,IF($E$3=$K$3,K36)))))))</f>
        <v>20</v>
      </c>
      <c r="F36" s="140">
        <v>20</v>
      </c>
      <c r="G36" s="140">
        <v>20</v>
      </c>
      <c r="H36" s="140">
        <v>20</v>
      </c>
      <c r="I36" s="140">
        <v>20</v>
      </c>
      <c r="J36" s="140">
        <v>20</v>
      </c>
      <c r="M36" s="29"/>
      <c r="N36" s="29"/>
      <c r="O36" s="288">
        <v>20</v>
      </c>
      <c r="P36" s="27"/>
      <c r="Q36" s="27"/>
      <c r="R36" s="140"/>
      <c r="S36" s="140"/>
      <c r="T36" s="140"/>
      <c r="U36" s="166"/>
      <c r="V36" s="140"/>
      <c r="W36" s="195"/>
    </row>
    <row r="37" spans="1:25">
      <c r="A37" s="29" t="s">
        <v>372</v>
      </c>
      <c r="B37" s="27"/>
      <c r="C37" s="27"/>
      <c r="D37" s="27"/>
      <c r="E37" s="111">
        <f>IF(L37&gt;0,L37,IF($E$3=$F$3,F37,IF($E$3=$G$3,G37,IF($E$3=$H$3,H37,IF($E$3=$I$3,I37,IF($E$3=$J$3,J37,IF($E$3=$K$3,K37)))))))</f>
        <v>50</v>
      </c>
      <c r="F37" s="140">
        <v>50</v>
      </c>
      <c r="G37" s="140">
        <v>50</v>
      </c>
      <c r="H37" s="140">
        <v>50</v>
      </c>
      <c r="I37" s="140">
        <v>50</v>
      </c>
      <c r="J37" s="140">
        <v>50</v>
      </c>
      <c r="M37" s="158"/>
      <c r="N37" s="158"/>
      <c r="O37" s="288">
        <v>50</v>
      </c>
      <c r="P37" s="27"/>
      <c r="Q37" s="27"/>
      <c r="R37" s="109"/>
      <c r="S37" s="109"/>
      <c r="T37" s="109"/>
      <c r="U37" s="109"/>
      <c r="V37" s="109"/>
      <c r="W37" s="3"/>
    </row>
    <row r="38" spans="1:25" ht="14.25">
      <c r="A38" s="158" t="s">
        <v>296</v>
      </c>
      <c r="B38" s="27"/>
      <c r="C38" s="27"/>
      <c r="D38" s="27"/>
      <c r="E38" s="111">
        <f>IF(L38&gt;0,L38,IF($E$3=$F$3,F38,IF($E$3=$G$3,G38,IF($E$3=$H$3,H38,IF($E$3=$I$3,I38,IF($E$3=$J$3,J38,IF($E$3=$K$3,K38)))))))</f>
        <v>0.46</v>
      </c>
      <c r="F38" s="109">
        <f>(1-F37/100)*0.92</f>
        <v>0.46</v>
      </c>
      <c r="G38" s="109">
        <f>(1-G37/100)*0.92</f>
        <v>0.46</v>
      </c>
      <c r="H38" s="109">
        <f>(1-H37/100)*0.92</f>
        <v>0.46</v>
      </c>
      <c r="I38" s="109">
        <f>(1-I37/100)*0.92</f>
        <v>0.46</v>
      </c>
      <c r="J38" s="109">
        <f>(1-J37/100)*0.92</f>
        <v>0.46</v>
      </c>
      <c r="M38" s="63"/>
      <c r="N38" s="63"/>
      <c r="O38" s="295">
        <v>0.46</v>
      </c>
      <c r="P38" s="27"/>
      <c r="Q38" s="27"/>
      <c r="R38" s="140"/>
      <c r="S38" s="140"/>
      <c r="U38" s="164"/>
      <c r="W38" s="3"/>
    </row>
    <row r="39" spans="1:25" ht="14.25">
      <c r="A39" s="63" t="s">
        <v>272</v>
      </c>
      <c r="B39" s="27"/>
      <c r="C39" s="27"/>
      <c r="D39" s="27"/>
      <c r="E39" s="111">
        <f>IF(L39&gt;0,L39,IF($E$3=$F$3,F39,IF($E$3=$G$3,G39,IF($E$3=$H$3,H39,IF($E$3=$I$3,I39,IF($E$3=$J$3,J39,IF($E$3=$K$3,K39)))))))</f>
        <v>1.2</v>
      </c>
      <c r="F39" s="109">
        <v>1.2</v>
      </c>
      <c r="G39" s="109">
        <v>1.2</v>
      </c>
      <c r="H39" s="109">
        <v>1.2</v>
      </c>
      <c r="I39" s="127">
        <v>1.2</v>
      </c>
      <c r="J39" s="109">
        <v>1.2</v>
      </c>
      <c r="M39" s="158"/>
      <c r="N39" s="158"/>
      <c r="O39" s="295">
        <v>1.2</v>
      </c>
      <c r="P39" s="27"/>
      <c r="Q39" s="27"/>
      <c r="R39" s="109"/>
      <c r="S39" s="109"/>
      <c r="T39" s="109"/>
      <c r="U39" s="127"/>
      <c r="V39" s="109"/>
      <c r="W39" s="8"/>
      <c r="X39" s="5"/>
      <c r="Y39" s="36"/>
    </row>
    <row r="40" spans="1:25">
      <c r="A40" s="156" t="s">
        <v>31</v>
      </c>
      <c r="B40" s="18"/>
      <c r="C40" s="18"/>
      <c r="D40" s="18"/>
      <c r="E40" s="111"/>
      <c r="F40" s="140"/>
      <c r="G40" s="140"/>
      <c r="I40" s="167"/>
      <c r="O40" s="296"/>
      <c r="R40" s="140"/>
      <c r="S40" s="140"/>
      <c r="T40" s="3"/>
      <c r="U40" s="140"/>
      <c r="V40" s="3"/>
      <c r="W40" s="21"/>
    </row>
    <row r="41" spans="1:25">
      <c r="A41" t="s">
        <v>353</v>
      </c>
      <c r="B41" s="18"/>
      <c r="C41" s="18"/>
      <c r="D41" s="18"/>
      <c r="E41" s="111">
        <f>IF(L41&gt;0,L41,IF(OR('Battery Design'!F52="microHEV",'Battery Design'!F52="HEV-HP"),Chem!E42,IF($E$3=$F$3,F41,IF($E$3=$G$3,G41,IF($E$3=$H$3,H41,IF($E$3=$I$3,I41,IF($E$3=$J$3,J41,IF($E$3=$K$3,K41))))))))</f>
        <v>3.6629999999999998</v>
      </c>
      <c r="F41" s="185">
        <v>3.5510000000000002</v>
      </c>
      <c r="G41" s="185">
        <v>3.6629999999999998</v>
      </c>
      <c r="H41" s="71">
        <v>3.3</v>
      </c>
      <c r="I41" s="185">
        <v>2.4079999999999999</v>
      </c>
      <c r="J41" s="71">
        <v>3.819</v>
      </c>
      <c r="O41" s="297">
        <v>3.6</v>
      </c>
      <c r="R41" s="140"/>
      <c r="S41" s="140"/>
      <c r="T41" s="3"/>
      <c r="U41" s="140"/>
      <c r="V41" s="3"/>
      <c r="W41" s="21"/>
    </row>
    <row r="42" spans="1:25">
      <c r="A42" s="23" t="s">
        <v>291</v>
      </c>
      <c r="B42" s="18"/>
      <c r="C42" s="18"/>
      <c r="D42" s="18"/>
      <c r="E42" s="111">
        <f>IF(L42&gt;0,L42,IF($E$3=$F$3,F42,IF($E$3=$G$3,G42,IF($E$3=$H$3,H42,IF($E$3=$I$3,I42,IF($E$3=$J$3,J42,IF($E$3=$K$3,K42)))))))</f>
        <v>3.75</v>
      </c>
      <c r="F42" s="185">
        <v>3.68</v>
      </c>
      <c r="G42" s="185">
        <v>3.75</v>
      </c>
      <c r="H42" s="71">
        <v>3.35</v>
      </c>
      <c r="I42" s="185">
        <v>2.5139999999999998</v>
      </c>
      <c r="J42" s="71">
        <v>3.9540000000000002</v>
      </c>
      <c r="M42" s="24"/>
      <c r="N42" s="24"/>
      <c r="O42" s="297">
        <v>3.75</v>
      </c>
      <c r="R42" s="142"/>
      <c r="S42" s="142"/>
      <c r="T42" s="142"/>
      <c r="U42" s="142"/>
      <c r="V42" s="142"/>
      <c r="W42" s="21"/>
    </row>
    <row r="43" spans="1:25">
      <c r="A43" s="24" t="s">
        <v>292</v>
      </c>
      <c r="E43" s="111">
        <f>IF(L43&gt;0,L43,IF($E$3=$F$3,F43,IF($E$3=$G$3,G43,IF($E$3=$H$3,H43,IF($E$3=$I$3,I43,IF($E$3=$J$3,J43,IF($E$3=$K$3,K43)))))))</f>
        <v>27</v>
      </c>
      <c r="F43" s="3">
        <v>27</v>
      </c>
      <c r="G43" s="3">
        <v>27</v>
      </c>
      <c r="H43" s="3">
        <v>120</v>
      </c>
      <c r="I43" s="3">
        <v>200</v>
      </c>
      <c r="J43" s="3">
        <v>120</v>
      </c>
      <c r="L43" s="3"/>
      <c r="M43" s="24"/>
      <c r="N43" s="24"/>
      <c r="O43" s="296">
        <v>27</v>
      </c>
      <c r="P43" s="3"/>
      <c r="Q43" s="3"/>
      <c r="R43" s="142"/>
      <c r="S43" s="140"/>
      <c r="T43" s="140"/>
      <c r="U43" s="140"/>
      <c r="V43" s="140"/>
    </row>
    <row r="44" spans="1:25" ht="14.25">
      <c r="A44" s="24" t="s">
        <v>288</v>
      </c>
      <c r="E44" s="111">
        <f>IF(L44&gt;0,L44,IF($E$3=$F$3,F44,IF($E$3=$G$3,G44,IF($E$3=$H$3,H44,IF($E$3=$I$3,I44,IF($E$3=$J$3,J44,IF($E$3=$K$3,K44)))))))</f>
        <v>74000</v>
      </c>
      <c r="F44" s="145">
        <v>74000</v>
      </c>
      <c r="G44" s="145">
        <v>74000</v>
      </c>
      <c r="H44" s="4">
        <v>74000</v>
      </c>
      <c r="I44" s="145">
        <v>500000</v>
      </c>
      <c r="J44" s="4">
        <v>74000</v>
      </c>
      <c r="K44" s="21"/>
      <c r="M44" s="5"/>
      <c r="N44" s="5"/>
      <c r="O44" s="298">
        <v>74000</v>
      </c>
      <c r="P44" s="3"/>
      <c r="Q44" s="3"/>
      <c r="R44" s="140"/>
      <c r="S44" s="140"/>
      <c r="T44" s="3"/>
      <c r="U44" s="140"/>
      <c r="V44" s="3"/>
    </row>
    <row r="45" spans="1:25" ht="14.25">
      <c r="A45" s="24" t="s">
        <v>289</v>
      </c>
      <c r="E45" s="111">
        <f>IF(L45&gt;0,L45,IF($E$3=$F$3,F45,IF($E$3=$G$3,G45,IF($E$3=$H$3,H45,IF($E$3=$I$3,I45,IF($E$3=$J$3,J45,IF($E$3=$K$3,K45)))))))</f>
        <v>8900</v>
      </c>
      <c r="F45" s="145">
        <v>8900</v>
      </c>
      <c r="G45" s="145">
        <v>8900</v>
      </c>
      <c r="H45" s="4">
        <v>420000</v>
      </c>
      <c r="I45" s="145">
        <v>49200</v>
      </c>
      <c r="J45" s="4">
        <v>49200</v>
      </c>
      <c r="O45" s="298">
        <v>8900</v>
      </c>
      <c r="P45" s="3"/>
      <c r="Q45" s="140"/>
      <c r="R45" s="3"/>
      <c r="S45" s="3"/>
      <c r="T45" s="3"/>
    </row>
    <row r="46" spans="1:25" ht="14.25">
      <c r="A46" t="s">
        <v>14</v>
      </c>
      <c r="E46" s="190"/>
      <c r="O46" s="296"/>
      <c r="P46" s="3"/>
      <c r="Q46" s="140"/>
      <c r="R46" s="3"/>
      <c r="S46" s="3"/>
      <c r="T46" s="3"/>
    </row>
    <row r="47" spans="1:25">
      <c r="A47" s="24" t="s">
        <v>356</v>
      </c>
      <c r="E47" s="111">
        <f>IF('Battery Design'!F$52="microHEV",E48,IF('Battery Design'!F$52="HEV-HP",E49,IF('Battery Design'!F$52="PHEV",E50,IF('Battery Design'!F$52="EV",E50,"ERROR"))))</f>
        <v>33</v>
      </c>
      <c r="P47" s="3"/>
      <c r="Q47" s="140"/>
      <c r="R47" s="3"/>
      <c r="S47" s="3"/>
      <c r="T47" s="3"/>
    </row>
    <row r="48" spans="1:25">
      <c r="A48" t="s">
        <v>294</v>
      </c>
      <c r="E48" s="111">
        <f t="shared" ref="E48:E59" si="0">IF(L48&gt;0,L48,IF($E$3=$F$3,F48,IF($E$3=$G$3,G48,IF($E$3=$H$3,H48,IF($E$3=$I$3,I48,IF($E$3=$J$3,J48,IF($E$3=$K$3,K48)))))))</f>
        <v>21</v>
      </c>
      <c r="F48" s="140">
        <v>18</v>
      </c>
      <c r="G48" s="140">
        <v>21</v>
      </c>
      <c r="H48" s="3">
        <v>20</v>
      </c>
      <c r="I48" s="140">
        <v>6</v>
      </c>
      <c r="J48" s="3">
        <v>16</v>
      </c>
      <c r="L48" s="3"/>
      <c r="O48" s="289">
        <v>21</v>
      </c>
      <c r="P48" s="3"/>
      <c r="Q48" s="140"/>
      <c r="R48" s="3"/>
      <c r="S48" s="3"/>
      <c r="T48" s="3"/>
    </row>
    <row r="49" spans="1:20">
      <c r="A49" t="s">
        <v>295</v>
      </c>
      <c r="E49" s="111">
        <f t="shared" si="0"/>
        <v>26.6</v>
      </c>
      <c r="F49" s="140">
        <v>23.6</v>
      </c>
      <c r="G49" s="140">
        <v>26.6</v>
      </c>
      <c r="H49" s="3">
        <v>25</v>
      </c>
      <c r="I49" s="140">
        <v>8</v>
      </c>
      <c r="J49" s="3">
        <v>20</v>
      </c>
      <c r="L49" s="3"/>
      <c r="O49" s="289">
        <v>31</v>
      </c>
      <c r="P49" s="142"/>
      <c r="Q49" s="142"/>
      <c r="R49" s="142"/>
      <c r="S49" s="3"/>
      <c r="T49" s="3"/>
    </row>
    <row r="50" spans="1:20">
      <c r="A50" t="s">
        <v>355</v>
      </c>
      <c r="E50" s="111">
        <f t="shared" si="0"/>
        <v>33</v>
      </c>
      <c r="F50" s="140">
        <v>30</v>
      </c>
      <c r="G50" s="140">
        <v>33</v>
      </c>
      <c r="H50" s="3">
        <v>32</v>
      </c>
      <c r="I50" s="140">
        <v>10</v>
      </c>
      <c r="J50" s="3">
        <v>25</v>
      </c>
      <c r="L50" s="3"/>
      <c r="O50" s="289">
        <v>35</v>
      </c>
      <c r="P50" s="142"/>
      <c r="Q50" s="142"/>
      <c r="R50" s="142"/>
      <c r="S50" s="3"/>
      <c r="T50" s="3"/>
    </row>
    <row r="51" spans="1:20">
      <c r="A51" t="s">
        <v>612</v>
      </c>
      <c r="E51" s="111">
        <f t="shared" si="0"/>
        <v>3</v>
      </c>
      <c r="F51" s="140">
        <v>3</v>
      </c>
      <c r="G51" s="140">
        <v>3</v>
      </c>
      <c r="H51" s="3">
        <v>1.5</v>
      </c>
      <c r="I51" s="140">
        <v>1.5</v>
      </c>
      <c r="J51" s="3">
        <v>2</v>
      </c>
      <c r="L51" s="3"/>
      <c r="O51" s="289">
        <v>3</v>
      </c>
      <c r="P51" s="3"/>
      <c r="Q51" s="140"/>
      <c r="R51" s="3"/>
      <c r="S51" s="21"/>
      <c r="T51" s="21"/>
    </row>
    <row r="52" spans="1:20">
      <c r="A52" s="158" t="s">
        <v>715</v>
      </c>
      <c r="B52" s="328"/>
      <c r="C52" s="328"/>
      <c r="D52" s="328"/>
      <c r="E52" s="111">
        <f>1.5*E47</f>
        <v>49.5</v>
      </c>
      <c r="F52" s="140"/>
      <c r="G52" s="140"/>
      <c r="H52" s="328"/>
      <c r="I52" s="140"/>
      <c r="J52" s="328"/>
      <c r="L52" s="328"/>
      <c r="P52" s="328"/>
      <c r="Q52" s="140"/>
      <c r="R52" s="328"/>
      <c r="S52" s="21"/>
      <c r="T52" s="21"/>
    </row>
    <row r="53" spans="1:20" ht="14.25">
      <c r="A53" s="24" t="s">
        <v>17</v>
      </c>
      <c r="E53" s="111">
        <f t="shared" si="0"/>
        <v>58.52000000000001</v>
      </c>
      <c r="F53" s="142">
        <f>2.2*F49</f>
        <v>51.920000000000009</v>
      </c>
      <c r="G53" s="142">
        <f>2.2*G49</f>
        <v>58.52000000000001</v>
      </c>
      <c r="H53" s="142">
        <f>2.2*H49</f>
        <v>55.000000000000007</v>
      </c>
      <c r="I53" s="142">
        <f>5/3*I49</f>
        <v>13.333333333333334</v>
      </c>
      <c r="J53" s="142">
        <f>2.2*J49</f>
        <v>44</v>
      </c>
      <c r="L53" s="3"/>
      <c r="O53" s="299">
        <v>68.2</v>
      </c>
    </row>
    <row r="54" spans="1:20">
      <c r="A54" s="24" t="s">
        <v>221</v>
      </c>
      <c r="B54" s="3"/>
      <c r="C54" s="3"/>
      <c r="D54" s="3"/>
      <c r="E54" s="111">
        <f t="shared" si="0"/>
        <v>100</v>
      </c>
      <c r="F54" s="140">
        <v>100</v>
      </c>
      <c r="G54" s="140">
        <v>100</v>
      </c>
      <c r="H54" s="140">
        <v>100</v>
      </c>
      <c r="I54" s="140">
        <v>100</v>
      </c>
      <c r="J54" s="140">
        <v>100</v>
      </c>
      <c r="L54" s="140"/>
      <c r="O54" s="289">
        <v>100</v>
      </c>
    </row>
    <row r="55" spans="1:20">
      <c r="A55" s="5" t="s">
        <v>208</v>
      </c>
      <c r="B55" s="3"/>
      <c r="C55" s="3"/>
      <c r="D55" s="3"/>
      <c r="F55" s="272"/>
      <c r="G55" s="272"/>
      <c r="H55" s="272"/>
      <c r="I55" s="272"/>
      <c r="J55" s="272"/>
      <c r="K55" s="207"/>
      <c r="L55" s="3"/>
      <c r="O55" s="286"/>
    </row>
    <row r="56" spans="1:20">
      <c r="A56" s="7" t="s">
        <v>376</v>
      </c>
      <c r="B56" s="3"/>
      <c r="C56" s="9"/>
      <c r="D56" s="9"/>
      <c r="E56" s="111">
        <f>IF('Battery Design'!F$52="microHEV",E57,IF('Battery Design'!F$52="HEV-HP",E57,IF('Battery Design'!F$52="PHEV",E58,IF('Battery Design'!F$52="EV",E59,"ERROR"))))</f>
        <v>85</v>
      </c>
      <c r="F56" s="162"/>
      <c r="G56" s="162"/>
      <c r="H56" s="9"/>
      <c r="I56" s="162"/>
      <c r="J56" s="9"/>
      <c r="L56" s="3"/>
    </row>
    <row r="57" spans="1:20">
      <c r="A57" s="7" t="s">
        <v>408</v>
      </c>
      <c r="B57" s="9"/>
      <c r="C57" s="9"/>
      <c r="D57" s="9"/>
      <c r="E57" s="111">
        <f t="shared" si="0"/>
        <v>25</v>
      </c>
      <c r="F57" s="162">
        <v>25</v>
      </c>
      <c r="G57" s="162">
        <v>25</v>
      </c>
      <c r="H57" s="162">
        <v>25</v>
      </c>
      <c r="I57" s="162">
        <v>25</v>
      </c>
      <c r="J57" s="162">
        <v>25</v>
      </c>
      <c r="L57" s="3"/>
      <c r="O57" s="289">
        <v>25</v>
      </c>
    </row>
    <row r="58" spans="1:20">
      <c r="A58" s="7" t="s">
        <v>374</v>
      </c>
      <c r="B58" s="9"/>
      <c r="C58" s="9"/>
      <c r="D58" s="9"/>
      <c r="E58" s="111">
        <f t="shared" si="0"/>
        <v>70</v>
      </c>
      <c r="F58" s="140">
        <v>70</v>
      </c>
      <c r="G58" s="140">
        <v>70</v>
      </c>
      <c r="H58" s="3">
        <v>70</v>
      </c>
      <c r="I58" s="140">
        <v>75</v>
      </c>
      <c r="J58" s="3">
        <v>70</v>
      </c>
      <c r="L58" s="3"/>
      <c r="O58" s="289">
        <v>70</v>
      </c>
    </row>
    <row r="59" spans="1:20">
      <c r="A59" s="7" t="s">
        <v>375</v>
      </c>
      <c r="B59" s="9"/>
      <c r="C59" s="9"/>
      <c r="D59" s="9"/>
      <c r="E59" s="111">
        <f t="shared" si="0"/>
        <v>85</v>
      </c>
      <c r="F59" s="162">
        <v>85</v>
      </c>
      <c r="G59" s="162">
        <v>85</v>
      </c>
      <c r="H59" s="162">
        <v>85</v>
      </c>
      <c r="I59" s="162">
        <v>85</v>
      </c>
      <c r="J59" s="162">
        <v>85</v>
      </c>
      <c r="L59" s="3"/>
      <c r="O59" s="289">
        <v>85</v>
      </c>
    </row>
    <row r="60" spans="1:20" ht="16.5" thickBot="1">
      <c r="A60" s="19" t="s">
        <v>228</v>
      </c>
      <c r="F60" s="1" t="str">
        <f>F3</f>
        <v>NCA-G</v>
      </c>
      <c r="G60" s="1" t="str">
        <f>G3</f>
        <v>NMC441-G</v>
      </c>
      <c r="H60" s="1" t="str">
        <f>H3</f>
        <v>LFP-G</v>
      </c>
      <c r="I60" s="1" t="str">
        <f>I3</f>
        <v>LMO-LTO</v>
      </c>
      <c r="J60" s="1" t="str">
        <f>J3</f>
        <v>LMO-G</v>
      </c>
      <c r="L60" s="424" t="s">
        <v>232</v>
      </c>
      <c r="M60" s="424"/>
      <c r="N60" s="64"/>
      <c r="O60" s="301" t="s">
        <v>608</v>
      </c>
    </row>
    <row r="61" spans="1:20">
      <c r="A61" s="7" t="s">
        <v>44</v>
      </c>
      <c r="B61" s="7"/>
      <c r="C61" s="7"/>
      <c r="D61" s="8"/>
      <c r="E61" s="68" t="s">
        <v>45</v>
      </c>
      <c r="L61" s="8" t="s">
        <v>43</v>
      </c>
      <c r="M61" s="68" t="s">
        <v>45</v>
      </c>
      <c r="N61" s="68"/>
    </row>
    <row r="62" spans="1:20">
      <c r="A62" s="12" t="s">
        <v>230</v>
      </c>
      <c r="B62" s="7"/>
      <c r="C62" s="7"/>
      <c r="D62" s="129">
        <f>IF(L62&gt;0,L62,IF($E$3=$F$3,F62,IF($E$3=$G$3,G62,IF($E$3=$H$3,H62,IF($E$3=$I$3,I62,IF($E$3=$J$3,J62,IF($E$3=$K$3,K62)))))))</f>
        <v>29</v>
      </c>
      <c r="E62" s="130">
        <f>IF(M62=0,0.95,M62)</f>
        <v>0.95</v>
      </c>
      <c r="F62" s="168">
        <v>37</v>
      </c>
      <c r="G62" s="168">
        <v>29</v>
      </c>
      <c r="H62" s="171">
        <v>20</v>
      </c>
      <c r="I62" s="168">
        <v>10</v>
      </c>
      <c r="J62" s="168">
        <v>10</v>
      </c>
      <c r="L62" s="109"/>
      <c r="M62" s="3"/>
      <c r="N62" s="3"/>
      <c r="O62" s="300">
        <v>39.200000000000003</v>
      </c>
    </row>
    <row r="63" spans="1:20">
      <c r="A63" s="12" t="s">
        <v>300</v>
      </c>
      <c r="B63" s="7"/>
      <c r="C63" s="7"/>
      <c r="D63" s="129">
        <f t="shared" ref="D63:D74" si="1">IF(L63&gt;0,L63,IF($E$3=$F$3,F63,IF($E$3=$G$3,G63,IF($E$3=$H$3,H63,IF($E$3=$I$3,I63,IF($E$3=$J$3,J63,IF($E$3=$K$3,K63)))))))</f>
        <v>6.8</v>
      </c>
      <c r="E63" s="130">
        <f>IF(M63=0,1,M63)</f>
        <v>1</v>
      </c>
      <c r="F63" s="168">
        <v>6.8</v>
      </c>
      <c r="G63" s="168">
        <v>6.8</v>
      </c>
      <c r="H63" s="168">
        <v>6.8</v>
      </c>
      <c r="I63" s="168">
        <v>6.8</v>
      </c>
      <c r="J63" s="168">
        <v>6.8</v>
      </c>
      <c r="L63" s="3"/>
      <c r="M63" s="3"/>
      <c r="N63" s="3"/>
      <c r="O63" s="300">
        <v>6.8</v>
      </c>
    </row>
    <row r="64" spans="1:20">
      <c r="A64" s="7" t="s">
        <v>54</v>
      </c>
      <c r="B64" s="7"/>
      <c r="C64" s="7"/>
      <c r="D64" s="129">
        <f t="shared" si="1"/>
        <v>10</v>
      </c>
      <c r="E64" s="130">
        <f>IF(M64=0,1,M64)</f>
        <v>1</v>
      </c>
      <c r="F64" s="169">
        <v>10</v>
      </c>
      <c r="G64" s="169">
        <v>10</v>
      </c>
      <c r="H64" s="169">
        <v>10</v>
      </c>
      <c r="I64" s="169">
        <v>10</v>
      </c>
      <c r="J64" s="169">
        <v>10</v>
      </c>
      <c r="L64" s="3"/>
      <c r="M64" s="3"/>
      <c r="N64" s="3"/>
      <c r="O64" s="300">
        <v>10</v>
      </c>
    </row>
    <row r="65" spans="1:15">
      <c r="A65" s="7" t="s">
        <v>56</v>
      </c>
      <c r="B65" s="7"/>
      <c r="C65" s="7"/>
      <c r="D65" s="129">
        <f t="shared" si="1"/>
        <v>3.2</v>
      </c>
      <c r="E65" s="130">
        <f>IF(M65=0,1,M65)</f>
        <v>1</v>
      </c>
      <c r="F65" s="169">
        <v>3.2</v>
      </c>
      <c r="G65" s="169">
        <v>3.2</v>
      </c>
      <c r="H65" s="169">
        <v>3.2</v>
      </c>
      <c r="I65" s="169">
        <v>3.2</v>
      </c>
      <c r="J65" s="169">
        <v>3.2</v>
      </c>
      <c r="L65" s="3"/>
      <c r="M65" s="3"/>
      <c r="N65" s="3"/>
      <c r="O65" s="300">
        <v>3.2</v>
      </c>
    </row>
    <row r="66" spans="1:15">
      <c r="A66" s="7" t="s">
        <v>57</v>
      </c>
      <c r="B66" s="7"/>
      <c r="C66" s="7"/>
      <c r="D66" s="129"/>
      <c r="E66" s="109"/>
      <c r="F66" s="168"/>
      <c r="G66" s="168"/>
      <c r="H66" s="109"/>
      <c r="I66" s="168"/>
      <c r="J66" s="168"/>
      <c r="L66" s="3"/>
      <c r="M66" s="3"/>
      <c r="N66" s="3"/>
      <c r="O66" s="300"/>
    </row>
    <row r="67" spans="1:15">
      <c r="A67" s="7" t="s">
        <v>48</v>
      </c>
      <c r="B67" s="7"/>
      <c r="C67" s="7"/>
      <c r="D67" s="129">
        <f t="shared" si="1"/>
        <v>19</v>
      </c>
      <c r="E67" s="130">
        <f>IF(M67=0,0.95,M67)</f>
        <v>0.95</v>
      </c>
      <c r="F67" s="168">
        <v>19</v>
      </c>
      <c r="G67" s="168">
        <v>19</v>
      </c>
      <c r="H67" s="168">
        <v>19</v>
      </c>
      <c r="I67" s="168">
        <v>12</v>
      </c>
      <c r="J67" s="168">
        <v>19</v>
      </c>
      <c r="L67" s="3"/>
      <c r="M67" s="3"/>
      <c r="N67" s="3"/>
      <c r="O67" s="300">
        <v>19</v>
      </c>
    </row>
    <row r="68" spans="1:15">
      <c r="A68" s="7" t="s">
        <v>52</v>
      </c>
      <c r="B68" s="7"/>
      <c r="C68" s="7"/>
      <c r="D68" s="129">
        <f t="shared" si="1"/>
        <v>6.8</v>
      </c>
      <c r="E68" s="130">
        <f t="shared" ref="E68:E74" si="2">IF(M68=0,1,M68)</f>
        <v>1</v>
      </c>
      <c r="F68" s="168">
        <v>6.8</v>
      </c>
      <c r="G68" s="168">
        <v>6.8</v>
      </c>
      <c r="H68" s="168">
        <v>6.8</v>
      </c>
      <c r="I68" s="168">
        <v>6.8</v>
      </c>
      <c r="J68" s="168">
        <v>6.8</v>
      </c>
      <c r="L68" s="3"/>
      <c r="M68" s="3"/>
      <c r="N68" s="3"/>
      <c r="O68" s="300">
        <v>6.8</v>
      </c>
    </row>
    <row r="69" spans="1:15">
      <c r="A69" s="7" t="s">
        <v>54</v>
      </c>
      <c r="B69" s="7"/>
      <c r="C69" s="7"/>
      <c r="D69" s="129">
        <f t="shared" si="1"/>
        <v>10</v>
      </c>
      <c r="E69" s="130">
        <f t="shared" si="2"/>
        <v>1</v>
      </c>
      <c r="F69" s="168">
        <v>10</v>
      </c>
      <c r="G69" s="168">
        <v>10</v>
      </c>
      <c r="H69" s="168">
        <v>10</v>
      </c>
      <c r="I69" s="168">
        <v>10</v>
      </c>
      <c r="J69" s="168">
        <v>10</v>
      </c>
      <c r="L69" s="3"/>
      <c r="M69" s="3"/>
      <c r="N69" s="3"/>
      <c r="O69" s="300">
        <v>10</v>
      </c>
    </row>
    <row r="70" spans="1:15">
      <c r="A70" s="7" t="s">
        <v>314</v>
      </c>
      <c r="B70" s="7"/>
      <c r="C70" s="7"/>
      <c r="D70" s="129">
        <f t="shared" si="1"/>
        <v>0</v>
      </c>
      <c r="E70" s="130">
        <f t="shared" si="2"/>
        <v>1</v>
      </c>
      <c r="F70" s="168">
        <v>0</v>
      </c>
      <c r="G70" s="168">
        <v>0</v>
      </c>
      <c r="H70" s="168">
        <v>0</v>
      </c>
      <c r="I70" s="168">
        <v>0</v>
      </c>
      <c r="J70" s="168">
        <v>0</v>
      </c>
      <c r="L70" s="3"/>
      <c r="M70" s="3"/>
      <c r="N70" s="3"/>
      <c r="O70" s="300">
        <v>0</v>
      </c>
    </row>
    <row r="71" spans="1:15" ht="14.25">
      <c r="A71" s="7" t="s">
        <v>172</v>
      </c>
      <c r="B71" s="7"/>
      <c r="C71" s="7"/>
      <c r="D71" s="129">
        <f t="shared" si="1"/>
        <v>0.8</v>
      </c>
      <c r="E71" s="130">
        <f t="shared" si="2"/>
        <v>1</v>
      </c>
      <c r="F71" s="170">
        <v>0.8</v>
      </c>
      <c r="G71" s="170">
        <v>0.8</v>
      </c>
      <c r="H71" s="170">
        <v>0.8</v>
      </c>
      <c r="I71" s="170">
        <v>0.8</v>
      </c>
      <c r="J71" s="170">
        <v>0.8</v>
      </c>
      <c r="L71" s="3"/>
      <c r="M71" s="3"/>
      <c r="N71" s="3"/>
      <c r="O71" s="300">
        <v>0.8</v>
      </c>
    </row>
    <row r="72" spans="1:15" ht="14.25">
      <c r="A72" s="7" t="s">
        <v>173</v>
      </c>
      <c r="B72" s="7"/>
      <c r="C72" s="7"/>
      <c r="D72" s="129">
        <f t="shared" si="1"/>
        <v>1.8</v>
      </c>
      <c r="E72" s="130">
        <f t="shared" si="2"/>
        <v>1</v>
      </c>
      <c r="F72" s="168">
        <v>1.8</v>
      </c>
      <c r="G72" s="168">
        <v>1.8</v>
      </c>
      <c r="H72" s="168">
        <v>1.8</v>
      </c>
      <c r="I72" s="168">
        <v>0.8</v>
      </c>
      <c r="J72" s="168">
        <v>1.8</v>
      </c>
      <c r="L72" s="3"/>
      <c r="M72" s="3"/>
      <c r="N72" s="3"/>
      <c r="O72" s="300">
        <v>1.8</v>
      </c>
    </row>
    <row r="73" spans="1:15" ht="14.25">
      <c r="A73" s="7" t="s">
        <v>61</v>
      </c>
      <c r="B73" s="7"/>
      <c r="C73" s="7"/>
      <c r="D73" s="129">
        <f t="shared" si="1"/>
        <v>2</v>
      </c>
      <c r="E73" s="130">
        <f t="shared" si="2"/>
        <v>1</v>
      </c>
      <c r="F73" s="168">
        <v>2</v>
      </c>
      <c r="G73" s="168">
        <v>2</v>
      </c>
      <c r="H73" s="168">
        <v>2</v>
      </c>
      <c r="I73" s="168">
        <v>2</v>
      </c>
      <c r="J73" s="168">
        <v>2</v>
      </c>
      <c r="L73" s="3"/>
      <c r="M73" s="3"/>
      <c r="N73" s="3"/>
      <c r="O73" s="300">
        <v>2</v>
      </c>
    </row>
    <row r="74" spans="1:15">
      <c r="A74" s="7" t="s">
        <v>62</v>
      </c>
      <c r="B74" s="7"/>
      <c r="C74" s="7"/>
      <c r="D74" s="129">
        <f t="shared" si="1"/>
        <v>21.6</v>
      </c>
      <c r="E74" s="130">
        <f t="shared" si="2"/>
        <v>1</v>
      </c>
      <c r="F74" s="168">
        <v>21.6</v>
      </c>
      <c r="G74" s="168">
        <v>21.6</v>
      </c>
      <c r="H74" s="168">
        <v>21.6</v>
      </c>
      <c r="I74" s="168">
        <v>21.6</v>
      </c>
      <c r="J74" s="168">
        <v>21.6</v>
      </c>
      <c r="L74" s="3"/>
      <c r="M74" s="3"/>
      <c r="N74" s="3"/>
      <c r="O74" s="300">
        <v>21.6</v>
      </c>
    </row>
    <row r="75" spans="1:15">
      <c r="F75" s="272"/>
      <c r="G75" s="272"/>
      <c r="H75" s="272"/>
      <c r="I75" s="272"/>
      <c r="J75" s="272"/>
      <c r="K75" s="207"/>
      <c r="O75" s="300"/>
    </row>
    <row r="76" spans="1:15">
      <c r="F76" s="273"/>
      <c r="G76" s="273"/>
      <c r="H76" s="273"/>
      <c r="I76" s="273"/>
      <c r="J76" s="273"/>
    </row>
  </sheetData>
  <mergeCells count="3">
    <mergeCell ref="F2:K2"/>
    <mergeCell ref="A1:K1"/>
    <mergeCell ref="L60:M60"/>
  </mergeCells>
  <phoneticPr fontId="5" type="noConversion"/>
  <pageMargins left="0.5" right="0.5" top="0.5" bottom="0.5" header="0.5" footer="0.5"/>
  <pageSetup scale="89" orientation="portrait" verticalDpi="300" r:id="rId1"/>
  <headerFooter alignWithMargins="0">
    <oddFooter>&amp;C &amp;P&amp;R&amp;F&amp;D</oddFooter>
  </headerFooter>
  <rowBreaks count="1" manualBreakCount="1">
    <brk id="59" max="9" man="1"/>
  </rowBreaks>
</worksheet>
</file>

<file path=xl/worksheets/sheet3.xml><?xml version="1.0" encoding="utf-8"?>
<worksheet xmlns="http://schemas.openxmlformats.org/spreadsheetml/2006/main" xmlns:r="http://schemas.openxmlformats.org/officeDocument/2006/relationships">
  <sheetPr enableFormatConditionsCalculation="0">
    <tabColor indexed="45"/>
  </sheetPr>
  <dimension ref="A1:K209"/>
  <sheetViews>
    <sheetView tabSelected="1" zoomScaleNormal="100" workbookViewId="0">
      <selection activeCell="F52" sqref="F52"/>
    </sheetView>
  </sheetViews>
  <sheetFormatPr defaultRowHeight="12.75"/>
  <cols>
    <col min="1" max="2" width="10.7109375" customWidth="1"/>
    <col min="3" max="3" width="13.140625" customWidth="1"/>
    <col min="4" max="4" width="9.5703125" customWidth="1"/>
    <col min="5" max="5" width="12.42578125" customWidth="1"/>
    <col min="6" max="10" width="10.7109375" customWidth="1"/>
  </cols>
  <sheetData>
    <row r="1" spans="1:10" ht="15.75">
      <c r="A1" s="425" t="s">
        <v>366</v>
      </c>
      <c r="B1" s="425"/>
      <c r="C1" s="425"/>
      <c r="D1" s="425"/>
      <c r="E1" s="425"/>
      <c r="F1" s="425"/>
      <c r="G1" s="425"/>
      <c r="H1" s="425"/>
      <c r="I1" s="425"/>
      <c r="J1" s="425"/>
    </row>
    <row r="2" spans="1:10" ht="15.75">
      <c r="A2" s="426" t="str">
        <f>IF(Chem!E3="NCA-G","LiNi0.80Co0.15Al0.05O2-Graphite",IF(Chem!E3="NMC441-G","Li1.05(Ni4/9Mn4/9Co1/9)0.95O2-Graphite",IF(Chem!E3="LFP-G","LiFePO4-Graphite",IF(Chem!E3="LMO-LTO","Manganese-Spinel/Li4Ti5O12",IF(Chem!E3="LMO-G","Manganese-Spinel/Graphite")))))</f>
        <v>Li1.05(Ni4/9Mn4/9Co1/9)0.95O2-Graphite</v>
      </c>
      <c r="B2" s="426"/>
      <c r="C2" s="426"/>
      <c r="D2" s="426"/>
      <c r="E2" s="426"/>
      <c r="F2" s="426"/>
      <c r="G2" s="426"/>
      <c r="H2" s="426"/>
      <c r="I2" s="426"/>
      <c r="J2" s="426"/>
    </row>
    <row r="3" spans="1:10" ht="15.75">
      <c r="A3" s="8"/>
      <c r="B3" s="8"/>
      <c r="C3" s="8"/>
      <c r="D3" s="8"/>
      <c r="E3" s="1"/>
    </row>
    <row r="4" spans="1:10" ht="15.75">
      <c r="A4" s="16" t="s">
        <v>15</v>
      </c>
      <c r="B4" s="8"/>
      <c r="C4" s="8"/>
      <c r="D4" s="8"/>
      <c r="E4" s="1"/>
      <c r="F4" s="8"/>
    </row>
    <row r="5" spans="1:10">
      <c r="A5" s="36" t="s">
        <v>19</v>
      </c>
      <c r="B5" s="36"/>
      <c r="C5" s="36"/>
      <c r="D5" s="36"/>
      <c r="E5" s="36"/>
      <c r="F5" s="8" t="s">
        <v>0</v>
      </c>
      <c r="G5" s="8" t="s">
        <v>1</v>
      </c>
      <c r="H5" s="8" t="s">
        <v>2</v>
      </c>
      <c r="I5" s="8" t="s">
        <v>3</v>
      </c>
      <c r="J5" s="8" t="s">
        <v>4</v>
      </c>
    </row>
    <row r="6" spans="1:10">
      <c r="A6" s="17" t="s">
        <v>20</v>
      </c>
      <c r="B6" s="45"/>
      <c r="C6" s="10"/>
      <c r="D6" s="25" t="s">
        <v>8</v>
      </c>
      <c r="E6" s="9" t="s">
        <v>7</v>
      </c>
    </row>
    <row r="7" spans="1:10">
      <c r="A7" s="12" t="s">
        <v>6</v>
      </c>
      <c r="B7" s="11"/>
      <c r="C7" s="11"/>
      <c r="D7" s="111">
        <f>Chem!E7</f>
        <v>89</v>
      </c>
      <c r="E7" s="112">
        <f>Chem!E13</f>
        <v>4.6500000000000004</v>
      </c>
      <c r="F7" s="39">
        <f ca="1">F78/F36*1000</f>
        <v>428.77874074109809</v>
      </c>
      <c r="G7" s="39">
        <f ca="1">G78/G36*1000</f>
        <v>218.83164885689479</v>
      </c>
      <c r="H7" s="39">
        <f ca="1">H78/H36*1000</f>
        <v>218.59132709605353</v>
      </c>
      <c r="I7" s="39">
        <f ca="1">I78/I36*1000</f>
        <v>214.25203532960893</v>
      </c>
      <c r="J7" s="39">
        <f ca="1">J78/J36*1000</f>
        <v>214.25203532960893</v>
      </c>
    </row>
    <row r="8" spans="1:10">
      <c r="A8" s="12" t="s">
        <v>546</v>
      </c>
      <c r="B8" s="37"/>
      <c r="C8" s="113"/>
      <c r="D8" s="111">
        <f>Chem!E8</f>
        <v>6</v>
      </c>
      <c r="E8" s="112">
        <f>Chem!E14</f>
        <v>1.825</v>
      </c>
      <c r="F8" s="40">
        <f t="shared" ref="F8:J10" ca="1" si="0">F$11*$D8/100</f>
        <v>28.906431960074109</v>
      </c>
      <c r="G8" s="40">
        <f t="shared" ca="1" si="0"/>
        <v>14.752695428554821</v>
      </c>
      <c r="H8" s="40">
        <f t="shared" ca="1" si="0"/>
        <v>14.73649396153181</v>
      </c>
      <c r="I8" s="40">
        <f t="shared" ca="1" si="0"/>
        <v>14.443957437951163</v>
      </c>
      <c r="J8" s="40">
        <f t="shared" ca="1" si="0"/>
        <v>14.443957437951163</v>
      </c>
    </row>
    <row r="9" spans="1:10">
      <c r="A9" s="10" t="s">
        <v>11</v>
      </c>
      <c r="B9" s="10"/>
      <c r="C9" s="10"/>
      <c r="D9" s="111">
        <f>Chem!E9</f>
        <v>5</v>
      </c>
      <c r="E9" s="112">
        <f>Chem!E15</f>
        <v>1.77</v>
      </c>
      <c r="F9" s="40">
        <f t="shared" ca="1" si="0"/>
        <v>24.08869330006176</v>
      </c>
      <c r="G9" s="40">
        <f t="shared" ca="1" si="0"/>
        <v>12.293912857129019</v>
      </c>
      <c r="H9" s="40">
        <f t="shared" ca="1" si="0"/>
        <v>12.280411634609843</v>
      </c>
      <c r="I9" s="40">
        <f t="shared" ca="1" si="0"/>
        <v>12.036631198292637</v>
      </c>
      <c r="J9" s="40">
        <f t="shared" ca="1" si="0"/>
        <v>12.036631198292637</v>
      </c>
    </row>
    <row r="10" spans="1:10">
      <c r="A10" s="10" t="s">
        <v>12</v>
      </c>
      <c r="B10" s="15" t="s">
        <v>9</v>
      </c>
      <c r="C10" s="114">
        <f>Chem!E11</f>
        <v>32</v>
      </c>
      <c r="D10" s="13"/>
      <c r="E10" s="13"/>
      <c r="F10" s="41">
        <f t="shared" ca="1" si="0"/>
        <v>0</v>
      </c>
      <c r="G10" s="41">
        <f t="shared" ca="1" si="0"/>
        <v>0</v>
      </c>
      <c r="H10" s="41">
        <f t="shared" ca="1" si="0"/>
        <v>0</v>
      </c>
      <c r="I10" s="41">
        <f t="shared" ca="1" si="0"/>
        <v>0</v>
      </c>
      <c r="J10" s="41">
        <f t="shared" ca="1" si="0"/>
        <v>0</v>
      </c>
    </row>
    <row r="11" spans="1:10">
      <c r="A11" s="10" t="s">
        <v>13</v>
      </c>
      <c r="B11" s="10"/>
      <c r="C11" s="10"/>
      <c r="D11" s="9">
        <f>SUM(D7:D10)</f>
        <v>100</v>
      </c>
      <c r="E11" s="14">
        <f>(100-C10)/(D7/E7+D8/E8+D9/E9)</f>
        <v>2.6928224272455128</v>
      </c>
      <c r="F11" s="38">
        <f ca="1">F7/$D7*100</f>
        <v>481.77386600123384</v>
      </c>
      <c r="G11" s="38">
        <f ca="1">G7/$D7*100</f>
        <v>245.87825714257843</v>
      </c>
      <c r="H11" s="38">
        <f ca="1">H7/$D7*100</f>
        <v>245.60823269219497</v>
      </c>
      <c r="I11" s="38">
        <f ca="1">I7/$D7*100</f>
        <v>240.73262396585272</v>
      </c>
      <c r="J11" s="38">
        <f ca="1">J7/$D7*100</f>
        <v>240.73262396585272</v>
      </c>
    </row>
    <row r="12" spans="1:10">
      <c r="A12" s="45" t="s">
        <v>174</v>
      </c>
      <c r="B12" s="46"/>
      <c r="C12" s="27"/>
      <c r="D12" s="28" t="s">
        <v>8</v>
      </c>
      <c r="E12" s="28" t="s">
        <v>7</v>
      </c>
      <c r="F12" s="29"/>
      <c r="G12" s="29"/>
      <c r="H12" s="29"/>
      <c r="I12" s="29"/>
      <c r="J12" s="29"/>
    </row>
    <row r="13" spans="1:10">
      <c r="A13" s="55" t="s">
        <v>6</v>
      </c>
      <c r="B13" s="27"/>
      <c r="C13" s="27"/>
      <c r="D13" s="115">
        <f>Chem!E20</f>
        <v>95</v>
      </c>
      <c r="E13" s="117">
        <f>Chem!E26</f>
        <v>2.2400000000000002</v>
      </c>
      <c r="F13" s="42">
        <f ca="1">F78/$F38*1000*F40*(1+F45/100)</f>
        <v>290.72122917719469</v>
      </c>
      <c r="G13" s="42">
        <f ca="1">G78/$F38*1000*G40*(1+G45/100)</f>
        <v>148.29788192868986</v>
      </c>
      <c r="H13" s="42">
        <f ca="1">H78/$F38*1000*H40*(1+H45/100)</f>
        <v>149.00736255853025</v>
      </c>
      <c r="I13" s="42">
        <f ca="1">I78/$F38*1000*I40*(1+I45/100)</f>
        <v>146.09023639635782</v>
      </c>
      <c r="J13" s="42">
        <f ca="1">J78/$F38*1000*J40*(1+J45/100)</f>
        <v>146.09023639635782</v>
      </c>
    </row>
    <row r="14" spans="1:10">
      <c r="A14" s="29" t="s">
        <v>10</v>
      </c>
      <c r="B14" s="27"/>
      <c r="C14" s="27"/>
      <c r="D14" s="115">
        <f>Chem!E21</f>
        <v>0</v>
      </c>
      <c r="E14" s="117">
        <f>Chem!E27</f>
        <v>1.95</v>
      </c>
      <c r="F14" s="43">
        <f t="shared" ref="F14:J16" ca="1" si="1">F$17*$D14/100</f>
        <v>0</v>
      </c>
      <c r="G14" s="43">
        <f t="shared" ca="1" si="1"/>
        <v>0</v>
      </c>
      <c r="H14" s="43">
        <f t="shared" ca="1" si="1"/>
        <v>0</v>
      </c>
      <c r="I14" s="43">
        <f t="shared" ca="1" si="1"/>
        <v>0</v>
      </c>
      <c r="J14" s="43">
        <f t="shared" ca="1" si="1"/>
        <v>0</v>
      </c>
    </row>
    <row r="15" spans="1:10">
      <c r="A15" s="29" t="s">
        <v>11</v>
      </c>
      <c r="B15" s="27"/>
      <c r="C15" s="27"/>
      <c r="D15" s="115">
        <f>Chem!E22</f>
        <v>5</v>
      </c>
      <c r="E15" s="117">
        <f>Chem!E28</f>
        <v>1.1000000000000001</v>
      </c>
      <c r="F15" s="43">
        <f t="shared" ca="1" si="1"/>
        <v>15.301117325115552</v>
      </c>
      <c r="G15" s="43">
        <f t="shared" ca="1" si="1"/>
        <v>7.8051516804574241</v>
      </c>
      <c r="H15" s="43">
        <f t="shared" ca="1" si="1"/>
        <v>7.8424927662384958</v>
      </c>
      <c r="I15" s="43">
        <f t="shared" ca="1" si="1"/>
        <v>7.6889598103346222</v>
      </c>
      <c r="J15" s="43">
        <f t="shared" ca="1" si="1"/>
        <v>7.6889598103346222</v>
      </c>
    </row>
    <row r="16" spans="1:10">
      <c r="A16" s="29" t="s">
        <v>12</v>
      </c>
      <c r="B16" s="32" t="s">
        <v>9</v>
      </c>
      <c r="C16" s="116">
        <f>Chem!E24</f>
        <v>34</v>
      </c>
      <c r="D16" s="33"/>
      <c r="E16" s="34"/>
      <c r="F16" s="44">
        <f t="shared" ca="1" si="1"/>
        <v>0</v>
      </c>
      <c r="G16" s="44">
        <f t="shared" ca="1" si="1"/>
        <v>0</v>
      </c>
      <c r="H16" s="44">
        <f t="shared" ca="1" si="1"/>
        <v>0</v>
      </c>
      <c r="I16" s="44">
        <f t="shared" ca="1" si="1"/>
        <v>0</v>
      </c>
      <c r="J16" s="44">
        <f t="shared" ca="1" si="1"/>
        <v>0</v>
      </c>
    </row>
    <row r="17" spans="1:10">
      <c r="A17" s="29" t="s">
        <v>13</v>
      </c>
      <c r="B17" s="27"/>
      <c r="C17" s="27"/>
      <c r="D17" s="31">
        <f>SUM(D13:D16)</f>
        <v>100</v>
      </c>
      <c r="E17" s="30">
        <f>(100-C16)/(D13/E13+D15/E15+D14/E14)</f>
        <v>1.4055661192739843</v>
      </c>
      <c r="F17" s="43">
        <f ca="1">F13/$D13*100</f>
        <v>306.0223465023102</v>
      </c>
      <c r="G17" s="43">
        <f ca="1">G13/$D13*100</f>
        <v>156.10303360914722</v>
      </c>
      <c r="H17" s="43">
        <f ca="1">H13/$D13*100</f>
        <v>156.84985532476867</v>
      </c>
      <c r="I17" s="43">
        <f ca="1">I13/$D13*100</f>
        <v>153.77919620669246</v>
      </c>
      <c r="J17" s="43">
        <f ca="1">J13/$D13*100</f>
        <v>153.77919620669246</v>
      </c>
    </row>
    <row r="18" spans="1:10">
      <c r="A18" s="56" t="s">
        <v>36</v>
      </c>
      <c r="B18" s="46"/>
      <c r="C18" s="46"/>
      <c r="D18" s="31" t="s">
        <v>21</v>
      </c>
      <c r="E18" s="30" t="s">
        <v>7</v>
      </c>
      <c r="F18" s="43"/>
      <c r="G18" s="43"/>
      <c r="H18" s="43"/>
      <c r="I18" s="43"/>
      <c r="J18" s="43"/>
    </row>
    <row r="19" spans="1:10" ht="14.25">
      <c r="A19" s="29" t="s">
        <v>22</v>
      </c>
      <c r="B19" s="27"/>
      <c r="C19" s="116" t="str">
        <f>IF(Chem!E30="aluminum","Al","Cu")</f>
        <v>Al</v>
      </c>
      <c r="D19" s="111">
        <f>Chem!E31</f>
        <v>20</v>
      </c>
      <c r="E19" s="117">
        <f>IF(C19="Al",2.7,8.92)</f>
        <v>2.7</v>
      </c>
      <c r="F19" s="50">
        <f ca="1">F105*F106*(F107+F108)/1000000</f>
        <v>1.1248198131949816</v>
      </c>
      <c r="G19" s="50">
        <f ca="1">G105*G106*(G107+G108)/1000000</f>
        <v>0.56431135491005735</v>
      </c>
      <c r="H19" s="50">
        <f ca="1">H105*H106*(H107+H108)/1000000</f>
        <v>0.60369190487046354</v>
      </c>
      <c r="I19" s="50">
        <f ca="1">I105*I106*(I107+I108)/1000000</f>
        <v>0.59231146980916149</v>
      </c>
      <c r="J19" s="50">
        <f ca="1">J105*J106*(J107+J108)/1000000</f>
        <v>0.59231146980916149</v>
      </c>
    </row>
    <row r="20" spans="1:10" ht="14.25">
      <c r="A20" s="29" t="s">
        <v>23</v>
      </c>
      <c r="B20" s="27"/>
      <c r="C20" s="116" t="str">
        <f>IF(Chem!E33="aluminum","Al","Cu")</f>
        <v>Cu</v>
      </c>
      <c r="D20" s="111">
        <f>Chem!E34</f>
        <v>12</v>
      </c>
      <c r="E20" s="117">
        <f>IF(C20="Al",2.7,8.92)</f>
        <v>8.92</v>
      </c>
      <c r="F20" s="50">
        <f ca="1">(F105+1)*(F106+2)*(F107+F108+2)/1000000</f>
        <v>1.19472155550855</v>
      </c>
      <c r="G20" s="50">
        <f ca="1">(G105+1)*(G106+2)*(G107+G108+2)/1000000</f>
        <v>0.62260798120551542</v>
      </c>
      <c r="H20" s="50">
        <f ca="1">(H105+1)*(H106+2)*(H107+H108+2)/1000000</f>
        <v>0.64412860076156686</v>
      </c>
      <c r="I20" s="50">
        <f ca="1">(I105+1)*(I106+2)*(I107+I108+2)/1000000</f>
        <v>0.63214898468303782</v>
      </c>
      <c r="J20" s="50">
        <f ca="1">(J105+1)*(J106+2)*(J107+J108+2)/1000000</f>
        <v>0.63214898468303782</v>
      </c>
    </row>
    <row r="21" spans="1:10" ht="14.25">
      <c r="A21" s="29" t="s">
        <v>24</v>
      </c>
      <c r="B21" s="27"/>
      <c r="C21" s="27"/>
      <c r="D21" s="115">
        <f>Chem!E36</f>
        <v>20</v>
      </c>
      <c r="E21" s="118">
        <f>Chem!E38</f>
        <v>0.46</v>
      </c>
      <c r="F21" s="50">
        <f ca="1">(F106+4)*(F107+6)*2*F105/1000000</f>
        <v>2.2387739460154377</v>
      </c>
      <c r="G21" s="50">
        <f ca="1">(G106+4)*(G107+6)*2*G105/1000000</f>
        <v>1.1413052057536435</v>
      </c>
      <c r="H21" s="50">
        <f ca="1">(H106+4)*(H107+6)*2*H105/1000000</f>
        <v>1.159731728139431</v>
      </c>
      <c r="I21" s="50">
        <f ca="1">(I106+4)*(I107+6)*2*I105/1000000</f>
        <v>1.1374585634582859</v>
      </c>
      <c r="J21" s="50">
        <f ca="1">(J106+4)*(J107+6)*2*J105/1000000</f>
        <v>1.1374585634582859</v>
      </c>
    </row>
    <row r="22" spans="1:10">
      <c r="A22" s="7" t="s">
        <v>25</v>
      </c>
      <c r="B22" s="27"/>
      <c r="C22" s="27"/>
      <c r="D22" s="115"/>
      <c r="E22" s="117">
        <f>Chem!E39</f>
        <v>1.2</v>
      </c>
      <c r="F22" s="51">
        <f ca="1">(F11/$E11*$C10/100+F17/$E17*$C16/100+F21*$D21*Chem!$E37/100+F31*F106*F107/1000*0.02)/1000</f>
        <v>0.16355965592206734</v>
      </c>
      <c r="G22" s="51">
        <f ca="1">(G11/$E11*$C10/100+G17/$E17*$C16/100+G21*$D21*Chem!$E37/100+G31*G106*G107/1000*0.02)/1000</f>
        <v>8.3569889299311154E-2</v>
      </c>
      <c r="H22" s="51">
        <f ca="1">(H11/$E11*$C10/100+H17/$E17*$C16/100+H21*$D21*Chem!$E37/100+H31*H106*H107/1000*0.02)/1000</f>
        <v>8.3769859207939223E-2</v>
      </c>
      <c r="I22" s="51">
        <f ca="1">(I11/$E11*$C10/100+I17/$E17*$C16/100+I21*$D21*Chem!$E37/100+I31*I106*I107/1000*0.02)/1000</f>
        <v>8.2124818505712488E-2</v>
      </c>
      <c r="J22" s="51">
        <f ca="1">(J11/$E11*$C10/100+J17/$E17*$C16/100+J21*$D21*Chem!$E37/100+J31*J106*J107/1000*0.02)/1000</f>
        <v>8.2124818505712488E-2</v>
      </c>
    </row>
    <row r="23" spans="1:10">
      <c r="A23" s="47" t="s">
        <v>33</v>
      </c>
      <c r="B23" s="27"/>
      <c r="C23" s="27"/>
      <c r="D23" s="244"/>
      <c r="E23" s="127"/>
      <c r="F23" s="53">
        <f ca="1">$E19*(F110*F33*F109)/1000</f>
        <v>10.027491232546508</v>
      </c>
      <c r="G23" s="53">
        <f ca="1">$E19*(G110*G33*G109)/1000</f>
        <v>6.6482804837315097</v>
      </c>
      <c r="H23" s="53">
        <f ca="1">$E19*(H110*H33*H109)/1000</f>
        <v>10.132444121317004</v>
      </c>
      <c r="I23" s="53">
        <f ca="1">$E19*(I110*I33*I109)/1000</f>
        <v>10.02404371660686</v>
      </c>
      <c r="J23" s="53">
        <f ca="1">$E19*(J110*J33*J109)/1000</f>
        <v>10.02404371660686</v>
      </c>
    </row>
    <row r="24" spans="1:10">
      <c r="A24" s="47" t="s">
        <v>34</v>
      </c>
      <c r="B24" s="27"/>
      <c r="C24" s="27"/>
      <c r="D24" s="166"/>
      <c r="E24" s="127"/>
      <c r="F24" s="53">
        <f ca="1">$E20*(F110*F33*F109)/1000</f>
        <v>33.127859923820317</v>
      </c>
      <c r="G24" s="53">
        <f ca="1">$E20*(G110*G33*G109)/1000</f>
        <v>21.963948857364837</v>
      </c>
      <c r="H24" s="53">
        <f ca="1">$E20*(H110*H33*H109)/1000</f>
        <v>33.474593171165807</v>
      </c>
      <c r="I24" s="53">
        <f ca="1">$E20*(I110*I33*I109)/1000</f>
        <v>33.116470352641919</v>
      </c>
      <c r="J24" s="53">
        <f ca="1">$E20*(J110*J33*J109)/1000</f>
        <v>33.116470352641919</v>
      </c>
    </row>
    <row r="25" spans="1:10">
      <c r="A25" s="52" t="s">
        <v>453</v>
      </c>
      <c r="B25" s="27"/>
      <c r="C25" s="27"/>
      <c r="D25" s="166"/>
      <c r="E25" s="127"/>
      <c r="F25" s="243">
        <v>100</v>
      </c>
      <c r="G25" s="243">
        <v>100</v>
      </c>
      <c r="H25" s="243">
        <v>100</v>
      </c>
      <c r="I25" s="243">
        <v>100</v>
      </c>
      <c r="J25" s="243">
        <v>100</v>
      </c>
    </row>
    <row r="26" spans="1:10">
      <c r="A26" s="52" t="s">
        <v>454</v>
      </c>
      <c r="B26" s="27"/>
      <c r="C26" s="27"/>
      <c r="D26" s="166"/>
      <c r="E26" s="127"/>
      <c r="F26" s="54">
        <f>30+F25+20</f>
        <v>150</v>
      </c>
      <c r="G26" s="54">
        <f>30+G25+20</f>
        <v>150</v>
      </c>
      <c r="H26" s="54">
        <f>30+H25+20</f>
        <v>150</v>
      </c>
      <c r="I26" s="54">
        <f>30+I25+20</f>
        <v>150</v>
      </c>
      <c r="J26" s="54">
        <f>30+J25+20</f>
        <v>150</v>
      </c>
    </row>
    <row r="27" spans="1:10">
      <c r="A27" s="52" t="s">
        <v>452</v>
      </c>
      <c r="B27" s="27"/>
      <c r="C27" s="27"/>
      <c r="D27" s="166"/>
      <c r="E27" s="127"/>
      <c r="F27" s="53">
        <f>(30*1.4+F25*2.7+20*0.9)/F26</f>
        <v>2.2000000000000002</v>
      </c>
      <c r="G27" s="53">
        <f>(30*1.4+G25*2.7+20*0.9)/G26</f>
        <v>2.2000000000000002</v>
      </c>
      <c r="H27" s="53">
        <f>(30*1.4+H25*2.7+20*0.9)/H26</f>
        <v>2.2000000000000002</v>
      </c>
      <c r="I27" s="53">
        <f>(30*1.4+I25*2.7+20*0.9)/I26</f>
        <v>2.2000000000000002</v>
      </c>
      <c r="J27" s="53">
        <f>(30*1.4+J25*2.7+20*0.9)/J26</f>
        <v>2.2000000000000002</v>
      </c>
    </row>
    <row r="28" spans="1:10">
      <c r="A28" s="47" t="s">
        <v>451</v>
      </c>
      <c r="B28" s="27"/>
      <c r="C28" s="27"/>
      <c r="D28" s="166"/>
      <c r="E28" s="127"/>
      <c r="F28" s="53">
        <f ca="1">(F111+2*F31+6)*(F112-6)*F26*2/1000*F27/1000</f>
        <v>37.003433517403437</v>
      </c>
      <c r="G28" s="53">
        <f ca="1">(G111+2*G31+6)*(G112-6)*G26*2/1000*G27/1000</f>
        <v>35.441237117085265</v>
      </c>
      <c r="H28" s="53">
        <f ca="1">(H111+2*H31+6)*(H112-6)*H26*2/1000*H27/1000</f>
        <v>20.004632937170591</v>
      </c>
      <c r="I28" s="53">
        <f ca="1">(I111+2*I31+6)*(I112-6)*I26*2/1000*I27/1000</f>
        <v>19.673133295300904</v>
      </c>
      <c r="J28" s="53">
        <f ca="1">(J111+2*J31+6)*(J112-6)*J26*2/1000*J27/1000</f>
        <v>19.673133295300904</v>
      </c>
    </row>
    <row r="29" spans="1:10">
      <c r="A29" s="52" t="s">
        <v>32</v>
      </c>
      <c r="B29" s="27"/>
      <c r="C29" s="27"/>
      <c r="D29" s="31"/>
      <c r="E29" s="35"/>
      <c r="F29" s="54">
        <f ca="1">F11+F17+F19*$D19*$E19+F20*$D20*$E20+F21*$D21*$E21+F22*$E22*1000+F23+F24+F28</f>
        <v>1273.4465698013014</v>
      </c>
      <c r="G29" s="54">
        <f ca="1">G11+G17+G19*$D19*$E19+G20*$D20*$E20+G21*$D21*$E21+G22*$E22*1000+G23+G24+G28</f>
        <v>673.93540373539565</v>
      </c>
      <c r="H29" s="54">
        <f ca="1">H11+H17+H19*$D19*$E19+H20*$D20*$E20+H21*$D21*$E21+H22*$E22*1000+H23+H24+H28</f>
        <v>678.81000948355006</v>
      </c>
      <c r="I29" s="54">
        <f ca="1">I11+I17+I19*$D19*$E19+I20*$D20*$E20+I21*$D21*$E21+I22*$E22*1000+I23+I24+I28</f>
        <v>665.98991521793323</v>
      </c>
      <c r="J29" s="54">
        <f ca="1">J11+J17+J19*$D19*$E19+J20*$D20*$E20+J21*$D21*$E21+J22*$E22*1000+J23+J24+J28</f>
        <v>665.98991521793323</v>
      </c>
    </row>
    <row r="30" spans="1:10">
      <c r="A30" s="52" t="s">
        <v>344</v>
      </c>
      <c r="B30" s="27"/>
      <c r="C30" s="27"/>
      <c r="D30" s="189"/>
      <c r="E30" s="35"/>
      <c r="F30" s="203">
        <v>3</v>
      </c>
      <c r="G30" s="203">
        <v>3</v>
      </c>
      <c r="H30" s="203">
        <v>1.5</v>
      </c>
      <c r="I30" s="203">
        <v>1.5</v>
      </c>
      <c r="J30" s="203">
        <v>1.5</v>
      </c>
    </row>
    <row r="31" spans="1:10">
      <c r="A31" s="52" t="s">
        <v>271</v>
      </c>
      <c r="B31" s="27"/>
      <c r="C31" s="27"/>
      <c r="D31" s="189"/>
      <c r="F31" s="202">
        <f>IF(F57&gt;1,6,IF(F52="microHEV",6,IF(F52="HEV-HP",6,IF(F52="PHEV",8,12))))</f>
        <v>12</v>
      </c>
      <c r="G31" s="202">
        <f>IF(G57&gt;1,6,IF(G52="microHEV",6,IF(G52="HEV-HP",6,IF(G52="PHEV",8,12))))</f>
        <v>6</v>
      </c>
      <c r="H31" s="202">
        <f>IF(H57&gt;1,6,IF(H52="microHEV",6,IF(H52="HEV-HP",6,IF(H52="PHEV",8,12))))</f>
        <v>12</v>
      </c>
      <c r="I31" s="202">
        <f>IF(I57&gt;1,6,IF(I52="microHEV",6,IF(I52="HEV-HP",6,IF(I52="PHEV",8,12))))</f>
        <v>12</v>
      </c>
      <c r="J31" s="202">
        <f>IF(J57&gt;1,6,IF(J52="microHEV",6,IF(J52="HEV-HP",6,IF(J52="PHEV",8,12))))</f>
        <v>12</v>
      </c>
    </row>
    <row r="32" spans="1:10">
      <c r="A32" s="52" t="s">
        <v>410</v>
      </c>
      <c r="B32" s="27"/>
      <c r="C32" s="27"/>
      <c r="D32" s="189"/>
      <c r="F32" s="202">
        <v>1</v>
      </c>
      <c r="G32" s="202">
        <v>1</v>
      </c>
      <c r="H32" s="202">
        <v>1</v>
      </c>
      <c r="I32" s="202">
        <v>1</v>
      </c>
      <c r="J32" s="202">
        <v>1</v>
      </c>
    </row>
    <row r="33" spans="1:10">
      <c r="A33" s="52" t="s">
        <v>343</v>
      </c>
      <c r="C33" s="4"/>
      <c r="F33" s="204">
        <v>1</v>
      </c>
      <c r="G33" s="204">
        <v>1</v>
      </c>
      <c r="H33" s="204">
        <v>1</v>
      </c>
      <c r="I33" s="204">
        <v>1</v>
      </c>
      <c r="J33" s="204">
        <v>1</v>
      </c>
    </row>
    <row r="34" spans="1:10">
      <c r="A34" s="52" t="s">
        <v>352</v>
      </c>
      <c r="C34" s="4"/>
      <c r="F34" s="208">
        <v>15</v>
      </c>
      <c r="G34" s="208">
        <v>15</v>
      </c>
      <c r="H34" s="208">
        <v>15</v>
      </c>
      <c r="I34" s="208">
        <v>15</v>
      </c>
      <c r="J34" s="208">
        <v>15</v>
      </c>
    </row>
    <row r="35" spans="1:10">
      <c r="A35" s="48" t="s">
        <v>30</v>
      </c>
      <c r="B35" s="46"/>
      <c r="C35" s="46"/>
      <c r="D35" s="31"/>
      <c r="E35" s="35"/>
      <c r="F35" s="43"/>
      <c r="G35" s="43"/>
      <c r="H35" s="43"/>
      <c r="I35" s="43"/>
      <c r="J35" s="43"/>
    </row>
    <row r="36" spans="1:10">
      <c r="A36" t="s">
        <v>26</v>
      </c>
      <c r="E36" s="35"/>
      <c r="F36" s="111">
        <f>Chem!$E5</f>
        <v>175</v>
      </c>
      <c r="G36" s="111">
        <f>Chem!$E5</f>
        <v>175</v>
      </c>
      <c r="H36" s="111">
        <f>Chem!$E5</f>
        <v>175</v>
      </c>
      <c r="I36" s="111">
        <f>Chem!$E5</f>
        <v>175</v>
      </c>
      <c r="J36" s="111">
        <f>Chem!$E5</f>
        <v>175</v>
      </c>
    </row>
    <row r="37" spans="1:10" ht="14.25">
      <c r="A37" s="23" t="s">
        <v>27</v>
      </c>
      <c r="B37" s="18"/>
      <c r="C37" s="18"/>
      <c r="E37" s="35"/>
      <c r="F37" s="22">
        <f>F36/1000*$D7/100*$E11</f>
        <v>0.41940709304348861</v>
      </c>
      <c r="G37" s="22">
        <f>G36/1000*$D7/100*$E11</f>
        <v>0.41940709304348861</v>
      </c>
      <c r="H37" s="22">
        <f>H36/1000*$D7/100*$E11</f>
        <v>0.41940709304348861</v>
      </c>
      <c r="I37" s="22">
        <f>I36/1000*$D7/100*$E11</f>
        <v>0.41940709304348861</v>
      </c>
      <c r="J37" s="22">
        <f>J36/1000*$D7/100*$E11</f>
        <v>0.41940709304348861</v>
      </c>
    </row>
    <row r="38" spans="1:10">
      <c r="A38" t="s">
        <v>28</v>
      </c>
      <c r="B38" s="27"/>
      <c r="C38" s="27"/>
      <c r="E38" s="27"/>
      <c r="F38" s="116">
        <f>Chem!$E18</f>
        <v>330</v>
      </c>
      <c r="G38" s="116">
        <f>Chem!$E18</f>
        <v>330</v>
      </c>
      <c r="H38" s="116">
        <f>Chem!$E18</f>
        <v>330</v>
      </c>
      <c r="I38" s="116">
        <f>Chem!$E18</f>
        <v>330</v>
      </c>
      <c r="J38" s="116">
        <f>Chem!$E18</f>
        <v>330</v>
      </c>
    </row>
    <row r="39" spans="1:10" ht="14.25">
      <c r="A39" s="23" t="s">
        <v>29</v>
      </c>
      <c r="B39" s="27"/>
      <c r="C39" s="27"/>
      <c r="E39" s="27"/>
      <c r="F39" s="30">
        <f>F38/1000*$D13/100*$E17</f>
        <v>0.44064497839239408</v>
      </c>
      <c r="G39" s="30">
        <f>G38/1000*$D13/100*$E17</f>
        <v>0.44064497839239408</v>
      </c>
      <c r="H39" s="30">
        <f>H38/1000*$D13/100*$E17</f>
        <v>0.44064497839239408</v>
      </c>
      <c r="I39" s="30">
        <f>I38/1000*$D13/100*$E17</f>
        <v>0.44064497839239408</v>
      </c>
      <c r="J39" s="30">
        <f>J38/1000*$D13/100*$E17</f>
        <v>0.44064497839239408</v>
      </c>
    </row>
    <row r="40" spans="1:10">
      <c r="A40" s="29" t="s">
        <v>181</v>
      </c>
      <c r="B40" s="27"/>
      <c r="C40" s="27"/>
      <c r="E40" s="27"/>
      <c r="F40" s="117">
        <f>Chem!$E17</f>
        <v>1.25</v>
      </c>
      <c r="G40" s="117">
        <f>Chem!$E17</f>
        <v>1.25</v>
      </c>
      <c r="H40" s="117">
        <f>Chem!$E17</f>
        <v>1.25</v>
      </c>
      <c r="I40" s="117">
        <f>Chem!$E17</f>
        <v>1.25</v>
      </c>
      <c r="J40" s="117">
        <f>Chem!$E17</f>
        <v>1.25</v>
      </c>
    </row>
    <row r="41" spans="1:10">
      <c r="A41" s="45" t="s">
        <v>31</v>
      </c>
      <c r="B41" s="17"/>
      <c r="C41" s="17"/>
      <c r="D41" s="49"/>
      <c r="E41" s="18"/>
      <c r="F41" s="23"/>
      <c r="G41" s="23"/>
      <c r="H41" s="23"/>
      <c r="I41" s="23"/>
      <c r="J41" s="23"/>
    </row>
    <row r="42" spans="1:10">
      <c r="A42" t="s">
        <v>379</v>
      </c>
      <c r="E42" s="3"/>
      <c r="F42" s="111">
        <f>Chem!$E41</f>
        <v>3.6629999999999998</v>
      </c>
      <c r="G42" s="111">
        <f>Chem!$E41</f>
        <v>3.6629999999999998</v>
      </c>
      <c r="H42" s="111">
        <f>Chem!$E41</f>
        <v>3.6629999999999998</v>
      </c>
      <c r="I42" s="111">
        <f>Chem!$E41</f>
        <v>3.6629999999999998</v>
      </c>
      <c r="J42" s="111">
        <f>Chem!$E41</f>
        <v>3.6629999999999998</v>
      </c>
    </row>
    <row r="43" spans="1:10">
      <c r="A43" s="23" t="s">
        <v>269</v>
      </c>
      <c r="B43" s="18"/>
      <c r="C43" s="18"/>
      <c r="D43" s="18"/>
      <c r="E43" s="18"/>
      <c r="F43" s="186">
        <f>Chem!$E42</f>
        <v>3.75</v>
      </c>
      <c r="G43" s="186">
        <f>Chem!$E42</f>
        <v>3.75</v>
      </c>
      <c r="H43" s="186">
        <f>Chem!$E42</f>
        <v>3.75</v>
      </c>
      <c r="I43" s="186">
        <f>Chem!$E42</f>
        <v>3.75</v>
      </c>
      <c r="J43" s="186">
        <f>Chem!$E42</f>
        <v>3.75</v>
      </c>
    </row>
    <row r="44" spans="1:10" ht="14.25">
      <c r="A44" s="24" t="s">
        <v>17</v>
      </c>
      <c r="E44" s="6"/>
      <c r="F44" s="119">
        <f>Chem!$E$53</f>
        <v>58.52000000000001</v>
      </c>
      <c r="G44" s="119">
        <f>Chem!$E$53</f>
        <v>58.52000000000001</v>
      </c>
      <c r="H44" s="119">
        <f>Chem!$E$53</f>
        <v>58.52000000000001</v>
      </c>
      <c r="I44" s="119">
        <f>Chem!$E$53</f>
        <v>58.52000000000001</v>
      </c>
      <c r="J44" s="119">
        <f>Chem!$E$53</f>
        <v>58.52000000000001</v>
      </c>
    </row>
    <row r="45" spans="1:10">
      <c r="A45" s="24" t="s">
        <v>16</v>
      </c>
      <c r="B45" s="3"/>
      <c r="C45" s="7"/>
      <c r="D45" s="3"/>
      <c r="E45" s="3"/>
      <c r="F45" s="109">
        <f ca="1">(F106+2)*(F107+2)/F106/F107*100-100</f>
        <v>2.2843948041487465</v>
      </c>
      <c r="G45" s="109">
        <f ca="1">(G106+2)*(G107+2)/G106/G107*100-100</f>
        <v>2.2329031307447309</v>
      </c>
      <c r="H45" s="109">
        <f ca="1">(H106+2)*(H107+2)/H106/H107*100-100</f>
        <v>2.8349353054644411</v>
      </c>
      <c r="I45" s="109">
        <f ca="1">(I106+2)*(I107+2)/I106/I107*100-100</f>
        <v>2.8636933514976022</v>
      </c>
      <c r="J45" s="109">
        <f ca="1">(J106+2)*(J107+2)/J106/J107*100-100</f>
        <v>2.8636933514976022</v>
      </c>
    </row>
    <row r="46" spans="1:10">
      <c r="A46" s="158" t="s">
        <v>716</v>
      </c>
      <c r="B46" s="3"/>
      <c r="C46" s="7"/>
      <c r="D46" s="3"/>
      <c r="E46" s="3"/>
      <c r="F46" s="111">
        <f>Chem!$E54</f>
        <v>100</v>
      </c>
      <c r="G46" s="111">
        <f>Chem!$E54</f>
        <v>100</v>
      </c>
      <c r="H46" s="111">
        <f>Chem!$E54</f>
        <v>100</v>
      </c>
      <c r="I46" s="111">
        <f>Chem!$E54</f>
        <v>100</v>
      </c>
      <c r="J46" s="111">
        <f>Chem!$E54</f>
        <v>100</v>
      </c>
    </row>
    <row r="47" spans="1:10">
      <c r="A47" s="52" t="s">
        <v>360</v>
      </c>
      <c r="B47" s="7"/>
      <c r="C47" s="211"/>
      <c r="D47" s="7"/>
      <c r="E47" s="7"/>
      <c r="F47" s="148">
        <v>0.01</v>
      </c>
      <c r="G47" s="148">
        <v>0.01</v>
      </c>
      <c r="H47" s="148">
        <v>0.01</v>
      </c>
      <c r="I47" s="148">
        <v>0.01</v>
      </c>
      <c r="J47" s="148">
        <v>0.01</v>
      </c>
    </row>
    <row r="48" spans="1:10" ht="14.25">
      <c r="A48" s="24" t="s">
        <v>361</v>
      </c>
      <c r="B48" s="7"/>
      <c r="C48" s="211"/>
      <c r="D48" s="7"/>
      <c r="E48" s="7"/>
      <c r="F48" s="148">
        <v>0.05</v>
      </c>
      <c r="G48" s="148">
        <v>0.05</v>
      </c>
      <c r="H48" s="148">
        <v>0.05</v>
      </c>
      <c r="I48" s="148">
        <v>0.05</v>
      </c>
      <c r="J48" s="148">
        <v>0.05</v>
      </c>
    </row>
    <row r="49" spans="1:11">
      <c r="A49" s="24" t="s">
        <v>190</v>
      </c>
      <c r="B49" s="3"/>
      <c r="C49" s="7"/>
      <c r="D49" s="3"/>
      <c r="E49" s="3"/>
      <c r="F49" s="148">
        <v>80</v>
      </c>
      <c r="G49" s="148">
        <v>80</v>
      </c>
      <c r="H49" s="148">
        <v>80</v>
      </c>
      <c r="I49" s="148">
        <v>80</v>
      </c>
      <c r="J49" s="148">
        <v>80</v>
      </c>
    </row>
    <row r="50" spans="1:11">
      <c r="A50" t="s">
        <v>192</v>
      </c>
      <c r="E50" s="143"/>
      <c r="F50" s="6">
        <f ca="1">IF(F193=0,F49,100/2*(1+1/F42*(F42^2-4*F55*1000/F64*F89/F103)^0.5))</f>
        <v>86.391770551256656</v>
      </c>
      <c r="G50" s="6">
        <f t="shared" ref="G50:J50" ca="1" si="2">IF(G193=0,G49,100/2*(1+1/G42*(G42^2-4*G55*1000/G64*G89/G103)^0.5))</f>
        <v>86.853841361494659</v>
      </c>
      <c r="H50" s="6">
        <f t="shared" ca="1" si="2"/>
        <v>87.566452495530172</v>
      </c>
      <c r="I50" s="6">
        <f t="shared" ca="1" si="2"/>
        <v>87.276615978843381</v>
      </c>
      <c r="J50" s="6">
        <f t="shared" ca="1" si="2"/>
        <v>87.276615978843381</v>
      </c>
      <c r="K50" s="6"/>
    </row>
    <row r="51" spans="1:11" ht="15.75">
      <c r="A51" s="19" t="s">
        <v>35</v>
      </c>
      <c r="B51" s="20"/>
      <c r="C51" s="20"/>
    </row>
    <row r="52" spans="1:11" s="7" customFormat="1" ht="15">
      <c r="A52" s="20" t="s">
        <v>407</v>
      </c>
      <c r="B52" s="20"/>
      <c r="C52" s="20"/>
      <c r="D52"/>
      <c r="E52"/>
      <c r="F52" s="384" t="s">
        <v>859</v>
      </c>
      <c r="G52" s="3" t="str">
        <f>F52</f>
        <v>EV</v>
      </c>
      <c r="H52" s="3" t="str">
        <f>G52</f>
        <v>EV</v>
      </c>
      <c r="I52" s="3" t="str">
        <f>H52</f>
        <v>EV</v>
      </c>
      <c r="J52" s="3" t="str">
        <f>I52</f>
        <v>EV</v>
      </c>
    </row>
    <row r="53" spans="1:11" s="7" customFormat="1">
      <c r="A53" s="321" t="s">
        <v>834</v>
      </c>
      <c r="D53" s="321"/>
      <c r="E53" s="314"/>
      <c r="F53" s="362" t="s">
        <v>858</v>
      </c>
      <c r="G53" s="385" t="str">
        <f>F53</f>
        <v>EG-W</v>
      </c>
      <c r="H53" s="385" t="str">
        <f t="shared" ref="H53:J53" si="3">G53</f>
        <v>EG-W</v>
      </c>
      <c r="I53" s="385" t="str">
        <f t="shared" si="3"/>
        <v>EG-W</v>
      </c>
      <c r="J53" s="385" t="str">
        <f t="shared" si="3"/>
        <v>EG-W</v>
      </c>
    </row>
    <row r="54" spans="1:11">
      <c r="A54" s="24" t="s">
        <v>293</v>
      </c>
      <c r="B54" s="7"/>
      <c r="C54" s="7"/>
      <c r="D54" s="321"/>
      <c r="E54" s="7"/>
      <c r="F54" s="162">
        <f>IF(F52="microHEV",2,10)</f>
        <v>10</v>
      </c>
      <c r="G54" s="162">
        <f>IF(G52="microHEV",2,10)</f>
        <v>10</v>
      </c>
      <c r="H54" s="162">
        <f>IF(H52="microHEV",2,10)</f>
        <v>10</v>
      </c>
      <c r="I54" s="162">
        <f>IF(I52="microHEV",2,10)</f>
        <v>10</v>
      </c>
      <c r="J54" s="162">
        <f>IF(J52="microHEV",2,10)</f>
        <v>10</v>
      </c>
    </row>
    <row r="55" spans="1:11">
      <c r="A55" t="s">
        <v>865</v>
      </c>
      <c r="F55" s="324">
        <v>120</v>
      </c>
      <c r="G55" s="324">
        <v>120</v>
      </c>
      <c r="H55" s="324">
        <v>120</v>
      </c>
      <c r="I55" s="324">
        <v>60</v>
      </c>
      <c r="J55" s="324">
        <v>60</v>
      </c>
    </row>
    <row r="56" spans="1:11">
      <c r="A56" t="s">
        <v>303</v>
      </c>
      <c r="F56" s="148">
        <v>16</v>
      </c>
      <c r="G56" s="148">
        <v>32</v>
      </c>
      <c r="H56" s="148">
        <v>16</v>
      </c>
      <c r="I56" s="148">
        <v>16</v>
      </c>
      <c r="J56" s="148">
        <v>16</v>
      </c>
    </row>
    <row r="57" spans="1:11">
      <c r="A57" t="s">
        <v>378</v>
      </c>
      <c r="F57" s="148">
        <v>1</v>
      </c>
      <c r="G57" s="148">
        <v>2</v>
      </c>
      <c r="H57" s="148">
        <v>1</v>
      </c>
      <c r="I57" s="148">
        <v>1</v>
      </c>
      <c r="J57" s="148">
        <v>1</v>
      </c>
    </row>
    <row r="58" spans="1:11">
      <c r="A58" t="s">
        <v>304</v>
      </c>
      <c r="F58" s="191">
        <v>4</v>
      </c>
      <c r="G58" s="191">
        <v>4</v>
      </c>
      <c r="H58" s="191">
        <v>4</v>
      </c>
      <c r="I58" s="191">
        <v>4</v>
      </c>
      <c r="J58" s="191">
        <v>4</v>
      </c>
    </row>
    <row r="59" spans="1:11">
      <c r="A59" s="164" t="s">
        <v>861</v>
      </c>
      <c r="F59" s="191">
        <v>2</v>
      </c>
      <c r="G59" s="191">
        <v>2</v>
      </c>
      <c r="H59" s="191">
        <v>4</v>
      </c>
      <c r="I59" s="191">
        <v>2</v>
      </c>
      <c r="J59" s="191">
        <v>2</v>
      </c>
    </row>
    <row r="60" spans="1:11">
      <c r="A60" t="s">
        <v>862</v>
      </c>
      <c r="F60" s="198">
        <f>F58*F59</f>
        <v>8</v>
      </c>
      <c r="G60" s="198">
        <f>G58*G59</f>
        <v>8</v>
      </c>
      <c r="H60" s="198">
        <f>H58*H59</f>
        <v>16</v>
      </c>
      <c r="I60" s="198">
        <f>I58*I59</f>
        <v>8</v>
      </c>
      <c r="J60" s="198">
        <f>J58*J59</f>
        <v>8</v>
      </c>
    </row>
    <row r="61" spans="1:11">
      <c r="A61" s="321" t="s">
        <v>799</v>
      </c>
      <c r="F61" s="324">
        <v>1</v>
      </c>
      <c r="G61" s="324">
        <v>1</v>
      </c>
      <c r="H61" s="324">
        <v>2</v>
      </c>
      <c r="I61" s="324">
        <v>1</v>
      </c>
      <c r="J61" s="324">
        <v>1</v>
      </c>
    </row>
    <row r="62" spans="1:11">
      <c r="A62" s="321" t="s">
        <v>812</v>
      </c>
      <c r="F62" s="324">
        <v>1</v>
      </c>
      <c r="G62" s="324">
        <v>1</v>
      </c>
      <c r="H62" s="324">
        <v>1</v>
      </c>
      <c r="I62" s="324">
        <v>2</v>
      </c>
      <c r="J62" s="324">
        <v>2</v>
      </c>
    </row>
    <row r="63" spans="1:11">
      <c r="A63" s="321" t="s">
        <v>815</v>
      </c>
      <c r="F63" s="324"/>
      <c r="G63" s="324"/>
      <c r="H63" s="324"/>
      <c r="I63" s="324" t="s">
        <v>854</v>
      </c>
      <c r="J63" s="324" t="s">
        <v>860</v>
      </c>
    </row>
    <row r="64" spans="1:11">
      <c r="A64" t="s">
        <v>863</v>
      </c>
      <c r="F64" s="140">
        <f>F60*F56</f>
        <v>128</v>
      </c>
      <c r="G64" s="140">
        <f>G60*G56</f>
        <v>256</v>
      </c>
      <c r="H64" s="140">
        <f>H60*H56</f>
        <v>256</v>
      </c>
      <c r="I64" s="140">
        <f>I60*I56</f>
        <v>128</v>
      </c>
      <c r="J64" s="140">
        <f>J60*J56</f>
        <v>128</v>
      </c>
    </row>
    <row r="65" spans="1:10">
      <c r="A65" t="s">
        <v>864</v>
      </c>
      <c r="F65" s="140">
        <f>F64*F62</f>
        <v>128</v>
      </c>
      <c r="G65" s="140">
        <f t="shared" ref="G65:J65" si="4">G64*G62</f>
        <v>256</v>
      </c>
      <c r="H65" s="140">
        <f t="shared" si="4"/>
        <v>256</v>
      </c>
      <c r="I65" s="140">
        <f t="shared" si="4"/>
        <v>256</v>
      </c>
      <c r="J65" s="140">
        <f t="shared" si="4"/>
        <v>256</v>
      </c>
    </row>
    <row r="66" spans="1:10">
      <c r="A66" t="s">
        <v>579</v>
      </c>
      <c r="F66" s="148">
        <v>0.03</v>
      </c>
      <c r="G66" s="148">
        <v>0.03</v>
      </c>
      <c r="H66" s="148">
        <v>0.03</v>
      </c>
      <c r="I66" s="148">
        <v>0.03</v>
      </c>
      <c r="J66" s="148">
        <v>0.03</v>
      </c>
    </row>
    <row r="67" spans="1:10">
      <c r="A67" t="s">
        <v>305</v>
      </c>
      <c r="F67" s="191">
        <v>10</v>
      </c>
      <c r="G67" s="191">
        <v>10</v>
      </c>
      <c r="H67" s="191">
        <v>10</v>
      </c>
      <c r="I67" s="191">
        <v>10</v>
      </c>
      <c r="J67" s="191">
        <v>10</v>
      </c>
    </row>
    <row r="68" spans="1:10">
      <c r="A68" t="s">
        <v>306</v>
      </c>
      <c r="F68" s="145">
        <f ca="1">F67+2*IF(F132*F60&lt;20,1,IF(F132*F60&lt;40,1.5,2))</f>
        <v>14</v>
      </c>
      <c r="G68" s="145">
        <f ca="1">G67+2*IF(G132*G60&lt;20,1,IF(G132*G60&lt;40,1.5,2))</f>
        <v>14</v>
      </c>
      <c r="H68" s="145">
        <f ca="1">H67+2*IF(H132*H60&lt;20,1,IF(H132*H60&lt;40,1.5,2))</f>
        <v>14</v>
      </c>
      <c r="I68" s="145">
        <f ca="1">I67+2*IF(I132*I60&lt;20,1,IF(I132*I60&lt;40,1.5,2))</f>
        <v>14</v>
      </c>
      <c r="J68" s="145">
        <f ca="1">J67+2*IF(J132*J60&lt;20,1,IF(J132*J60&lt;40,1.5,2))</f>
        <v>14</v>
      </c>
    </row>
    <row r="69" spans="1:10" ht="13.5" thickBot="1">
      <c r="A69" s="63" t="s">
        <v>40</v>
      </c>
      <c r="B69" s="63"/>
      <c r="C69" s="63"/>
      <c r="D69" s="63"/>
      <c r="F69" s="278">
        <v>100000</v>
      </c>
      <c r="G69" s="278">
        <v>100000</v>
      </c>
      <c r="H69" s="278">
        <v>100000</v>
      </c>
      <c r="I69" s="278">
        <v>100000</v>
      </c>
      <c r="J69" s="278">
        <v>100000</v>
      </c>
    </row>
    <row r="70" spans="1:10">
      <c r="A70" s="151" t="s">
        <v>204</v>
      </c>
      <c r="B70" s="152"/>
      <c r="C70" s="152"/>
      <c r="D70" s="121"/>
      <c r="E70" s="322"/>
    </row>
    <row r="71" spans="1:10" ht="13.5" thickBot="1">
      <c r="A71" s="149" t="s">
        <v>205</v>
      </c>
      <c r="B71" s="123"/>
      <c r="C71" s="123"/>
      <c r="D71" s="153"/>
      <c r="E71" s="150"/>
    </row>
    <row r="72" spans="1:10" ht="15.75">
      <c r="A72" s="425" t="s">
        <v>366</v>
      </c>
      <c r="B72" s="425"/>
      <c r="C72" s="425"/>
      <c r="D72" s="425"/>
      <c r="E72" s="425"/>
      <c r="F72" s="425"/>
      <c r="G72" s="425"/>
      <c r="H72" s="425"/>
      <c r="I72" s="425"/>
      <c r="J72" s="425"/>
    </row>
    <row r="73" spans="1:10" ht="15.75">
      <c r="A73" s="425" t="str">
        <f>IF(Chem!E3="NCA-G","LiNi0.80Co0.15Al0.05O2-Graphite",IF(Chem!E3="NMC441-G","Li1.05(Ni4/9Mn4/9Co1/9)0.95O2-Graphite",IF(Chem!E3="LFP-G","LiFePO4-Graphite",IF(Chem!E3="LMO-LTO","Manganese-Spinel/Li4Ti5O12",IF(Chem!E3="LMO-G","Manganese-Spinel/Graphite")))))</f>
        <v>Li1.05(Ni4/9Mn4/9Co1/9)0.95O2-Graphite</v>
      </c>
      <c r="B73" s="425"/>
      <c r="C73" s="425"/>
      <c r="D73" s="425"/>
      <c r="E73" s="425"/>
      <c r="F73" s="425"/>
      <c r="G73" s="425"/>
      <c r="H73" s="425"/>
      <c r="I73" s="425"/>
      <c r="J73" s="425"/>
    </row>
    <row r="74" spans="1:10" ht="15.75">
      <c r="A74" s="19"/>
      <c r="F74" s="8" t="s">
        <v>0</v>
      </c>
      <c r="G74" s="8" t="s">
        <v>1</v>
      </c>
      <c r="H74" s="8" t="s">
        <v>2</v>
      </c>
      <c r="I74" s="8" t="s">
        <v>3</v>
      </c>
      <c r="J74" s="8" t="s">
        <v>4</v>
      </c>
    </row>
    <row r="75" spans="1:10" ht="15.75">
      <c r="A75" s="19" t="s">
        <v>197</v>
      </c>
      <c r="F75" s="8"/>
      <c r="G75" s="8"/>
      <c r="H75" s="8"/>
      <c r="I75" s="8"/>
      <c r="J75" s="8"/>
    </row>
    <row r="76" spans="1:10">
      <c r="A76" s="5" t="s">
        <v>206</v>
      </c>
      <c r="D76" s="350" t="str">
        <f ca="1">IF(OR(F76="X",G76="X",H76="X",I76="X",J76="X"),"Capacity too low!"," ")</f>
        <v xml:space="preserve"> </v>
      </c>
      <c r="F76" s="351" t="str">
        <f ca="1">IF(OR(F82&gt;Chem!$E52,MIN(F98,F99)&lt;15),"X"," ")</f>
        <v xml:space="preserve"> </v>
      </c>
      <c r="G76" s="351" t="str">
        <f ca="1">IF(OR(G82&gt;Chem!$E52,MIN(G98,G99)&lt;15),"X"," ")</f>
        <v xml:space="preserve"> </v>
      </c>
      <c r="H76" s="351" t="str">
        <f ca="1">IF(OR(H82&gt;Chem!$E52,MIN(H98,H99)&lt;15),"X"," ")</f>
        <v xml:space="preserve"> </v>
      </c>
      <c r="I76" s="351" t="str">
        <f ca="1">IF(OR(I82&gt;Chem!$E52,MIN(I98,I99)&lt;15),"X"," ")</f>
        <v xml:space="preserve"> </v>
      </c>
      <c r="J76" s="351" t="str">
        <f ca="1">IF(OR(J82&gt;Chem!$E52,MIN(J98,J99)&lt;15),"X"," ")</f>
        <v xml:space="preserve"> </v>
      </c>
    </row>
    <row r="77" spans="1:10">
      <c r="A77" s="321" t="s">
        <v>838</v>
      </c>
      <c r="F77" s="110">
        <f ca="1">F188/F61</f>
        <v>75.036279629692174</v>
      </c>
      <c r="G77" s="110">
        <f t="shared" ref="G77:J77" ca="1" si="5">G188/G61</f>
        <v>76.591077099912766</v>
      </c>
      <c r="H77" s="110">
        <f t="shared" ca="1" si="5"/>
        <v>38.253482241809159</v>
      </c>
      <c r="I77" s="110">
        <f t="shared" ca="1" si="5"/>
        <v>37.494106182681563</v>
      </c>
      <c r="J77" s="110">
        <f t="shared" ca="1" si="5"/>
        <v>37.494106182681563</v>
      </c>
    </row>
    <row r="78" spans="1:10">
      <c r="A78" s="7" t="s">
        <v>380</v>
      </c>
      <c r="F78" s="110">
        <f ca="1">F77/F57</f>
        <v>75.036279629692174</v>
      </c>
      <c r="G78" s="110">
        <f t="shared" ref="G78:J78" ca="1" si="6">G77/G57</f>
        <v>38.295538549956383</v>
      </c>
      <c r="H78" s="110">
        <f t="shared" ca="1" si="6"/>
        <v>38.253482241809159</v>
      </c>
      <c r="I78" s="110">
        <f t="shared" ca="1" si="6"/>
        <v>37.494106182681563</v>
      </c>
      <c r="J78" s="110">
        <f t="shared" ca="1" si="6"/>
        <v>37.494106182681563</v>
      </c>
    </row>
    <row r="79" spans="1:10">
      <c r="A79" s="5" t="s">
        <v>193</v>
      </c>
    </row>
    <row r="80" spans="1:10" ht="14.25">
      <c r="A80" s="7" t="s">
        <v>280</v>
      </c>
      <c r="F80" s="140">
        <f>IF(F54=10,85,150)</f>
        <v>85</v>
      </c>
      <c r="G80" s="140">
        <f t="shared" ref="G80:J80" si="7">IF(G54=10,85,150)</f>
        <v>85</v>
      </c>
      <c r="H80" s="140">
        <f t="shared" si="7"/>
        <v>85</v>
      </c>
      <c r="I80" s="140">
        <f t="shared" si="7"/>
        <v>85</v>
      </c>
      <c r="J80" s="140">
        <f t="shared" si="7"/>
        <v>85</v>
      </c>
    </row>
    <row r="81" spans="1:10">
      <c r="A81" s="7" t="s">
        <v>281</v>
      </c>
      <c r="F81" s="328">
        <f>Chem!$E$43*IF(F54=10,1,2)</f>
        <v>27</v>
      </c>
      <c r="G81" s="328">
        <f>Chem!$E$43*IF(G54=10,1,2)</f>
        <v>27</v>
      </c>
      <c r="H81" s="328">
        <f>Chem!$E$43*IF(H54=10,1,2)</f>
        <v>27</v>
      </c>
      <c r="I81" s="328">
        <f>Chem!$E$43*IF(I54=10,1,2)</f>
        <v>27</v>
      </c>
      <c r="J81" s="328">
        <f>Chem!$E$43*IF(J54=10,1,2)</f>
        <v>27</v>
      </c>
    </row>
    <row r="82" spans="1:10" ht="14.25">
      <c r="A82" t="s">
        <v>14</v>
      </c>
      <c r="C82" s="3"/>
      <c r="D82" s="7"/>
      <c r="E82" s="3"/>
      <c r="F82" s="142">
        <f ca="1">Chem!$E47-Chem!$E51+1/(38*0.00015*Chem!$E$44*F190*10^-4*F40*F39/F37)+1/(38*0.00015*Chem!$E$45*F190*10^-4*((1-(F143/F81)^2)*(1-F142/F80))^0.5)</f>
        <v>32.807251212272973</v>
      </c>
      <c r="G82" s="142">
        <f ca="1">Chem!$E47-Chem!$E51+1/(38*0.00015*Chem!$E$44*G190*10^-4*G40*G39/G37)+1/(38*0.00015*Chem!$E$45*G190*10^-4*((1-(G143/G81)^2)*(1-G142/G80))^0.5)</f>
        <v>32.799378431173182</v>
      </c>
      <c r="H82" s="142">
        <f ca="1">Chem!$E47-Chem!$E51+1/(38*0.00015*Chem!$E$44*H190*10^-4*H40*H39/H37)+1/(38*0.00015*Chem!$E$45*H190*10^-4*((1-(H143/H81)^2)*(1-H142/H80))^0.5)</f>
        <v>32.797275211322791</v>
      </c>
      <c r="I82" s="142">
        <f ca="1">Chem!$E47-Chem!$E51+1/(38*0.00015*Chem!$E$44*I190*10^-4*I40*I39/I37)+1/(38*0.00015*Chem!$E$45*I190*10^-4*((1-(I143/I81)^2)*(1-I142/I80))^0.5)</f>
        <v>32.804307356735123</v>
      </c>
      <c r="J82" s="142">
        <f ca="1">Chem!$E47-Chem!$E51+1/(38*0.00015*Chem!$E$44*J190*10^-4*J40*J39/J37)+1/(38*0.00015*Chem!$E$45*J190*10^-4*((1-(J143/J81)^2)*(1-J142/J80))^0.5)</f>
        <v>32.804307356735123</v>
      </c>
    </row>
    <row r="83" spans="1:10">
      <c r="A83" s="7" t="s">
        <v>346</v>
      </c>
      <c r="B83" s="7"/>
      <c r="C83" s="7"/>
      <c r="D83" s="7"/>
      <c r="E83" s="7"/>
      <c r="F83" s="205">
        <f t="shared" ref="F83:J83" si="8">IF($C20="Cu",1/(3.8*100000*$D19*0.0001/2)+1/(6*100000*$D20*0.0001/2),2/(3.8*100000*$D19*0.0001/2))</f>
        <v>5.4093567251461989E-3</v>
      </c>
      <c r="G83" s="205">
        <f t="shared" si="8"/>
        <v>5.4093567251461989E-3</v>
      </c>
      <c r="H83" s="205">
        <f t="shared" si="8"/>
        <v>5.4093567251461989E-3</v>
      </c>
      <c r="I83" s="205">
        <f t="shared" si="8"/>
        <v>5.4093567251461989E-3</v>
      </c>
      <c r="J83" s="205">
        <f t="shared" si="8"/>
        <v>5.4093567251461989E-3</v>
      </c>
    </row>
    <row r="84" spans="1:10" ht="14.25">
      <c r="A84" s="7" t="s">
        <v>348</v>
      </c>
      <c r="B84" s="7"/>
      <c r="C84" s="7"/>
      <c r="D84" s="7"/>
      <c r="E84" s="7"/>
      <c r="F84" s="206">
        <f ca="1">F83*(F107^2/3+F107*F108)/100</f>
        <v>2.610766115925657</v>
      </c>
      <c r="G84" s="206">
        <f t="shared" ref="G84:J84" ca="1" si="9">G83*(G107^2/3+G107*G108)/100</f>
        <v>2.6063384066831849</v>
      </c>
      <c r="H84" s="206">
        <f t="shared" ca="1" si="9"/>
        <v>0.76059740789149</v>
      </c>
      <c r="I84" s="206">
        <f t="shared" ca="1" si="9"/>
        <v>0.74739581337908656</v>
      </c>
      <c r="J84" s="206">
        <f t="shared" ca="1" si="9"/>
        <v>0.74739581337908656</v>
      </c>
    </row>
    <row r="85" spans="1:10" ht="14.25">
      <c r="A85" s="321" t="s">
        <v>893</v>
      </c>
      <c r="B85" s="7"/>
      <c r="C85" s="7"/>
      <c r="D85" s="7"/>
      <c r="E85" s="7"/>
      <c r="F85" s="14">
        <f ca="1">(10/3.8+10/IF($C20="Cu",6,3.8))/F33*F110/F109/100000*F103+F47/100*F42*F64/F141</f>
        <v>0.28494058056280702</v>
      </c>
      <c r="G85" s="14">
        <f t="shared" ref="G85:J85" ca="1" si="10">(10/3.8+10/IF($C20="Cu",6,3.8))/G33*G110/G109/100000*G103+G47/100*G42*G64/G141</f>
        <v>9.210083016225673E-2</v>
      </c>
      <c r="H85" s="14">
        <f t="shared" ca="1" si="10"/>
        <v>0.14399899893518542</v>
      </c>
      <c r="I85" s="14">
        <f t="shared" ca="1" si="10"/>
        <v>0.14266865630973349</v>
      </c>
      <c r="J85" s="14">
        <f t="shared" ca="1" si="10"/>
        <v>0.14266865630973349</v>
      </c>
    </row>
    <row r="86" spans="1:10">
      <c r="A86" s="321" t="s">
        <v>895</v>
      </c>
      <c r="B86" s="7"/>
      <c r="C86" s="7"/>
      <c r="D86" s="7"/>
      <c r="E86" s="7"/>
      <c r="F86" s="407">
        <f ca="1">F121+F156+F157/(F60*F61^2)</f>
        <v>8.4471919211298967E-5</v>
      </c>
      <c r="G86" s="407">
        <f t="shared" ref="G86:J86" ca="1" si="11">G121+G156+G157/(G60*G61^2)</f>
        <v>8.4923721598300129E-5</v>
      </c>
      <c r="H86" s="407">
        <f t="shared" ca="1" si="11"/>
        <v>1.7232841938801655E-4</v>
      </c>
      <c r="I86" s="407">
        <f t="shared" ca="1" si="11"/>
        <v>1.7067420211341476E-4</v>
      </c>
      <c r="J86" s="407">
        <f t="shared" ca="1" si="11"/>
        <v>1.7067420211341476E-4</v>
      </c>
    </row>
    <row r="87" spans="1:10">
      <c r="A87" s="321" t="s">
        <v>894</v>
      </c>
      <c r="B87" s="7"/>
      <c r="C87" s="7"/>
      <c r="D87" s="7"/>
      <c r="E87" s="7"/>
      <c r="F87" s="407">
        <f ca="1">F86/(F56*F57^2)</f>
        <v>5.2794949507061855E-6</v>
      </c>
      <c r="G87" s="407">
        <f t="shared" ref="G87:J87" ca="1" si="12">G86/(G56*G57^2)</f>
        <v>6.6346657498671976E-7</v>
      </c>
      <c r="H87" s="407">
        <f t="shared" ca="1" si="12"/>
        <v>1.0770526211751034E-5</v>
      </c>
      <c r="I87" s="407">
        <f t="shared" ca="1" si="12"/>
        <v>1.0667137632088423E-5</v>
      </c>
      <c r="J87" s="407">
        <f t="shared" ca="1" si="12"/>
        <v>1.0667137632088423E-5</v>
      </c>
    </row>
    <row r="88" spans="1:10" ht="14.25">
      <c r="A88" s="347" t="s">
        <v>892</v>
      </c>
      <c r="C88" s="6"/>
      <c r="D88" s="7"/>
      <c r="E88" s="40"/>
      <c r="F88" s="71">
        <f ca="1">F84+F85+F87*F103</f>
        <v>3.0080856179702238</v>
      </c>
      <c r="G88" s="71">
        <f t="shared" ref="G88:J88" ca="1" si="13">G84+G85+G87*G103</f>
        <v>2.7056467993518005</v>
      </c>
      <c r="H88" s="71">
        <f t="shared" ca="1" si="13"/>
        <v>1.021473414786485</v>
      </c>
      <c r="I88" s="71">
        <f t="shared" ca="1" si="13"/>
        <v>1.0035216774907656</v>
      </c>
      <c r="J88" s="71">
        <f t="shared" ca="1" si="13"/>
        <v>1.0035216774907656</v>
      </c>
    </row>
    <row r="89" spans="1:10" ht="14.25">
      <c r="A89" t="s">
        <v>345</v>
      </c>
      <c r="C89" s="6"/>
      <c r="F89" s="6">
        <f ca="1">F82+F88</f>
        <v>35.815336830243197</v>
      </c>
      <c r="G89" s="6">
        <f t="shared" ref="G89:J89" ca="1" si="14">G82+G88</f>
        <v>35.505025230524978</v>
      </c>
      <c r="H89" s="6">
        <f t="shared" ca="1" si="14"/>
        <v>33.818748626109276</v>
      </c>
      <c r="I89" s="6">
        <f t="shared" ca="1" si="14"/>
        <v>33.80782903422589</v>
      </c>
      <c r="J89" s="6">
        <f t="shared" ca="1" si="14"/>
        <v>33.80782903422589</v>
      </c>
    </row>
    <row r="90" spans="1:10" ht="14.25">
      <c r="A90" t="s">
        <v>38</v>
      </c>
      <c r="C90" s="4"/>
      <c r="F90" s="6">
        <f ca="1">F44+F88+1/(38*0.00015*Chem!$E$44*F190*10^-4*F40*F39/F37)+1/(38*0.00015*Chem!$E$45*F190*10^-4)</f>
        <v>64.088128332864372</v>
      </c>
      <c r="G90" s="6">
        <f ca="1">G44+G88+1/(38*0.00015*Chem!$E$44*G190*10^-4*G40*G39/G37)+1/(38*0.00015*Chem!$E$45*G190*10^-4)</f>
        <v>63.785689514246378</v>
      </c>
      <c r="H90" s="6">
        <f ca="1">H44+H88+1/(38*0.00015*Chem!$E$44*H190*10^-4*H40*H39/H37)+1/(38*0.00015*Chem!$E$45*H190*10^-4)</f>
        <v>62.101516129681002</v>
      </c>
      <c r="I90" s="6">
        <f ca="1">I44+I88+1/(38*0.00015*Chem!$E$44*I190*10^-4*I40*I39/I37)+1/(38*0.00015*Chem!$E$45*I190*10^-4)</f>
        <v>62.083564392383863</v>
      </c>
      <c r="J90" s="6">
        <f ca="1">J44+J88+1/(38*0.00015*Chem!$E$44*J190*10^-4*J40*J39/J37)+1/(38*0.00015*Chem!$E$45*J190*10^-4)</f>
        <v>62.083564392383863</v>
      </c>
    </row>
    <row r="91" spans="1:10">
      <c r="A91" s="5" t="s">
        <v>528</v>
      </c>
      <c r="F91" s="328"/>
      <c r="G91" s="328"/>
      <c r="H91" s="328"/>
      <c r="I91" s="328"/>
      <c r="J91" s="328"/>
    </row>
    <row r="92" spans="1:10">
      <c r="A92" s="321" t="s">
        <v>890</v>
      </c>
      <c r="F92" s="71">
        <f t="shared" ref="F92:J92" si="15">F37*F40/F39</f>
        <v>1.1897534115037811</v>
      </c>
      <c r="G92" s="71">
        <f t="shared" si="15"/>
        <v>1.1897534115037811</v>
      </c>
      <c r="H92" s="71">
        <f t="shared" si="15"/>
        <v>1.1897534115037811</v>
      </c>
      <c r="I92" s="71">
        <f t="shared" si="15"/>
        <v>1.1897534115037811</v>
      </c>
      <c r="J92" s="71">
        <f t="shared" si="15"/>
        <v>1.1897534115037811</v>
      </c>
    </row>
    <row r="93" spans="1:10">
      <c r="A93" s="321" t="s">
        <v>899</v>
      </c>
      <c r="F93" s="6">
        <f>IF(F92&gt;1,F46/F92,F46)</f>
        <v>84.051030266520229</v>
      </c>
      <c r="G93" s="6">
        <f t="shared" ref="G93:J93" si="16">IF(G92&gt;1,G46/G92,G46)</f>
        <v>84.051030266520229</v>
      </c>
      <c r="H93" s="6">
        <f t="shared" si="16"/>
        <v>84.051030266520229</v>
      </c>
      <c r="I93" s="6">
        <f t="shared" si="16"/>
        <v>84.051030266520229</v>
      </c>
      <c r="J93" s="6">
        <f t="shared" si="16"/>
        <v>84.051030266520229</v>
      </c>
    </row>
    <row r="94" spans="1:10">
      <c r="A94" s="321" t="s">
        <v>900</v>
      </c>
      <c r="F94" s="6">
        <f>IF(F92&gt;1,F46,F46*F92)</f>
        <v>100</v>
      </c>
      <c r="G94" s="6">
        <f t="shared" ref="G94:J94" si="17">IF(G92&gt;1,G46,G46*G92)</f>
        <v>100</v>
      </c>
      <c r="H94" s="6">
        <f t="shared" si="17"/>
        <v>100</v>
      </c>
      <c r="I94" s="6">
        <f t="shared" si="17"/>
        <v>100</v>
      </c>
      <c r="J94" s="6">
        <f t="shared" si="17"/>
        <v>100</v>
      </c>
    </row>
    <row r="95" spans="1:10">
      <c r="A95" s="321" t="s">
        <v>903</v>
      </c>
      <c r="F95" s="6">
        <f>MAX(F93:F94)</f>
        <v>100</v>
      </c>
      <c r="G95" s="6">
        <f t="shared" ref="G95:J95" si="18">MAX(G93:G94)</f>
        <v>100</v>
      </c>
      <c r="H95" s="6">
        <f t="shared" si="18"/>
        <v>100</v>
      </c>
      <c r="I95" s="6">
        <f t="shared" si="18"/>
        <v>100</v>
      </c>
      <c r="J95" s="6">
        <f t="shared" si="18"/>
        <v>100</v>
      </c>
    </row>
    <row r="96" spans="1:10">
      <c r="A96" t="s">
        <v>560</v>
      </c>
      <c r="F96" s="110">
        <f ca="1">F78/F37/F101*10000</f>
        <v>114.39025439938301</v>
      </c>
      <c r="G96" s="110">
        <f t="shared" ref="G96:J96" ca="1" si="19">G78/G37/G101*10000</f>
        <v>117.78096927692678</v>
      </c>
      <c r="H96" s="110">
        <f t="shared" ca="1" si="19"/>
        <v>123.51798835788345</v>
      </c>
      <c r="I96" s="110">
        <f t="shared" ca="1" si="19"/>
        <v>121.10511592173681</v>
      </c>
      <c r="J96" s="110">
        <f t="shared" ca="1" si="19"/>
        <v>121.10511592173681</v>
      </c>
    </row>
    <row r="97" spans="1:10">
      <c r="A97" t="s">
        <v>561</v>
      </c>
      <c r="F97" s="110">
        <f ca="1">F40*F78/F39/F101*10000</f>
        <v>136.09619541445133</v>
      </c>
      <c r="G97" s="110">
        <f t="shared" ref="G97:J97" ca="1" si="20">G40*G78/G39/G101*10000</f>
        <v>140.13031000744564</v>
      </c>
      <c r="H97" s="110">
        <f t="shared" ca="1" si="20"/>
        <v>146.95594803087616</v>
      </c>
      <c r="I97" s="110">
        <f t="shared" ca="1" si="20"/>
        <v>144.08522481844722</v>
      </c>
      <c r="J97" s="110">
        <f t="shared" ca="1" si="20"/>
        <v>144.08522481844722</v>
      </c>
    </row>
    <row r="98" spans="1:10">
      <c r="A98" s="7" t="s">
        <v>195</v>
      </c>
      <c r="B98" s="7"/>
      <c r="C98" s="7"/>
      <c r="D98" s="7"/>
      <c r="F98" s="110">
        <f ca="1">IF(F78/F37/F103*10000&lt;F46,F78/F37/F103*10000,F46)</f>
        <v>84.051030266522787</v>
      </c>
      <c r="G98" s="110">
        <f t="shared" ref="G98:J98" ca="1" si="21">IF(G78/G37/G103*10000&lt;G46,G78/G37/G103*10000,G46)</f>
        <v>84.051030266523099</v>
      </c>
      <c r="H98" s="110">
        <f t="shared" ca="1" si="21"/>
        <v>84.051030266523185</v>
      </c>
      <c r="I98" s="110">
        <f t="shared" ca="1" si="21"/>
        <v>84.051030266521067</v>
      </c>
      <c r="J98" s="110">
        <f t="shared" ca="1" si="21"/>
        <v>84.051030266521067</v>
      </c>
    </row>
    <row r="99" spans="1:10">
      <c r="A99" s="7" t="s">
        <v>196</v>
      </c>
      <c r="B99" s="7"/>
      <c r="C99" s="7"/>
      <c r="D99" s="7"/>
      <c r="F99" s="110">
        <f ca="1">IF(F40*F78/F39/F103*10000&lt;F46,F40*F78/F39/F103*10000,F46)</f>
        <v>100</v>
      </c>
      <c r="G99" s="110">
        <f t="shared" ref="G99:J99" ca="1" si="22">IF(G40*G78/G39/G103*10000&lt;G46,G40*G78/G39/G103*10000,G46)</f>
        <v>100</v>
      </c>
      <c r="H99" s="110">
        <f t="shared" ca="1" si="22"/>
        <v>100</v>
      </c>
      <c r="I99" s="110">
        <f t="shared" ca="1" si="22"/>
        <v>100</v>
      </c>
      <c r="J99" s="110">
        <f t="shared" ca="1" si="22"/>
        <v>100</v>
      </c>
    </row>
    <row r="100" spans="1:10" ht="14.25">
      <c r="A100" s="5" t="s">
        <v>663</v>
      </c>
      <c r="F100" s="328"/>
      <c r="G100" s="328"/>
      <c r="H100" s="328"/>
      <c r="I100" s="328"/>
      <c r="J100" s="328"/>
    </row>
    <row r="101" spans="1:10">
      <c r="A101" t="s">
        <v>202</v>
      </c>
      <c r="F101" s="132">
        <f ca="1">IF(F193=0,(Chem!$E47*1.2)*F55/F57/F61*1000/F138/F49*100/(100-F49)*100/F42,F89*F55/F57/F61*1000/F138/F49*100/(100-F49)*100/F42)</f>
        <v>15640.351038232504</v>
      </c>
      <c r="G101" s="132">
        <f ca="1">IF(G193=0,(Chem!$E47*1.2)*G55/G57/G61*1000/G138/G49*100/(100-G49)*100/G42,G89*G55/G57/G61*1000/G138/G49*100/(100-G49)*100/G42)</f>
        <v>7752.419876138043</v>
      </c>
      <c r="H101" s="132">
        <f ca="1">IF(H193=0,(Chem!$E47*1.2)*H55/H57/H61*1000/H138/H49*100/(100-H49)*100/H42,H89*H55/H57/H61*1000/H138/H49*100/(100-H49)*100/H42)</f>
        <v>7384.2262421422629</v>
      </c>
      <c r="I101" s="132">
        <f ca="1">IF(I193=0,(Chem!$E47*1.2)*I55/I57/I61*1000/I138/I49*100/(100-I49)*100/I42,I89*I55/I57/I61*1000/I138/I49*100/(100-I49)*100/I42)</f>
        <v>7381.8419807424634</v>
      </c>
      <c r="J101" s="132">
        <f ca="1">IF(J193=0,(Chem!$E47*1.2)*J55/J57/J61*1000/J138/J49*100/(100-J49)*100/J42,J89*J55/J57/J61*1000/J138/J49*100/(100-J49)*100/J42)</f>
        <v>7381.8419807424634</v>
      </c>
    </row>
    <row r="102" spans="1:10">
      <c r="A102" t="s">
        <v>203</v>
      </c>
      <c r="F102" s="132">
        <f ca="1">F101*MAX(F96,F97)/F46</f>
        <v>21285.922712499076</v>
      </c>
      <c r="G102" s="132">
        <f t="shared" ref="G102:J102" ca="1" si="23">G101*MAX(G96,G97)/G46</f>
        <v>10863.490005511074</v>
      </c>
      <c r="H102" s="132">
        <f t="shared" ca="1" si="23"/>
        <v>10851.559678884903</v>
      </c>
      <c r="I102" s="132">
        <f t="shared" ca="1" si="23"/>
        <v>10636.143613695294</v>
      </c>
      <c r="J102" s="132">
        <f t="shared" ca="1" si="23"/>
        <v>10636.143613695294</v>
      </c>
    </row>
    <row r="103" spans="1:10" ht="14.25">
      <c r="A103" t="s">
        <v>194</v>
      </c>
      <c r="C103" s="4"/>
      <c r="F103" s="135">
        <f ca="1">MAX(F101,F102)</f>
        <v>21285.922712499076</v>
      </c>
      <c r="G103" s="135">
        <f t="shared" ref="G103:J103" ca="1" si="24">MAX(G101,G102)</f>
        <v>10863.490005511074</v>
      </c>
      <c r="H103" s="135">
        <f t="shared" ca="1" si="24"/>
        <v>10851.559678884903</v>
      </c>
      <c r="I103" s="135">
        <f t="shared" ca="1" si="24"/>
        <v>10636.143613695294</v>
      </c>
      <c r="J103" s="135">
        <f t="shared" ca="1" si="24"/>
        <v>10636.143613695294</v>
      </c>
    </row>
    <row r="104" spans="1:10">
      <c r="A104" s="5" t="s">
        <v>273</v>
      </c>
      <c r="C104" s="4"/>
      <c r="F104" s="269"/>
      <c r="G104" s="269"/>
      <c r="H104" s="269"/>
      <c r="I104" s="269"/>
      <c r="J104" s="269"/>
    </row>
    <row r="105" spans="1:10">
      <c r="A105" s="52" t="s">
        <v>349</v>
      </c>
      <c r="E105" s="35"/>
      <c r="F105" s="31">
        <f ca="1">(F31*1000-2*F26+$D20)/($D19+$D20+2*($D21+F98+F99))*0.97</f>
        <v>25.813648739204147</v>
      </c>
      <c r="G105" s="31">
        <f t="shared" ref="G105:J105" ca="1" si="25">(G31*1000-2*G26+$D20)/($D19+$D20+2*($D21+G98+G99))*0.97</f>
        <v>12.589443442480695</v>
      </c>
      <c r="H105" s="31">
        <f t="shared" ca="1" si="25"/>
        <v>25.813648739204101</v>
      </c>
      <c r="I105" s="31">
        <f t="shared" ca="1" si="25"/>
        <v>25.813648739204346</v>
      </c>
      <c r="J105" s="31">
        <f t="shared" ca="1" si="25"/>
        <v>25.813648739204346</v>
      </c>
    </row>
    <row r="106" spans="1:10">
      <c r="A106" s="52" t="s">
        <v>276</v>
      </c>
      <c r="C106" s="4"/>
      <c r="F106" s="192">
        <f ca="1">(F103/F105/2/F30)^0.5*10</f>
        <v>117.23193063776185</v>
      </c>
      <c r="G106" s="192">
        <f t="shared" ref="G106:J106" ca="1" si="26">(G103/G105/2/G30)^0.5*10</f>
        <v>119.92391386753384</v>
      </c>
      <c r="H106" s="192">
        <f t="shared" ca="1" si="26"/>
        <v>118.37520829321362</v>
      </c>
      <c r="I106" s="192">
        <f t="shared" ca="1" si="26"/>
        <v>117.19437599789617</v>
      </c>
      <c r="J106" s="192">
        <f t="shared" ca="1" si="26"/>
        <v>117.19437599789617</v>
      </c>
    </row>
    <row r="107" spans="1:10">
      <c r="A107" s="52" t="s">
        <v>277</v>
      </c>
      <c r="C107" s="4"/>
      <c r="F107" s="192">
        <f ca="1">F106*F30</f>
        <v>351.69579191328557</v>
      </c>
      <c r="G107" s="192">
        <f t="shared" ref="G107:J107" ca="1" si="27">G106*G30</f>
        <v>359.77174160260154</v>
      </c>
      <c r="H107" s="192">
        <f t="shared" ca="1" si="27"/>
        <v>177.56281243982042</v>
      </c>
      <c r="I107" s="192">
        <f t="shared" ca="1" si="27"/>
        <v>175.79156399684427</v>
      </c>
      <c r="J107" s="192">
        <f t="shared" ca="1" si="27"/>
        <v>175.79156399684427</v>
      </c>
    </row>
    <row r="108" spans="1:10">
      <c r="A108" s="52" t="s">
        <v>347</v>
      </c>
      <c r="C108" s="4"/>
      <c r="F108" s="192">
        <f>F31+8</f>
        <v>20</v>
      </c>
      <c r="G108" s="192">
        <f t="shared" ref="G108:J108" si="28">G31+8</f>
        <v>14</v>
      </c>
      <c r="H108" s="192">
        <f t="shared" si="28"/>
        <v>20</v>
      </c>
      <c r="I108" s="192">
        <f t="shared" si="28"/>
        <v>20</v>
      </c>
      <c r="J108" s="192">
        <f t="shared" si="28"/>
        <v>20</v>
      </c>
    </row>
    <row r="109" spans="1:10">
      <c r="A109" s="52" t="s">
        <v>290</v>
      </c>
      <c r="C109" s="4"/>
      <c r="F109" s="192">
        <f ca="1">F106-8</f>
        <v>109.23193063776185</v>
      </c>
      <c r="G109" s="192">
        <f t="shared" ref="G109:J109" ca="1" si="29">G106-8</f>
        <v>111.92391386753384</v>
      </c>
      <c r="H109" s="192">
        <f t="shared" ca="1" si="29"/>
        <v>110.37520829321362</v>
      </c>
      <c r="I109" s="192">
        <f t="shared" ca="1" si="29"/>
        <v>109.19437599789617</v>
      </c>
      <c r="J109" s="192">
        <f t="shared" ca="1" si="29"/>
        <v>109.19437599789617</v>
      </c>
    </row>
    <row r="110" spans="1:10">
      <c r="A110" s="52" t="s">
        <v>342</v>
      </c>
      <c r="C110" s="4"/>
      <c r="F110" s="192">
        <f>2*F31+10</f>
        <v>34</v>
      </c>
      <c r="G110" s="192">
        <f t="shared" ref="G110:J110" si="30">2*G31+10</f>
        <v>22</v>
      </c>
      <c r="H110" s="192">
        <f t="shared" si="30"/>
        <v>34</v>
      </c>
      <c r="I110" s="192">
        <f t="shared" si="30"/>
        <v>34</v>
      </c>
      <c r="J110" s="192">
        <f t="shared" si="30"/>
        <v>34</v>
      </c>
    </row>
    <row r="111" spans="1:10">
      <c r="A111" s="52" t="s">
        <v>274</v>
      </c>
      <c r="C111" s="4"/>
      <c r="F111" s="192">
        <f ca="1">F106+2*F32</f>
        <v>119.23193063776185</v>
      </c>
      <c r="G111" s="192">
        <f t="shared" ref="G111:J111" ca="1" si="31">G106+2*G32</f>
        <v>121.92391386753384</v>
      </c>
      <c r="H111" s="192">
        <f t="shared" ca="1" si="31"/>
        <v>120.37520829321362</v>
      </c>
      <c r="I111" s="192">
        <f t="shared" ca="1" si="31"/>
        <v>119.19437599789617</v>
      </c>
      <c r="J111" s="192">
        <f t="shared" ca="1" si="31"/>
        <v>119.19437599789617</v>
      </c>
    </row>
    <row r="112" spans="1:10">
      <c r="A112" s="52" t="s">
        <v>275</v>
      </c>
      <c r="C112" s="4"/>
      <c r="F112" s="192">
        <f ca="1">F107+2*F34</f>
        <v>381.69579191328557</v>
      </c>
      <c r="G112" s="192">
        <f t="shared" ref="G112:J112" ca="1" si="32">G107+2*G34</f>
        <v>389.77174160260154</v>
      </c>
      <c r="H112" s="192">
        <f t="shared" ca="1" si="32"/>
        <v>207.56281243982042</v>
      </c>
      <c r="I112" s="192">
        <f t="shared" ca="1" si="32"/>
        <v>205.79156399684427</v>
      </c>
      <c r="J112" s="192">
        <f t="shared" ca="1" si="32"/>
        <v>205.79156399684427</v>
      </c>
    </row>
    <row r="113" spans="1:10" ht="14.25">
      <c r="A113" s="52" t="s">
        <v>283</v>
      </c>
      <c r="C113" s="4"/>
      <c r="F113" s="192">
        <f ca="1">F31*F111*F112/1000</f>
        <v>546.12391423356542</v>
      </c>
      <c r="G113" s="192">
        <f t="shared" ref="G113:J113" ca="1" si="33">G31*G111*G112/1000</f>
        <v>285.13497750692545</v>
      </c>
      <c r="H113" s="192">
        <f t="shared" ca="1" si="33"/>
        <v>299.82500137642336</v>
      </c>
      <c r="I113" s="192">
        <f t="shared" ca="1" si="33"/>
        <v>294.35036467481962</v>
      </c>
      <c r="J113" s="192">
        <f t="shared" ca="1" si="33"/>
        <v>294.35036467481962</v>
      </c>
    </row>
    <row r="114" spans="1:10" ht="15.75">
      <c r="A114" s="19" t="s">
        <v>358</v>
      </c>
      <c r="B114" s="5"/>
      <c r="C114" s="147"/>
      <c r="D114" s="5"/>
      <c r="F114" s="147"/>
      <c r="G114" s="147"/>
      <c r="H114" s="147"/>
      <c r="I114" s="147"/>
      <c r="J114" s="147"/>
    </row>
    <row r="115" spans="1:10" s="321" customFormat="1">
      <c r="A115" s="321" t="s">
        <v>866</v>
      </c>
      <c r="C115" s="346"/>
      <c r="F115" s="325">
        <f ca="1">F77</f>
        <v>75.036279629692174</v>
      </c>
      <c r="G115" s="325">
        <f t="shared" ref="G115:J115" ca="1" si="34">G77</f>
        <v>76.591077099912766</v>
      </c>
      <c r="H115" s="325">
        <f t="shared" ca="1" si="34"/>
        <v>38.253482241809159</v>
      </c>
      <c r="I115" s="325">
        <f t="shared" ca="1" si="34"/>
        <v>37.494106182681563</v>
      </c>
      <c r="J115" s="325">
        <f t="shared" ca="1" si="34"/>
        <v>37.494106182681563</v>
      </c>
    </row>
    <row r="116" spans="1:10">
      <c r="A116" s="7" t="s">
        <v>381</v>
      </c>
      <c r="F116" s="110">
        <f>IF(F57=1,0,F57*F31*F33/2*F109*1.5/1000*8.92)</f>
        <v>0</v>
      </c>
      <c r="G116" s="110">
        <f t="shared" ref="G116:J116" ca="1" si="35">IF(G57=1,0,G57*G31*G33/2*G109*1.5/1000*8.92)</f>
        <v>8.9852518052856158</v>
      </c>
      <c r="H116" s="110">
        <f t="shared" si="35"/>
        <v>0</v>
      </c>
      <c r="I116" s="110">
        <f t="shared" si="35"/>
        <v>0</v>
      </c>
      <c r="J116" s="110">
        <f t="shared" si="35"/>
        <v>0</v>
      </c>
    </row>
    <row r="117" spans="1:10">
      <c r="A117" s="7" t="s">
        <v>350</v>
      </c>
      <c r="C117" s="4"/>
      <c r="F117" s="26">
        <f>8*F56/F57</f>
        <v>128</v>
      </c>
      <c r="G117" s="26">
        <f t="shared" ref="G117:J117" si="36">8*G56/G57</f>
        <v>128</v>
      </c>
      <c r="H117" s="26">
        <f t="shared" si="36"/>
        <v>128</v>
      </c>
      <c r="I117" s="26">
        <f t="shared" si="36"/>
        <v>128</v>
      </c>
      <c r="J117" s="26">
        <f t="shared" si="36"/>
        <v>128</v>
      </c>
    </row>
    <row r="118" spans="1:10">
      <c r="A118" s="7" t="s">
        <v>364</v>
      </c>
      <c r="C118" s="4"/>
      <c r="F118" s="212">
        <f>F48*0.092*4.19</f>
        <v>1.9274000000000003E-2</v>
      </c>
      <c r="G118" s="212">
        <f t="shared" ref="G118:J118" si="37">G48*0.092*4.19</f>
        <v>1.9274000000000003E-2</v>
      </c>
      <c r="H118" s="212">
        <f t="shared" si="37"/>
        <v>1.9274000000000003E-2</v>
      </c>
      <c r="I118" s="212">
        <f t="shared" si="37"/>
        <v>1.9274000000000003E-2</v>
      </c>
      <c r="J118" s="212">
        <f t="shared" si="37"/>
        <v>1.9274000000000003E-2</v>
      </c>
    </row>
    <row r="119" spans="1:10">
      <c r="A119" s="7" t="s">
        <v>383</v>
      </c>
      <c r="C119" s="4"/>
      <c r="F119" s="215">
        <f>(F118*8.92/600000)^0.5</f>
        <v>5.3529443611281206E-4</v>
      </c>
      <c r="G119" s="215">
        <f t="shared" ref="G119:J119" si="38">(G118*8.92/600000)^0.5</f>
        <v>5.3529443611281206E-4</v>
      </c>
      <c r="H119" s="215">
        <f t="shared" si="38"/>
        <v>5.3529443611281206E-4</v>
      </c>
      <c r="I119" s="215">
        <f t="shared" si="38"/>
        <v>5.3529443611281206E-4</v>
      </c>
      <c r="J119" s="215">
        <f t="shared" si="38"/>
        <v>5.3529443611281206E-4</v>
      </c>
    </row>
    <row r="120" spans="1:10">
      <c r="A120" s="7" t="s">
        <v>359</v>
      </c>
      <c r="C120" s="4"/>
      <c r="F120" s="26">
        <f ca="1">IF(F60=1,0,2)*(2/F118*F141*F119)*1.2</f>
        <v>39.493361002667541</v>
      </c>
      <c r="G120" s="26">
        <f t="shared" ref="G120:J120" ca="1" si="39">IF(G60=1,0,2)*(2/G118*G141*G119)*1.2</f>
        <v>39.283252514298354</v>
      </c>
      <c r="H120" s="26">
        <f t="shared" ca="1" si="39"/>
        <v>38.963567494236038</v>
      </c>
      <c r="I120" s="26">
        <f t="shared" ca="1" si="39"/>
        <v>19.546480714074992</v>
      </c>
      <c r="J120" s="26">
        <f t="shared" ca="1" si="39"/>
        <v>19.546480714074992</v>
      </c>
    </row>
    <row r="121" spans="1:10">
      <c r="A121" s="7" t="s">
        <v>362</v>
      </c>
      <c r="C121" s="4"/>
      <c r="F121" s="213">
        <f ca="1">IF(F60=1,0,2)*(2/F141*F119)</f>
        <v>7.2275438897368171E-6</v>
      </c>
      <c r="G121" s="213">
        <f t="shared" ref="G121:J121" ca="1" si="40">IF(G60=1,0,2)*(2/G141*G119)</f>
        <v>7.2662007784641894E-6</v>
      </c>
      <c r="H121" s="213">
        <f t="shared" ca="1" si="40"/>
        <v>7.3258178949405938E-6</v>
      </c>
      <c r="I121" s="213">
        <f t="shared" ca="1" si="40"/>
        <v>1.4603140287778809E-5</v>
      </c>
      <c r="J121" s="213">
        <f t="shared" ca="1" si="40"/>
        <v>1.4603140287778809E-5</v>
      </c>
    </row>
    <row r="122" spans="1:10">
      <c r="A122" s="321" t="s">
        <v>891</v>
      </c>
      <c r="C122" s="4"/>
      <c r="F122" s="213">
        <f ca="1">F86*F56/F57^2+F121</f>
        <v>1.3587782512705204E-3</v>
      </c>
      <c r="G122" s="213">
        <f t="shared" ref="G122:J122" ca="1" si="41">G86*G56/G57^2+G121</f>
        <v>6.8665597356486522E-4</v>
      </c>
      <c r="H122" s="213">
        <f t="shared" ca="1" si="41"/>
        <v>2.7645805281032053E-3</v>
      </c>
      <c r="I122" s="213">
        <f t="shared" ca="1" si="41"/>
        <v>2.7453903741024152E-3</v>
      </c>
      <c r="J122" s="213">
        <f t="shared" ca="1" si="41"/>
        <v>2.7453903741024152E-3</v>
      </c>
    </row>
    <row r="123" spans="1:10">
      <c r="A123" s="7" t="s">
        <v>628</v>
      </c>
      <c r="C123" s="4"/>
      <c r="F123" s="213" t="str">
        <f>IF(F53="EG-W","aluminum","polymer")</f>
        <v>aluminum</v>
      </c>
      <c r="G123" s="213" t="str">
        <f t="shared" ref="G123:J123" si="42">IF(G53="EG-W","aluminum","polymer")</f>
        <v>aluminum</v>
      </c>
      <c r="H123" s="213" t="str">
        <f t="shared" si="42"/>
        <v>aluminum</v>
      </c>
      <c r="I123" s="213" t="str">
        <f t="shared" si="42"/>
        <v>aluminum</v>
      </c>
      <c r="J123" s="213" t="str">
        <f t="shared" si="42"/>
        <v>aluminum</v>
      </c>
    </row>
    <row r="124" spans="1:10">
      <c r="A124" s="7" t="s">
        <v>629</v>
      </c>
      <c r="C124" s="4"/>
      <c r="F124" s="277">
        <v>0.5</v>
      </c>
      <c r="G124" s="277">
        <v>0.5</v>
      </c>
      <c r="H124" s="277">
        <v>0.5</v>
      </c>
      <c r="I124" s="277">
        <v>0.5</v>
      </c>
      <c r="J124" s="277">
        <v>0.5</v>
      </c>
    </row>
    <row r="125" spans="1:10">
      <c r="A125" s="52" t="s">
        <v>653</v>
      </c>
      <c r="C125" s="4"/>
      <c r="F125" s="192">
        <f ca="1">IF(F53="EG-W",F107,F107+12)</f>
        <v>351.69579191328557</v>
      </c>
      <c r="G125" s="192">
        <f t="shared" ref="G125:J125" ca="1" si="43">IF(G53="EG-W",G107,G107+12)</f>
        <v>359.77174160260154</v>
      </c>
      <c r="H125" s="192">
        <f t="shared" ca="1" si="43"/>
        <v>177.56281243982042</v>
      </c>
      <c r="I125" s="192">
        <f t="shared" ca="1" si="43"/>
        <v>175.79156399684427</v>
      </c>
      <c r="J125" s="192">
        <f t="shared" ca="1" si="43"/>
        <v>175.79156399684427</v>
      </c>
    </row>
    <row r="126" spans="1:10">
      <c r="A126" s="52" t="s">
        <v>654</v>
      </c>
      <c r="C126" s="4"/>
      <c r="F126" s="252">
        <f>IF(F53="EG-W",IF(Thermal!F72=0,Thermal!F73*10,Thermal!F72*10),Thermal!F127)</f>
        <v>0.4</v>
      </c>
      <c r="G126" s="252">
        <f>IF(G53="EG-W",IF(Thermal!G72=0,Thermal!G73*10,Thermal!G72*10),Thermal!G127)</f>
        <v>0.4</v>
      </c>
      <c r="H126" s="252">
        <f>IF(H53="EG-W",IF(Thermal!H72=0,Thermal!H73*10,Thermal!H72*10),Thermal!H127)</f>
        <v>0.4</v>
      </c>
      <c r="I126" s="252">
        <f>IF(I53="EG-W",IF(Thermal!I72=0,Thermal!I73*10,Thermal!I72*10),Thermal!I127)</f>
        <v>0.4</v>
      </c>
      <c r="J126" s="252">
        <f>IF(J53="EG-W",IF(Thermal!J72=0,Thermal!J73*10,Thermal!J72*10),Thermal!J127)</f>
        <v>0.4</v>
      </c>
    </row>
    <row r="127" spans="1:10">
      <c r="A127" s="7" t="s">
        <v>652</v>
      </c>
      <c r="C127" s="4"/>
      <c r="F127" s="26">
        <f ca="1">IF(F53="EG-W",(F56+1)*F125*((F111+2*F126)+0.95*F31*2)*F126/1000*2.7,(F56+1)*F125*(2*F111+2*F31+2*F126)*F126/1000*2.7)</f>
        <v>922.2850212349349</v>
      </c>
      <c r="G127" s="26">
        <f t="shared" ref="G127:J127" ca="1" si="44">IF(G53="EG-W",(G56+1)*G125*((G111+2*G126)+0.95*G31*2)*G126/1000*2.7,(G56+1)*G125*(2*G111+2*G31+2*G126)*G126/1000*2.7)</f>
        <v>1719.7723491067143</v>
      </c>
      <c r="H127" s="26">
        <f t="shared" ca="1" si="44"/>
        <v>469.36684375695006</v>
      </c>
      <c r="I127" s="26">
        <f t="shared" ca="1" si="44"/>
        <v>460.87357716640952</v>
      </c>
      <c r="J127" s="26">
        <f t="shared" ca="1" si="44"/>
        <v>460.87357716640952</v>
      </c>
    </row>
    <row r="128" spans="1:10">
      <c r="A128" s="7" t="s">
        <v>199</v>
      </c>
      <c r="C128" s="4"/>
      <c r="F128" s="26">
        <f ca="1">IF(F53="EG-W",2.7,1.1)*F124*(F129*F130+F129*F131+IF(F53="CA",0,F130*F131))*2/1000</f>
        <v>414.02009009473528</v>
      </c>
      <c r="G128" s="26">
        <f t="shared" ref="G128:J128" ca="1" si="45">IF(G53="EG-W",2.7,1.1)*G124*(G129*G130+G129*G131+IF(G53="CA",0,G130*G131))*2/1000</f>
        <v>426.22122052224904</v>
      </c>
      <c r="H128" s="26">
        <f t="shared" ca="1" si="45"/>
        <v>258.83683123932883</v>
      </c>
      <c r="I128" s="26">
        <f t="shared" ca="1" si="45"/>
        <v>255.90187632863973</v>
      </c>
      <c r="J128" s="26">
        <f t="shared" ca="1" si="45"/>
        <v>255.90187632863973</v>
      </c>
    </row>
    <row r="129" spans="1:10">
      <c r="A129" s="7" t="s">
        <v>297</v>
      </c>
      <c r="C129" s="4"/>
      <c r="F129" s="26">
        <f ca="1">F112+2</f>
        <v>383.69579191328557</v>
      </c>
      <c r="G129" s="26">
        <f t="shared" ref="G129:J129" ca="1" si="46">G112+2</f>
        <v>391.77174160260154</v>
      </c>
      <c r="H129" s="26">
        <f t="shared" ca="1" si="46"/>
        <v>209.56281243982042</v>
      </c>
      <c r="I129" s="26">
        <f t="shared" ca="1" si="46"/>
        <v>207.79156399684427</v>
      </c>
      <c r="J129" s="26">
        <f t="shared" ca="1" si="46"/>
        <v>207.79156399684427</v>
      </c>
    </row>
    <row r="130" spans="1:10">
      <c r="A130" s="7" t="s">
        <v>298</v>
      </c>
      <c r="C130" s="4"/>
      <c r="F130" s="26">
        <f>IF(F53="EG-W",(F31+F126)*(F56+1)+1,F56*Thermal!F129+Thermal!F130+1)</f>
        <v>211.8</v>
      </c>
      <c r="G130" s="26">
        <f>IF(G53="EG-W",(G31+G126)*(G56+1)+1,G56*Thermal!G129+Thermal!G130+1)</f>
        <v>212.20000000000002</v>
      </c>
      <c r="H130" s="26">
        <f>IF(H53="EG-W",(H31+H126)*(H56+1)+1,H56*Thermal!H129+Thermal!H130+1)</f>
        <v>211.8</v>
      </c>
      <c r="I130" s="26">
        <f>IF(I53="EG-W",(I31+I126)*(I56+1)+1,I56*Thermal!I129+Thermal!I130+1)</f>
        <v>211.8</v>
      </c>
      <c r="J130" s="26">
        <f>IF(J53="EG-W",(J31+J126)*(J56+1)+1,J56*Thermal!J129+Thermal!J130+1)</f>
        <v>211.8</v>
      </c>
    </row>
    <row r="131" spans="1:10">
      <c r="A131" s="7" t="s">
        <v>299</v>
      </c>
      <c r="C131" s="4"/>
      <c r="F131" s="26">
        <f ca="1">F111+2*F126+2*F124</f>
        <v>121.03193063776185</v>
      </c>
      <c r="G131" s="26">
        <f t="shared" ref="G131:J131" ca="1" si="47">G111+2*G126+2*G124</f>
        <v>123.72391386753384</v>
      </c>
      <c r="H131" s="26">
        <f t="shared" ca="1" si="47"/>
        <v>122.17520829321361</v>
      </c>
      <c r="I131" s="26">
        <f t="shared" ca="1" si="47"/>
        <v>120.99437599789617</v>
      </c>
      <c r="J131" s="26">
        <f t="shared" ca="1" si="47"/>
        <v>120.99437599789617</v>
      </c>
    </row>
    <row r="132" spans="1:10">
      <c r="A132" s="7" t="s">
        <v>351</v>
      </c>
      <c r="C132" s="4"/>
      <c r="F132" s="197">
        <f ca="1">F129*F130*F131/1000000</f>
        <v>9.8358739157496053</v>
      </c>
      <c r="G132" s="197">
        <f t="shared" ref="G132:J132" ca="1" si="48">G129*G130*G131/1000000</f>
        <v>10.285659347962843</v>
      </c>
      <c r="H132" s="197">
        <f t="shared" ca="1" si="48"/>
        <v>5.4227959391414347</v>
      </c>
      <c r="I132" s="197">
        <f t="shared" ca="1" si="48"/>
        <v>5.3249931300414328</v>
      </c>
      <c r="J132" s="197">
        <f t="shared" ca="1" si="48"/>
        <v>5.3249931300414328</v>
      </c>
    </row>
    <row r="133" spans="1:10">
      <c r="A133" s="7" t="s">
        <v>302</v>
      </c>
      <c r="C133" s="4"/>
      <c r="F133" s="197">
        <f ca="1">((F116*F56/F57+1)+F56*F29+F117+F120+F127+F128)/1000</f>
        <v>21.879943589153157</v>
      </c>
      <c r="G133" s="197">
        <f t="shared" ref="G133:J133" ca="1" si="49">((G116*G56/G57+1)+G56*G29+G117+G120+G127+G128)/1000</f>
        <v>24.023973770560492</v>
      </c>
      <c r="H133" s="197">
        <f t="shared" ca="1" si="49"/>
        <v>11.757127394227316</v>
      </c>
      <c r="I133" s="197">
        <f t="shared" ca="1" si="49"/>
        <v>11.521160577696055</v>
      </c>
      <c r="J133" s="197">
        <f t="shared" ca="1" si="49"/>
        <v>11.521160577696055</v>
      </c>
    </row>
    <row r="134" spans="1:10" ht="15.75">
      <c r="A134" s="19" t="s">
        <v>818</v>
      </c>
      <c r="C134" s="4"/>
      <c r="F134" s="6"/>
      <c r="G134" s="6"/>
      <c r="H134" s="6"/>
      <c r="I134" s="6"/>
      <c r="J134" s="6"/>
    </row>
    <row r="135" spans="1:10">
      <c r="A135" s="321" t="s">
        <v>871</v>
      </c>
      <c r="C135" s="4"/>
      <c r="F135" s="6">
        <f ca="1">F115*F61</f>
        <v>75.036279629692174</v>
      </c>
      <c r="G135" s="6">
        <f t="shared" ref="G135:J135" ca="1" si="50">G115*G61</f>
        <v>76.591077099912766</v>
      </c>
      <c r="H135" s="6">
        <f t="shared" ca="1" si="50"/>
        <v>76.506964483618319</v>
      </c>
      <c r="I135" s="6">
        <f t="shared" ca="1" si="50"/>
        <v>37.494106182681563</v>
      </c>
      <c r="J135" s="6">
        <f t="shared" ca="1" si="50"/>
        <v>37.494106182681563</v>
      </c>
    </row>
    <row r="136" spans="1:10">
      <c r="A136" s="321" t="s">
        <v>819</v>
      </c>
      <c r="F136" s="21">
        <f ca="1">F77*F61*(F139-F64*F78/3*F90/F103)/1000</f>
        <v>35.294117647059018</v>
      </c>
      <c r="G136" s="21">
        <f t="shared" ref="G136:J136" ca="1" si="51">G77*G61*(G139-G64*G78/3*G90/G103)/1000</f>
        <v>35.294117647059167</v>
      </c>
      <c r="H136" s="21">
        <f t="shared" ca="1" si="51"/>
        <v>35.29411764705916</v>
      </c>
      <c r="I136" s="21">
        <f t="shared" ca="1" si="51"/>
        <v>17.647058823529491</v>
      </c>
      <c r="J136" s="21">
        <f t="shared" ca="1" si="51"/>
        <v>17.647058823529491</v>
      </c>
    </row>
    <row r="137" spans="1:10">
      <c r="A137" t="s">
        <v>409</v>
      </c>
      <c r="F137" s="21">
        <f ca="1">F136*F180/100</f>
        <v>30.000000000000163</v>
      </c>
      <c r="G137" s="21">
        <f t="shared" ref="G137:J137" ca="1" si="52">G136*G180/100</f>
        <v>30.000000000000291</v>
      </c>
      <c r="H137" s="21">
        <f t="shared" ca="1" si="52"/>
        <v>30.000000000000288</v>
      </c>
      <c r="I137" s="21">
        <f t="shared" ca="1" si="52"/>
        <v>15.000000000000068</v>
      </c>
      <c r="J137" s="21">
        <f t="shared" ca="1" si="52"/>
        <v>15.000000000000068</v>
      </c>
    </row>
    <row r="138" spans="1:10">
      <c r="A138" t="s">
        <v>379</v>
      </c>
      <c r="F138" s="6">
        <f>F64/F57*F42/F61</f>
        <v>468.86399999999998</v>
      </c>
      <c r="G138" s="6">
        <f t="shared" ref="G138:J138" si="53">G64/G57*G42/G61</f>
        <v>468.86399999999998</v>
      </c>
      <c r="H138" s="6">
        <f t="shared" si="53"/>
        <v>468.86399999999998</v>
      </c>
      <c r="I138" s="6">
        <f t="shared" si="53"/>
        <v>468.86399999999998</v>
      </c>
      <c r="J138" s="6">
        <f t="shared" si="53"/>
        <v>468.86399999999998</v>
      </c>
    </row>
    <row r="139" spans="1:10">
      <c r="A139" t="s">
        <v>189</v>
      </c>
      <c r="F139" s="6">
        <f>F64/F57*F43/F61</f>
        <v>480</v>
      </c>
      <c r="G139" s="6">
        <f t="shared" ref="G139:J139" si="54">G64/G57*G43/G61</f>
        <v>480</v>
      </c>
      <c r="H139" s="6">
        <f t="shared" si="54"/>
        <v>480</v>
      </c>
      <c r="I139" s="6">
        <f t="shared" si="54"/>
        <v>480</v>
      </c>
      <c r="J139" s="6">
        <f t="shared" si="54"/>
        <v>480</v>
      </c>
    </row>
    <row r="140" spans="1:10">
      <c r="A140" t="s">
        <v>577</v>
      </c>
      <c r="F140" s="6">
        <f ca="1">+(F138^2*F61^2*F57^2/'Battery Design'!F64*'Battery Design'!F49/100*(100-'Battery Design'!F49)/100)/('Battery Design'!F89/'Battery Design'!F103)/1000</f>
        <v>163.31543449734161</v>
      </c>
      <c r="G140" s="6">
        <f ca="1">+(G138^2*G61^2*G57^2/'Battery Design'!G64*'Battery Design'!G49/100*(100-'Battery Design'!G49)/100)/('Battery Design'!G89/'Battery Design'!G103)/1000</f>
        <v>168.15637200893477</v>
      </c>
      <c r="H140" s="6">
        <f ca="1">+(H138^2*H61^2*H57^2/'Battery Design'!H64*'Battery Design'!H49/100*(100-'Battery Design'!H49)/100)/('Battery Design'!H89/'Battery Design'!H103)/1000</f>
        <v>176.34713763705139</v>
      </c>
      <c r="I140" s="6">
        <f ca="1">+(I138^2*I61^2*I57^2/'Battery Design'!I64*'Battery Design'!I49/100*(100-'Battery Design'!I49)/100)/('Battery Design'!I89/'Battery Design'!I103)/1000</f>
        <v>86.451134891068335</v>
      </c>
      <c r="J140" s="6">
        <f ca="1">+(J138^2*J61^2*J57^2/'Battery Design'!J64*'Battery Design'!J49/100*(100-'Battery Design'!J49)/100)/('Battery Design'!J89/'Battery Design'!J103)/1000</f>
        <v>86.451134891068335</v>
      </c>
    </row>
    <row r="141" spans="1:10">
      <c r="A141" t="s">
        <v>191</v>
      </c>
      <c r="F141" s="4">
        <f ca="1">IF(MAX(F96,F97)&lt;F46,F55*1000/F138/F49*100,F55*1000/F138/F50*100)</f>
        <v>296.25247208691809</v>
      </c>
      <c r="G141" s="4">
        <f t="shared" ref="G141:J141" ca="1" si="55">IF(MAX(G96,G97)&lt;G46,G55*1000/G138/G49*100,G55*1000/G138/G50*100)</f>
        <v>294.67638037161367</v>
      </c>
      <c r="H141" s="4">
        <f t="shared" ca="1" si="55"/>
        <v>292.27831965765694</v>
      </c>
      <c r="I141" s="4">
        <f t="shared" ca="1" si="55"/>
        <v>146.62447269942129</v>
      </c>
      <c r="J141" s="4">
        <f t="shared" ca="1" si="55"/>
        <v>146.62447269942129</v>
      </c>
    </row>
    <row r="142" spans="1:10" ht="14.25">
      <c r="A142" t="s">
        <v>368</v>
      </c>
      <c r="F142" s="21">
        <f ca="1">IF(F193=0,20,F141*1000/F103/F57/F61)</f>
        <v>13.917765092370596</v>
      </c>
      <c r="G142" s="21">
        <f t="shared" ref="G142:J142" ca="1" si="56">IF(G193=0,20,G141*1000/G103/G57/G61)</f>
        <v>13.562693951120847</v>
      </c>
      <c r="H142" s="21">
        <f t="shared" ca="1" si="56"/>
        <v>13.467111102304292</v>
      </c>
      <c r="I142" s="21">
        <f t="shared" ca="1" si="56"/>
        <v>13.785492000185567</v>
      </c>
      <c r="J142" s="21">
        <f t="shared" ca="1" si="56"/>
        <v>13.785492000185567</v>
      </c>
    </row>
    <row r="143" spans="1:10">
      <c r="A143" t="s">
        <v>282</v>
      </c>
      <c r="F143" s="6">
        <f ca="1">IF(F193=0,5,F141/F77/F61)</f>
        <v>3.9481231418846856</v>
      </c>
      <c r="G143" s="6">
        <f t="shared" ref="G143:J143" ca="1" si="57">IF(G193=0,5,G141/G77/G61)</f>
        <v>3.8473983070796804</v>
      </c>
      <c r="H143" s="6">
        <f t="shared" ca="1" si="57"/>
        <v>3.8202838346859207</v>
      </c>
      <c r="I143" s="6">
        <f t="shared" ca="1" si="57"/>
        <v>3.9106005617263331</v>
      </c>
      <c r="J143" s="6">
        <f t="shared" ca="1" si="57"/>
        <v>3.9106005617263331</v>
      </c>
    </row>
    <row r="144" spans="1:10">
      <c r="A144" t="s">
        <v>644</v>
      </c>
      <c r="F144" s="142">
        <f ca="1">IF(F53="EG-W",Thermal!F96,Thermal!F160)*10</f>
        <v>7.2819386371534636</v>
      </c>
      <c r="G144" s="142">
        <f ca="1">IF(G53="EG-W",Thermal!G96,Thermal!G160)*10</f>
        <v>7.6903863261292464</v>
      </c>
      <c r="H144" s="142">
        <f ca="1">IF(H53="EG-W",Thermal!H96,Thermal!H160)*10</f>
        <v>7.0753830419499133</v>
      </c>
      <c r="I144" s="142">
        <f ca="1">IF(I53="EG-W",Thermal!I96,Thermal!I160)*10</f>
        <v>7.0766474399553889</v>
      </c>
      <c r="J144" s="142">
        <f ca="1">IF(J53="EG-W",Thermal!J96,Thermal!J160)*10</f>
        <v>7.0766474399553889</v>
      </c>
    </row>
    <row r="145" spans="1:10">
      <c r="A145" t="s">
        <v>390</v>
      </c>
      <c r="F145" s="238">
        <v>1.5</v>
      </c>
      <c r="G145" s="238">
        <v>1.5</v>
      </c>
      <c r="H145" s="238">
        <v>1.5</v>
      </c>
      <c r="I145" s="238">
        <v>1.5</v>
      </c>
      <c r="J145" s="238">
        <v>1.5</v>
      </c>
    </row>
    <row r="146" spans="1:10">
      <c r="A146" t="s">
        <v>765</v>
      </c>
      <c r="F146" s="4">
        <f ca="1">F58*F130+2*F68+2*F145+IF(F53="EG-W",F144,0)</f>
        <v>885.48193863715346</v>
      </c>
      <c r="G146" s="4">
        <f t="shared" ref="G146:J146" ca="1" si="58">G58*G130+2*G68+2*G145+IF(G53="EG-W",G144,0)</f>
        <v>887.49038632612928</v>
      </c>
      <c r="H146" s="4">
        <f t="shared" ca="1" si="58"/>
        <v>885.27538304194991</v>
      </c>
      <c r="I146" s="4">
        <f t="shared" ca="1" si="58"/>
        <v>885.27664743995547</v>
      </c>
      <c r="J146" s="4">
        <f t="shared" ca="1" si="58"/>
        <v>885.27664743995547</v>
      </c>
    </row>
    <row r="147" spans="1:10">
      <c r="A147" t="s">
        <v>766</v>
      </c>
      <c r="F147" s="4">
        <f ca="1">F59*F129+IF(F59=1,8,IF(F59=2,10,IF(F59=4,20)))+2*F68</f>
        <v>805.39158382657115</v>
      </c>
      <c r="G147" s="4">
        <f t="shared" ref="G147:J147" ca="1" si="59">G59*G129+IF(G59=1,8,IF(G59=2,10,IF(G59=4,20)))+2*G68</f>
        <v>821.54348320520307</v>
      </c>
      <c r="H147" s="4">
        <f t="shared" ca="1" si="59"/>
        <v>886.25124975928168</v>
      </c>
      <c r="I147" s="4">
        <f t="shared" ca="1" si="59"/>
        <v>453.58312799368855</v>
      </c>
      <c r="J147" s="4">
        <f t="shared" ca="1" si="59"/>
        <v>453.58312799368855</v>
      </c>
    </row>
    <row r="148" spans="1:10">
      <c r="A148" t="s">
        <v>767</v>
      </c>
      <c r="F148" s="4">
        <f ca="1">F131+2*F144+2*F68</f>
        <v>163.59580791206878</v>
      </c>
      <c r="G148" s="4">
        <f t="shared" ref="G148:J148" ca="1" si="60">G131+2*G144+2*G68</f>
        <v>167.10468651979232</v>
      </c>
      <c r="H148" s="4">
        <f t="shared" ca="1" si="60"/>
        <v>164.32597437711345</v>
      </c>
      <c r="I148" s="4">
        <f t="shared" ca="1" si="60"/>
        <v>163.14767087780695</v>
      </c>
      <c r="J148" s="4">
        <f t="shared" ca="1" si="60"/>
        <v>163.14767087780695</v>
      </c>
    </row>
    <row r="149" spans="1:10">
      <c r="A149" t="s">
        <v>905</v>
      </c>
      <c r="F149" s="191">
        <v>50</v>
      </c>
      <c r="G149" s="191">
        <v>50</v>
      </c>
      <c r="H149" s="191">
        <v>50</v>
      </c>
      <c r="I149" s="191">
        <v>50</v>
      </c>
      <c r="J149" s="191">
        <v>50</v>
      </c>
    </row>
    <row r="150" spans="1:10">
      <c r="A150" t="s">
        <v>762</v>
      </c>
      <c r="F150" s="4">
        <f>IF(Thermal!F67="CA",2*F68+Thermal!F160,0)</f>
        <v>0</v>
      </c>
      <c r="G150" s="4">
        <f>IF(Thermal!G67="CA",2*G68+Thermal!G160,0)</f>
        <v>0</v>
      </c>
      <c r="H150" s="4">
        <f>IF(Thermal!H67="CA",2*H68+Thermal!H160,0)</f>
        <v>0</v>
      </c>
      <c r="I150" s="4">
        <f>IF(Thermal!I67="CA",2*I68+Thermal!I160,0)</f>
        <v>0</v>
      </c>
      <c r="J150" s="4">
        <f>IF(Thermal!J67="CA",2*J68+Thermal!J160,0)</f>
        <v>0</v>
      </c>
    </row>
    <row r="151" spans="1:10">
      <c r="A151" t="s">
        <v>763</v>
      </c>
      <c r="F151" s="6">
        <f ca="1">F146*F149*F150*2/1000000</f>
        <v>0</v>
      </c>
      <c r="G151" s="6">
        <f t="shared" ref="G151:J151" ca="1" si="61">G146*G149*G150*2/1000000</f>
        <v>0</v>
      </c>
      <c r="H151" s="6">
        <f t="shared" ca="1" si="61"/>
        <v>0</v>
      </c>
      <c r="I151" s="6">
        <f t="shared" ca="1" si="61"/>
        <v>0</v>
      </c>
      <c r="J151" s="6">
        <f t="shared" ca="1" si="61"/>
        <v>0</v>
      </c>
    </row>
    <row r="152" spans="1:10">
      <c r="A152" t="s">
        <v>635</v>
      </c>
      <c r="F152" s="6">
        <f ca="1">F146*F147*F148/1000000+F151</f>
        <v>116.66993745686401</v>
      </c>
      <c r="G152" s="6">
        <f t="shared" ref="G152:J152" ca="1" si="62">G146*G147*G148/1000000+G151</f>
        <v>121.83802272189685</v>
      </c>
      <c r="H152" s="6">
        <f t="shared" ca="1" si="62"/>
        <v>128.92628380278481</v>
      </c>
      <c r="I152" s="6">
        <f t="shared" ca="1" si="62"/>
        <v>65.511384525999304</v>
      </c>
      <c r="J152" s="6">
        <f t="shared" ca="1" si="62"/>
        <v>65.511384525999304</v>
      </c>
    </row>
    <row r="153" spans="1:10">
      <c r="A153" t="s">
        <v>531</v>
      </c>
      <c r="F153" s="4">
        <f ca="1">(5/F118*F141*F119)*1.2</f>
        <v>49.366701253334035</v>
      </c>
      <c r="G153" s="4">
        <f t="shared" ref="G153:J153" ca="1" si="63">(5/G118*G141*G119)*1.2</f>
        <v>49.104065642872499</v>
      </c>
      <c r="H153" s="4">
        <f t="shared" ca="1" si="63"/>
        <v>48.704459367794641</v>
      </c>
      <c r="I153" s="4">
        <f t="shared" ca="1" si="63"/>
        <v>24.433100892593682</v>
      </c>
      <c r="J153" s="4">
        <f t="shared" ca="1" si="63"/>
        <v>24.433100892593682</v>
      </c>
    </row>
    <row r="154" spans="1:10">
      <c r="A154" t="s">
        <v>391</v>
      </c>
      <c r="F154" s="4">
        <f ca="1">2*F145*(F147-2*F68)*(F148-2*F68)/1000*7.8</f>
        <v>2466.6183330283557</v>
      </c>
      <c r="G154" s="4">
        <f t="shared" ref="G154:J154" ca="1" si="64">2*G145*(G147-2*G68)*(G148-2*G68)/1000*7.8</f>
        <v>2583.0234488233623</v>
      </c>
      <c r="H154" s="4">
        <f t="shared" ca="1" si="64"/>
        <v>2737.8453464811405</v>
      </c>
      <c r="I154" s="4">
        <f t="shared" ca="1" si="64"/>
        <v>1345.8877032097835</v>
      </c>
      <c r="J154" s="4">
        <f t="shared" ca="1" si="64"/>
        <v>1345.8877032097835</v>
      </c>
    </row>
    <row r="155" spans="1:10">
      <c r="A155" t="s">
        <v>578</v>
      </c>
      <c r="F155" s="4">
        <f>IF(AND(F59=1,F58&gt;1),((F146-2*F68)/10)^2*F141/600000/F66*8.92,0)</f>
        <v>0</v>
      </c>
      <c r="G155" s="4">
        <f t="shared" ref="G155:J155" si="65">IF(AND(G59=1,G58&gt;1),((G146-2*G68)/10)^2*G141/600000/G66*8.92,0)</f>
        <v>0</v>
      </c>
      <c r="H155" s="4">
        <f t="shared" si="65"/>
        <v>0</v>
      </c>
      <c r="I155" s="4">
        <f t="shared" si="65"/>
        <v>0</v>
      </c>
      <c r="J155" s="4">
        <f t="shared" si="65"/>
        <v>0</v>
      </c>
    </row>
    <row r="156" spans="1:10">
      <c r="A156" t="s">
        <v>363</v>
      </c>
      <c r="D156" s="3"/>
      <c r="F156" s="214">
        <f ca="1">(F60-1)*2*(3/F141*F119)</f>
        <v>7.5889210842237161E-5</v>
      </c>
      <c r="G156" s="214">
        <f t="shared" ref="G156:J156" ca="1" si="66">(G60-1)*2*(3/G141*G119)</f>
        <v>7.6295108173874684E-5</v>
      </c>
      <c r="H156" s="214">
        <f t="shared" ca="1" si="66"/>
        <v>1.6483090263616474E-4</v>
      </c>
      <c r="I156" s="214">
        <f t="shared" ca="1" si="66"/>
        <v>1.5333297302167785E-4</v>
      </c>
      <c r="J156" s="214">
        <f t="shared" ca="1" si="66"/>
        <v>1.5333297302167785E-4</v>
      </c>
    </row>
    <row r="157" spans="1:10">
      <c r="A157" t="s">
        <v>887</v>
      </c>
      <c r="D157" s="3"/>
      <c r="F157" s="214">
        <f ca="1">2*(3/F141*F119)</f>
        <v>1.0841315834605309E-5</v>
      </c>
      <c r="G157" s="214">
        <f t="shared" ref="G157:J157" ca="1" si="67">2*(3/G141*G119)</f>
        <v>1.0899301167696383E-5</v>
      </c>
      <c r="H157" s="214">
        <f t="shared" ca="1" si="67"/>
        <v>1.0988726842410983E-5</v>
      </c>
      <c r="I157" s="214">
        <f t="shared" ca="1" si="67"/>
        <v>2.1904710431668266E-5</v>
      </c>
      <c r="J157" s="214">
        <f t="shared" ca="1" si="67"/>
        <v>2.1904710431668266E-5</v>
      </c>
    </row>
    <row r="158" spans="1:10">
      <c r="A158" t="s">
        <v>487</v>
      </c>
      <c r="D158" s="3"/>
      <c r="F158" s="6">
        <f>Thermal!F190/1000</f>
        <v>3</v>
      </c>
      <c r="G158" s="6">
        <f>Thermal!G190/1000</f>
        <v>3</v>
      </c>
      <c r="H158" s="6">
        <f>Thermal!H190/1000</f>
        <v>3</v>
      </c>
      <c r="I158" s="6">
        <f>Thermal!I190/1000</f>
        <v>3</v>
      </c>
      <c r="J158" s="6">
        <f>Thermal!J190/1000</f>
        <v>3</v>
      </c>
    </row>
    <row r="159" spans="1:10" s="7" customFormat="1">
      <c r="A159" t="s">
        <v>761</v>
      </c>
      <c r="B159"/>
      <c r="C159"/>
      <c r="D159" s="3"/>
      <c r="E159"/>
      <c r="F159" s="21">
        <f>F158*0.1</f>
        <v>0.30000000000000004</v>
      </c>
      <c r="G159" s="21">
        <f t="shared" ref="G159:J159" si="68">G158*0.1</f>
        <v>0.30000000000000004</v>
      </c>
      <c r="H159" s="21">
        <f t="shared" si="68"/>
        <v>0.30000000000000004</v>
      </c>
      <c r="I159" s="21">
        <f t="shared" si="68"/>
        <v>0.30000000000000004</v>
      </c>
      <c r="J159" s="21">
        <f t="shared" si="68"/>
        <v>0.30000000000000004</v>
      </c>
    </row>
    <row r="160" spans="1:10" s="7" customFormat="1">
      <c r="A160" t="s">
        <v>411</v>
      </c>
      <c r="B160"/>
      <c r="C160"/>
      <c r="D160"/>
      <c r="E160"/>
      <c r="F160" s="21">
        <f ca="1">IF(F53="EG-W",Thermal!F91,0)</f>
        <v>10.996401716321673</v>
      </c>
      <c r="G160" s="21">
        <f ca="1">IF(G53="EG-W",Thermal!G91,0)</f>
        <v>11.892957149965833</v>
      </c>
      <c r="H160" s="21">
        <f ca="1">IF(H53="EG-W",Thermal!H91,0)</f>
        <v>11.803248792189983</v>
      </c>
      <c r="I160" s="21">
        <f ca="1">IF(I53="EG-W",Thermal!I91,0)</f>
        <v>5.8501462746974271</v>
      </c>
      <c r="J160" s="21">
        <f ca="1">IF(J53="EG-W",Thermal!J91,0)</f>
        <v>5.8501462746974271</v>
      </c>
    </row>
    <row r="161" spans="1:10" s="7" customFormat="1" ht="14.25">
      <c r="A161" t="s">
        <v>307</v>
      </c>
      <c r="B161"/>
      <c r="C161"/>
      <c r="D161"/>
      <c r="E161"/>
      <c r="F161" s="21">
        <f ca="1">F67/10*0.032+(F68-F67)/10*2.7</f>
        <v>1.1120000000000001</v>
      </c>
      <c r="G161" s="21">
        <f t="shared" ref="G161:J161" ca="1" si="69">G67/10*0.032+(G68-G67)/10*2.7</f>
        <v>1.1120000000000001</v>
      </c>
      <c r="H161" s="21">
        <f t="shared" ca="1" si="69"/>
        <v>1.1120000000000001</v>
      </c>
      <c r="I161" s="21">
        <f t="shared" ca="1" si="69"/>
        <v>1.1120000000000001</v>
      </c>
      <c r="J161" s="21">
        <f t="shared" ca="1" si="69"/>
        <v>1.1120000000000001</v>
      </c>
    </row>
    <row r="162" spans="1:10" s="7" customFormat="1">
      <c r="A162" t="s">
        <v>764</v>
      </c>
      <c r="B162"/>
      <c r="C162"/>
      <c r="D162"/>
      <c r="E162"/>
      <c r="F162" s="21">
        <f>IF(Thermal!F67="CA",F146*F149*4*F161/100/1000,0)</f>
        <v>0</v>
      </c>
      <c r="G162" s="21">
        <f>IF(Thermal!G67="CA",G146*G149*4*G161/100/1000,0)</f>
        <v>0</v>
      </c>
      <c r="H162" s="21">
        <f>IF(Thermal!H67="CA",H146*H149*4*H161/100/1000,0)</f>
        <v>0</v>
      </c>
      <c r="I162" s="21">
        <f>IF(Thermal!I67="CA",I146*I149*4*I161/100/1000,0)</f>
        <v>0</v>
      </c>
      <c r="J162" s="21">
        <f>IF(Thermal!J67="CA",J146*J149*4*J161/100/1000,0)</f>
        <v>0</v>
      </c>
    </row>
    <row r="163" spans="1:10" s="7" customFormat="1">
      <c r="A163" t="s">
        <v>385</v>
      </c>
      <c r="B163"/>
      <c r="C163"/>
      <c r="D163"/>
      <c r="E163"/>
      <c r="F163" s="142">
        <f ca="1">(2*(F146-F68)*(F147-F68)+2*(F146-F68)*(F148-F68)+2*(F147-F68)*(F148-F68))/100*F161/1000+(F60+1)*F153/1000+F154/1000+F155/1000+F162</f>
        <v>23.781877169789482</v>
      </c>
      <c r="G163" s="142">
        <f t="shared" ref="G163:J163" ca="1" si="70">(2*(G146-G68)*(G147-G68)+2*(G146-G68)*(G148-G68)+2*(G147-G68)*(G148-G68))/100*G161/1000+(G60+1)*G153/1000+G154/1000+G155/1000+G162</f>
        <v>24.43664531183153</v>
      </c>
      <c r="H163" s="142">
        <f t="shared" ca="1" si="70"/>
        <v>26.296621964099597</v>
      </c>
      <c r="I163" s="142">
        <f t="shared" ca="1" si="70"/>
        <v>14.431852378797553</v>
      </c>
      <c r="J163" s="142">
        <f t="shared" ca="1" si="70"/>
        <v>14.431852378797553</v>
      </c>
    </row>
    <row r="164" spans="1:10" s="7" customFormat="1">
      <c r="A164" t="s">
        <v>634</v>
      </c>
      <c r="B164"/>
      <c r="C164"/>
      <c r="D164" s="3"/>
      <c r="E164"/>
      <c r="F164" s="142">
        <f ca="1">F60*F133+F160+F163</f>
        <v>209.81782759933643</v>
      </c>
      <c r="G164" s="142">
        <f t="shared" ref="G164:J164" ca="1" si="71">G60*G133+G160+G163</f>
        <v>228.52139262628131</v>
      </c>
      <c r="H164" s="142">
        <f t="shared" ca="1" si="71"/>
        <v>226.21390906392662</v>
      </c>
      <c r="I164" s="142">
        <f t="shared" ca="1" si="71"/>
        <v>112.45128327506342</v>
      </c>
      <c r="J164" s="142">
        <f t="shared" ca="1" si="71"/>
        <v>112.45128327506342</v>
      </c>
    </row>
    <row r="165" spans="1:10" s="7" customFormat="1">
      <c r="A165" t="s">
        <v>566</v>
      </c>
      <c r="B165"/>
      <c r="C165"/>
      <c r="D165" s="3"/>
      <c r="E165"/>
      <c r="F165" s="142">
        <f>IF(OR(F52="PHEV",F52="EV"),4,IF(OR(F52="HEV-HP",F52="microHEV"),2))*IF(F62=2,1.5,IF(F62=3,2,1))</f>
        <v>4</v>
      </c>
      <c r="G165" s="142">
        <f t="shared" ref="G165:J165" si="72">IF(OR(G52="PHEV",G52="EV"),4,IF(OR(G52="HEV-HP",G52="microHEV"),2))*IF(G62=2,1.5,IF(G62=3,2,1))</f>
        <v>4</v>
      </c>
      <c r="H165" s="142">
        <f t="shared" si="72"/>
        <v>4</v>
      </c>
      <c r="I165" s="142">
        <f t="shared" si="72"/>
        <v>6</v>
      </c>
      <c r="J165" s="142">
        <f t="shared" si="72"/>
        <v>6</v>
      </c>
    </row>
    <row r="166" spans="1:10">
      <c r="A166" t="s">
        <v>567</v>
      </c>
      <c r="D166" s="3"/>
      <c r="F166" s="142">
        <f>IF(OR(F52="PHEV",F52="EV"),4,IF(OR(F52="HEV-HP",F52="microHEV"),2))*IF(F62=2,1.5,IF(F62=3,2,1))</f>
        <v>4</v>
      </c>
      <c r="G166" s="142">
        <f t="shared" ref="G166:J166" si="73">IF(OR(G52="PHEV",G52="EV"),4,IF(OR(G52="HEV-HP",G52="microHEV"),2))*IF(G62=2,1.5,IF(G62=3,2,1))</f>
        <v>4</v>
      </c>
      <c r="H166" s="142">
        <f t="shared" si="73"/>
        <v>4</v>
      </c>
      <c r="I166" s="142">
        <f t="shared" si="73"/>
        <v>6</v>
      </c>
      <c r="J166" s="142">
        <f t="shared" si="73"/>
        <v>6</v>
      </c>
    </row>
    <row r="167" spans="1:10" ht="15.75">
      <c r="A167" s="19" t="s">
        <v>827</v>
      </c>
      <c r="D167" s="328"/>
      <c r="F167" s="142"/>
      <c r="G167" s="142"/>
      <c r="H167" s="142"/>
      <c r="I167" s="142"/>
      <c r="J167" s="142"/>
    </row>
    <row r="168" spans="1:10">
      <c r="A168" s="321" t="s">
        <v>846</v>
      </c>
      <c r="D168" s="328"/>
      <c r="F168" s="142">
        <f ca="1">F164*F62</f>
        <v>209.81782759933643</v>
      </c>
      <c r="G168" s="142">
        <f t="shared" ref="G168:J168" ca="1" si="74">G164*G62</f>
        <v>228.52139262628131</v>
      </c>
      <c r="H168" s="142">
        <f t="shared" ca="1" si="74"/>
        <v>226.21390906392662</v>
      </c>
      <c r="I168" s="142">
        <f t="shared" ca="1" si="74"/>
        <v>224.90256655012683</v>
      </c>
      <c r="J168" s="142">
        <f t="shared" ca="1" si="74"/>
        <v>224.90256655012683</v>
      </c>
    </row>
    <row r="169" spans="1:10">
      <c r="A169" s="321" t="s">
        <v>847</v>
      </c>
      <c r="D169" s="328"/>
      <c r="F169" s="142">
        <f ca="1">F152*F62+F166+F175</f>
        <v>123.469937456864</v>
      </c>
      <c r="G169" s="142">
        <f t="shared" ref="G169:J169" ca="1" si="75">G152*G62+G166+G175</f>
        <v>128.63802272189685</v>
      </c>
      <c r="H169" s="142">
        <f t="shared" ca="1" si="75"/>
        <v>135.72628380278482</v>
      </c>
      <c r="I169" s="142">
        <f t="shared" ca="1" si="75"/>
        <v>141.2227690519986</v>
      </c>
      <c r="J169" s="142">
        <f t="shared" ca="1" si="75"/>
        <v>141.2227690519986</v>
      </c>
    </row>
    <row r="170" spans="1:10" ht="15.75">
      <c r="A170" s="19" t="s">
        <v>446</v>
      </c>
      <c r="D170" s="3"/>
    </row>
    <row r="171" spans="1:10">
      <c r="A171" s="321" t="s">
        <v>883</v>
      </c>
      <c r="D171" s="3"/>
      <c r="F171" s="145">
        <f ca="1">Thermal!F37*F62</f>
        <v>7695.6587808659815</v>
      </c>
      <c r="G171" s="145">
        <f ca="1">Thermal!G37*G62</f>
        <v>9225.4610712821304</v>
      </c>
      <c r="H171" s="145">
        <f ca="1">Thermal!H37*H62</f>
        <v>7706.166568816062</v>
      </c>
      <c r="I171" s="145">
        <f ca="1">Thermal!I37*I62</f>
        <v>7650.1031735833085</v>
      </c>
      <c r="J171" s="145">
        <f ca="1">Thermal!J37*J62</f>
        <v>7650.1031735833085</v>
      </c>
    </row>
    <row r="172" spans="1:10">
      <c r="A172" t="s">
        <v>459</v>
      </c>
      <c r="D172" s="3"/>
      <c r="F172" s="109" t="str">
        <f ca="1">IF(F53="CA","NA",IF(F171&lt;Thermal!$E195/1.5,"Refrig 1",IF(F171&lt;Thermal!$E196/1.5,"Refrig 2",IF(F171&lt;Thermal!$E197/1.5,"Refrig 3","Refrig 4"))))</f>
        <v>Refrig 4</v>
      </c>
      <c r="G172" s="109" t="str">
        <f ca="1">IF(G53="CA","NA",IF(G171&lt;Thermal!$E195/1.5,"Refrig 1",IF(G171&lt;Thermal!$E196/1.5,"Refrig 2",IF(G171&lt;Thermal!$E197/1.5,"Refrig 3","Refrig 4"))))</f>
        <v>Refrig 4</v>
      </c>
      <c r="H172" s="109" t="str">
        <f ca="1">IF(H53="CA","NA",IF(H171&lt;Thermal!$E195/1.5,"Refrig 1",IF(H171&lt;Thermal!$E196/1.5,"Refrig 2",IF(H171&lt;Thermal!$E197/1.5,"Refrig 3","Refrig 4"))))</f>
        <v>Refrig 4</v>
      </c>
      <c r="I172" s="109" t="str">
        <f ca="1">IF(I53="CA","NA",IF(I171&lt;Thermal!$E195/1.5,"Refrig 1",IF(I171&lt;Thermal!$E196/1.5,"Refrig 2",IF(I171&lt;Thermal!$E197/1.5,"Refrig 3","Refrig 4"))))</f>
        <v>Refrig 4</v>
      </c>
      <c r="J172" s="109" t="str">
        <f ca="1">IF(J53="CA","NA",IF(J171&lt;Thermal!$E195/1.5,"Refrig 1",IF(J171&lt;Thermal!$E196/1.5,"Refrig 2",IF(J171&lt;Thermal!$E197/1.5,"Refrig 3","Refrig 4"))))</f>
        <v>Refrig 4</v>
      </c>
    </row>
    <row r="173" spans="1:10">
      <c r="A173" t="s">
        <v>848</v>
      </c>
      <c r="D173" s="3"/>
      <c r="F173" s="109"/>
      <c r="G173" s="109"/>
      <c r="H173" s="109"/>
      <c r="I173" s="109"/>
      <c r="J173" s="109"/>
    </row>
    <row r="174" spans="1:10">
      <c r="A174" t="s">
        <v>447</v>
      </c>
      <c r="D174" s="3"/>
      <c r="F174" s="142">
        <f ca="1">IF(F53="CA",0,IF(F172="Refrig 1",Thermal!$F195,IF(F172="Refrig 2",Thermal!$F196,IF(F172="Refrig 3",Thermal!$F197,Thermal!$F198)))*IF(F62=2,1.5,IF(F62=3,2,1)))</f>
        <v>7</v>
      </c>
      <c r="G174" s="142">
        <f ca="1">IF(G53="CA",0,IF(G172="Refrig 1",Thermal!$F195,IF(G172="Refrig 2",Thermal!$F196,IF(G172="Refrig 3",Thermal!$F197,Thermal!$F198)))*IF(G62=2,1.5,IF(G62=3,2,1)))</f>
        <v>7</v>
      </c>
      <c r="H174" s="142">
        <f ca="1">IF(H53="CA",0,IF(H172="Refrig 1",Thermal!$F195,IF(H172="Refrig 2",Thermal!$F196,IF(H172="Refrig 3",Thermal!$F197,Thermal!$F198)))*IF(H62=2,1.5,IF(H62=3,2,1)))</f>
        <v>7</v>
      </c>
      <c r="I174" s="142">
        <f ca="1">IF(I53="CA",0,IF(I172="Refrig 1",Thermal!$F195,IF(I172="Refrig 2",Thermal!$F196,IF(I172="Refrig 3",Thermal!$F197,Thermal!$F198)))*IF(I62=2,1.5,IF(I62=3,2,1)))</f>
        <v>10.5</v>
      </c>
      <c r="J174" s="142">
        <f ca="1">IF(J53="CA",0,IF(J172="Refrig 1",Thermal!$F195,IF(J172="Refrig 2",Thermal!$F196,IF(J172="Refrig 3",Thermal!$F197,Thermal!$F198)))*IF(J62=2,1.5,IF(J62=3,2,1)))</f>
        <v>10.5</v>
      </c>
    </row>
    <row r="175" spans="1:10">
      <c r="A175" t="s">
        <v>448</v>
      </c>
      <c r="D175" s="3"/>
      <c r="F175" s="142">
        <f ca="1">IF(F53="CA",0,IF(F172="Refrig 1",Thermal!$G195,IF(F172="Refrig 2",Thermal!$G196,IF(F172="Refrig 3",Thermal!$G197,Thermal!$G198)))*IF(F62=2,1.5,IF(F62=3,2,1)))</f>
        <v>2.8</v>
      </c>
      <c r="G175" s="142">
        <f ca="1">IF(G53="CA",0,IF(G172="Refrig 1",Thermal!$G195,IF(G172="Refrig 2",Thermal!$G196,IF(G172="Refrig 3",Thermal!$G197,Thermal!$G198)))*IF(G62=2,1.5,IF(G62=3,2,1)))</f>
        <v>2.8</v>
      </c>
      <c r="H175" s="142">
        <f ca="1">IF(H53="CA",0,IF(H172="Refrig 1",Thermal!$G195,IF(H172="Refrig 2",Thermal!$G196,IF(H172="Refrig 3",Thermal!$G197,Thermal!$G198)))*IF(H62=2,1.5,IF(H62=3,2,1)))</f>
        <v>2.8</v>
      </c>
      <c r="I175" s="142">
        <f ca="1">IF(I53="CA",0,IF(I172="Refrig 1",Thermal!$G195,IF(I172="Refrig 2",Thermal!$G196,IF(I172="Refrig 3",Thermal!$G197,Thermal!$G198)))*IF(I62=2,1.5,IF(I62=3,2,1)))</f>
        <v>4.1999999999999993</v>
      </c>
      <c r="J175" s="142">
        <f ca="1">IF(J53="CA",0,IF(J172="Refrig 1",Thermal!$G195,IF(J172="Refrig 2",Thermal!$G196,IF(J172="Refrig 3",Thermal!$G197,Thermal!$G198)))*IF(J62=2,1.5,IF(J62=3,2,1)))</f>
        <v>4.1999999999999993</v>
      </c>
    </row>
    <row r="176" spans="1:10" ht="15.75">
      <c r="A176" s="19" t="s">
        <v>207</v>
      </c>
      <c r="D176" s="3"/>
      <c r="F176" s="6"/>
      <c r="G176" s="6"/>
      <c r="H176" s="6"/>
      <c r="I176" s="6"/>
      <c r="J176" s="6"/>
    </row>
    <row r="177" spans="1:10">
      <c r="A177" s="321" t="s">
        <v>816</v>
      </c>
      <c r="D177" s="328"/>
      <c r="F177" s="324">
        <v>300</v>
      </c>
      <c r="G177" s="324">
        <v>300</v>
      </c>
      <c r="H177" s="324">
        <v>300</v>
      </c>
      <c r="I177" s="324">
        <v>300</v>
      </c>
      <c r="J177" s="324">
        <v>300</v>
      </c>
    </row>
    <row r="178" spans="1:10">
      <c r="A178" s="321" t="s">
        <v>817</v>
      </c>
      <c r="B178" s="7"/>
      <c r="C178" s="7"/>
      <c r="D178" s="9"/>
      <c r="E178" s="7"/>
      <c r="F178" s="390">
        <f>F177/F62</f>
        <v>300</v>
      </c>
      <c r="G178" s="390">
        <f t="shared" ref="G178:J178" si="76">G177/G62</f>
        <v>300</v>
      </c>
      <c r="H178" s="390">
        <f t="shared" si="76"/>
        <v>300</v>
      </c>
      <c r="I178" s="390">
        <f t="shared" si="76"/>
        <v>150</v>
      </c>
      <c r="J178" s="390">
        <f t="shared" si="76"/>
        <v>150</v>
      </c>
    </row>
    <row r="179" spans="1:10">
      <c r="A179" s="321" t="s">
        <v>743</v>
      </c>
      <c r="B179" s="7"/>
      <c r="C179" s="7"/>
      <c r="D179" s="9"/>
      <c r="E179" s="7"/>
      <c r="F179" s="154">
        <v>50</v>
      </c>
      <c r="G179" s="154">
        <v>50</v>
      </c>
      <c r="H179" s="154">
        <v>50</v>
      </c>
      <c r="I179" s="154">
        <v>50</v>
      </c>
      <c r="J179" s="154">
        <v>50</v>
      </c>
    </row>
    <row r="180" spans="1:10">
      <c r="A180" s="7" t="s">
        <v>208</v>
      </c>
      <c r="B180" s="7"/>
      <c r="C180" s="7"/>
      <c r="D180" s="9"/>
      <c r="E180" s="7"/>
      <c r="F180" s="172">
        <f>Chem!$E56</f>
        <v>85</v>
      </c>
      <c r="G180" s="172">
        <f>Chem!$E56</f>
        <v>85</v>
      </c>
      <c r="H180" s="172">
        <f>Chem!$E56</f>
        <v>85</v>
      </c>
      <c r="I180" s="172">
        <f>Chem!$E56</f>
        <v>85</v>
      </c>
      <c r="J180" s="172">
        <f>Chem!$E56</f>
        <v>85</v>
      </c>
    </row>
    <row r="181" spans="1:10">
      <c r="A181" s="321" t="s">
        <v>209</v>
      </c>
      <c r="F181" s="21">
        <f ca="1">F136*F180/100/F178*1000</f>
        <v>100.00000000000054</v>
      </c>
      <c r="G181" s="21">
        <f t="shared" ref="G181:J181" ca="1" si="77">G136*G180/100/G178*1000</f>
        <v>100.00000000000098</v>
      </c>
      <c r="H181" s="21">
        <f t="shared" ca="1" si="77"/>
        <v>100.00000000000097</v>
      </c>
      <c r="I181" s="21">
        <f t="shared" ca="1" si="77"/>
        <v>100.00000000000045</v>
      </c>
      <c r="J181" s="21">
        <f t="shared" ca="1" si="77"/>
        <v>100.00000000000045</v>
      </c>
    </row>
    <row r="182" spans="1:10" ht="15.75">
      <c r="A182" s="19" t="s">
        <v>896</v>
      </c>
      <c r="E182" s="350"/>
      <c r="F182" s="271"/>
      <c r="G182" s="271"/>
      <c r="H182" s="271"/>
      <c r="I182" s="271"/>
      <c r="J182" s="271"/>
    </row>
    <row r="183" spans="1:10">
      <c r="A183" s="63" t="s">
        <v>357</v>
      </c>
      <c r="B183" s="47"/>
      <c r="C183" s="47"/>
      <c r="D183" s="7"/>
      <c r="E183" s="7"/>
      <c r="F183" s="194"/>
      <c r="G183" s="194"/>
      <c r="H183" s="194"/>
      <c r="I183" s="194"/>
      <c r="J183" s="194"/>
    </row>
    <row r="184" spans="1:10">
      <c r="A184" s="63" t="s">
        <v>897</v>
      </c>
      <c r="B184" s="47"/>
      <c r="C184" s="47"/>
      <c r="D184" s="7"/>
      <c r="E184" s="7"/>
      <c r="F184" s="218"/>
      <c r="G184" s="218"/>
      <c r="H184" s="218"/>
      <c r="I184" s="218"/>
      <c r="J184" s="218"/>
    </row>
    <row r="185" spans="1:10">
      <c r="A185" s="5" t="s">
        <v>898</v>
      </c>
      <c r="B185" s="7"/>
      <c r="C185" s="7"/>
      <c r="D185" s="7"/>
      <c r="E185" s="351"/>
      <c r="F185" s="219"/>
      <c r="G185" s="219"/>
      <c r="H185" s="219"/>
      <c r="I185" s="219"/>
      <c r="J185" s="219"/>
    </row>
    <row r="186" spans="1:10">
      <c r="A186" s="5" t="s">
        <v>365</v>
      </c>
      <c r="B186" s="7"/>
      <c r="C186" s="7"/>
      <c r="D186" s="7"/>
      <c r="E186" s="7"/>
      <c r="F186" s="220">
        <v>100</v>
      </c>
      <c r="G186" s="220">
        <v>100</v>
      </c>
      <c r="H186" s="220">
        <v>100</v>
      </c>
      <c r="I186" s="220">
        <v>100</v>
      </c>
      <c r="J186" s="220">
        <v>100</v>
      </c>
    </row>
    <row r="187" spans="1:10">
      <c r="A187" s="321" t="s">
        <v>719</v>
      </c>
      <c r="B187" s="7"/>
      <c r="C187" s="7"/>
      <c r="D187" s="7"/>
      <c r="E187" s="7"/>
      <c r="F187" s="353">
        <f>IF(F184&gt;0,F184,IF(F185&gt;0,F185*1000/F64*F57*F61/F43,F186*F178/F180*100/F64*F57*F61/F43))</f>
        <v>73.529411764705884</v>
      </c>
      <c r="G187" s="353">
        <f>IF(G184&gt;0,G184,IF(G185&gt;0,G185*1000/G64*G57*G61/G43,G186*G178/G180*100/G64*G57*G61/G43))</f>
        <v>73.529411764705884</v>
      </c>
      <c r="H187" s="353">
        <f>IF(H184&gt;0,H184,IF(H185&gt;0,H185*1000/H64*H57*H61/H43,H186*H178/H180*100/H64*H57*H61/H43))</f>
        <v>73.529411764705884</v>
      </c>
      <c r="I187" s="353">
        <f>IF(I184&gt;0,I184,IF(I185&gt;0,I185*1000/I64*I57*I61/I43,I186*I178/I180*100/I64*I57*I61/I43))</f>
        <v>36.764705882352942</v>
      </c>
      <c r="J187" s="353">
        <f>IF(J184&gt;0,J184,IF(J185&gt;0,J185*1000/J64*J57*J61/J43,J186*J178/J180*100/J64*J57*J61/J43))</f>
        <v>36.764705882352942</v>
      </c>
    </row>
    <row r="188" spans="1:10">
      <c r="A188" s="7" t="s">
        <v>18</v>
      </c>
      <c r="F188" s="71">
        <f ca="1">IF(F193=0,F187,IF(F184&gt;0,F184,IF(F185&gt;0,IF(F136=F185,F189,F189-F192*(F136-F185)),IF(F181=F186,F189,F189-F192*(F181-F186)))))</f>
        <v>75.036279629692018</v>
      </c>
      <c r="G188" s="71">
        <f ca="1">IF(G193=0,G187,IF(G184&gt;0,G184,IF(G185&gt;0,IF(G136=G185,G189,G189-G192*(G136-G185)),IF(G181=G186,G189,G189-G192*(G181-G186)))))</f>
        <v>76.591077099912468</v>
      </c>
      <c r="H188" s="71">
        <f ca="1">IF(H193=0,H187,IF(H184&gt;0,H184,IF(H185&gt;0,IF(H136=H185,H189,H189-H192*(H136-H185)),IF(H181=H186,H189,H189-H192*(H181-H186)))))</f>
        <v>76.506964483618034</v>
      </c>
      <c r="I188" s="71">
        <f ca="1">IF(I193=0,I187,IF(I184&gt;0,I184,IF(I185&gt;0,IF(I136=I185,I189,I189-I192*(I136-I185)),IF(I181=I186,I189,I189-I192*(I181-I186)))))</f>
        <v>37.494106182681563</v>
      </c>
      <c r="J188" s="71">
        <f ca="1">IF(J193=0,J187,IF(J184&gt;0,J184,IF(J185&gt;0,IF(J136=J185,J189,J189-J192*(J136-J185)),IF(J181=J186,J189,J189-J192*(J181-J186)))))</f>
        <v>37.494106182681563</v>
      </c>
    </row>
    <row r="189" spans="1:10">
      <c r="A189" s="7" t="s">
        <v>284</v>
      </c>
      <c r="F189" s="71">
        <f ca="1">F188</f>
        <v>75.036279629692018</v>
      </c>
      <c r="G189" s="71">
        <f ca="1">G188</f>
        <v>76.591077099912468</v>
      </c>
      <c r="H189" s="71">
        <f ca="1">H188</f>
        <v>76.506964483618034</v>
      </c>
      <c r="I189" s="71">
        <f ca="1">I188</f>
        <v>37.494106182681563</v>
      </c>
      <c r="J189" s="71">
        <f ca="1">J188</f>
        <v>37.494106182681563</v>
      </c>
    </row>
    <row r="190" spans="1:10">
      <c r="A190" s="7" t="s">
        <v>286</v>
      </c>
      <c r="F190" s="6">
        <f ca="1">IF(F193=0,F187/F57/F37/F101*10000,IF(F98=F191,F191,F191+F192*(F98-F191)))</f>
        <v>84.051030266486592</v>
      </c>
      <c r="G190" s="6">
        <f ca="1">IF(G193=0,G187/G57/G37/G101*10000,IF(G98=G191,G191,G191+G192*(G98-G191)))</f>
        <v>84.051030266476801</v>
      </c>
      <c r="H190" s="6">
        <f ca="1">IF(H193=0,H187/H57/H37/H101*10000,IF(H98=H191,H191,H191+H192*(H98-H191)))</f>
        <v>84.05103026647825</v>
      </c>
      <c r="I190" s="6">
        <f ca="1">IF(I193=0,I187/I57/I37/I101*10000,IF(I98=I191,I191,I191+I192*(I98-I191)))</f>
        <v>84.051030266510367</v>
      </c>
      <c r="J190" s="6">
        <f ca="1">IF(J193=0,J187/J57/J37/J101*10000,IF(J98=J191,J191,J191+J192*(J98-J191)))</f>
        <v>84.051030266510367</v>
      </c>
    </row>
    <row r="191" spans="1:10">
      <c r="A191" s="7" t="s">
        <v>287</v>
      </c>
      <c r="F191" s="6">
        <f ca="1">F190</f>
        <v>84.051030266486592</v>
      </c>
      <c r="G191" s="6">
        <f ca="1">G190</f>
        <v>84.051030266476801</v>
      </c>
      <c r="H191" s="6">
        <f ca="1">H190</f>
        <v>84.05103026647825</v>
      </c>
      <c r="I191" s="6">
        <f ca="1">I190</f>
        <v>84.051030266510367</v>
      </c>
      <c r="J191" s="6">
        <f ca="1">J190</f>
        <v>84.051030266510367</v>
      </c>
    </row>
    <row r="192" spans="1:10">
      <c r="A192" s="7" t="s">
        <v>285</v>
      </c>
      <c r="F192" s="21">
        <v>0.3</v>
      </c>
      <c r="G192" s="21">
        <f>IF(OR(G52="EV",G52="PHEV"),0.3,1)</f>
        <v>0.3</v>
      </c>
      <c r="H192" s="21">
        <f>IF(OR(H52="EV",H52="PHEV"),0.3,1)</f>
        <v>0.3</v>
      </c>
      <c r="I192" s="21">
        <f>IF(OR(I52="EV",I52="PHEV"),0.3,1)</f>
        <v>0.3</v>
      </c>
      <c r="J192" s="21">
        <f>IF(OR(J52="EV",J52="PHEV"),0.3,1)</f>
        <v>0.3</v>
      </c>
    </row>
    <row r="193" spans="1:11">
      <c r="A193" s="7"/>
      <c r="E193" s="5" t="s">
        <v>367</v>
      </c>
      <c r="F193" s="8">
        <v>1</v>
      </c>
      <c r="G193" s="8">
        <f>F193</f>
        <v>1</v>
      </c>
      <c r="H193" s="352">
        <f>G193</f>
        <v>1</v>
      </c>
      <c r="I193" s="352">
        <f>H193</f>
        <v>1</v>
      </c>
      <c r="J193" s="352">
        <f>I193</f>
        <v>1</v>
      </c>
    </row>
    <row r="194" spans="1:11">
      <c r="H194" s="71"/>
    </row>
    <row r="195" spans="1:11">
      <c r="E195" s="210" t="s">
        <v>908</v>
      </c>
      <c r="F195" s="4"/>
      <c r="G195" s="4"/>
      <c r="H195" s="4"/>
      <c r="I195" s="4"/>
      <c r="J195" s="4"/>
    </row>
    <row r="196" spans="1:11">
      <c r="E196" s="335" t="s">
        <v>909</v>
      </c>
      <c r="F196" s="6">
        <f>'Summary of Results'!F17</f>
        <v>120</v>
      </c>
      <c r="G196" s="6">
        <f>'Summary of Results'!G17</f>
        <v>120</v>
      </c>
      <c r="H196" s="6">
        <f>'Summary of Results'!H17</f>
        <v>120</v>
      </c>
      <c r="I196" s="6">
        <f>'Summary of Results'!I17</f>
        <v>120</v>
      </c>
      <c r="J196" s="6">
        <f>'Summary of Results'!J17</f>
        <v>120</v>
      </c>
    </row>
    <row r="197" spans="1:11">
      <c r="E197" s="335" t="s">
        <v>910</v>
      </c>
      <c r="F197" s="4">
        <f ca="1">'Summary of Results'!F9</f>
        <v>35.294117647058989</v>
      </c>
      <c r="G197" s="4">
        <f ca="1">'Summary of Results'!G9</f>
        <v>35.294117647059309</v>
      </c>
      <c r="H197" s="4">
        <f ca="1">'Summary of Results'!H9</f>
        <v>35.294117647059309</v>
      </c>
      <c r="I197" s="4">
        <f ca="1">'Summary of Results'!I9</f>
        <v>35.294117647058982</v>
      </c>
      <c r="J197" s="4">
        <f ca="1">'Summary of Results'!J9</f>
        <v>35.294117647058982</v>
      </c>
    </row>
    <row r="198" spans="1:11">
      <c r="E198" s="335" t="s">
        <v>911</v>
      </c>
      <c r="F198" s="4">
        <f ca="1">'Summary of Results'!F74</f>
        <v>7799.9592247935952</v>
      </c>
      <c r="G198" s="4">
        <f ca="1">'Summary of Results'!G74</f>
        <v>8563.4640023830143</v>
      </c>
      <c r="H198" s="4">
        <f ca="1">'Summary of Results'!H74</f>
        <v>9178.1932346146041</v>
      </c>
      <c r="I198" s="4">
        <f ca="1">'Summary of Results'!I74</f>
        <v>9297.221162965805</v>
      </c>
      <c r="J198" s="4">
        <f ca="1">'Summary of Results'!J74</f>
        <v>9297.221162965805</v>
      </c>
    </row>
    <row r="199" spans="1:11">
      <c r="E199" s="335" t="s">
        <v>503</v>
      </c>
      <c r="F199" s="4">
        <f ca="1">'Summary of Results'!F18</f>
        <v>209.81782759933611</v>
      </c>
      <c r="G199" s="4">
        <f ca="1">'Summary of Results'!G18</f>
        <v>228.52139262628162</v>
      </c>
      <c r="H199" s="4">
        <f ca="1">'Summary of Results'!H18</f>
        <v>226.21390906392696</v>
      </c>
      <c r="I199" s="4">
        <f ca="1">'Summary of Results'!I18</f>
        <v>224.90256655012655</v>
      </c>
      <c r="J199" s="4">
        <f ca="1">'Summary of Results'!J18</f>
        <v>224.90256655012655</v>
      </c>
    </row>
    <row r="200" spans="1:11">
      <c r="E200" s="335" t="s">
        <v>449</v>
      </c>
      <c r="F200" s="4">
        <f ca="1">'Summary of Results'!F19</f>
        <v>123.46993745686332</v>
      </c>
      <c r="G200" s="4">
        <f ca="1">'Summary of Results'!G19</f>
        <v>128.63802272189665</v>
      </c>
      <c r="H200" s="4">
        <f ca="1">'Summary of Results'!H19</f>
        <v>135.72628380278459</v>
      </c>
      <c r="I200" s="4">
        <f ca="1">'Summary of Results'!I19</f>
        <v>141.22276905199834</v>
      </c>
      <c r="J200" s="4">
        <f ca="1">'Summary of Results'!J19</f>
        <v>141.22276905199834</v>
      </c>
    </row>
    <row r="201" spans="1:11">
      <c r="E201" s="335" t="s">
        <v>720</v>
      </c>
      <c r="F201" s="4">
        <f ca="1">F197*1000/F199</f>
        <v>168.21314971602854</v>
      </c>
      <c r="G201" s="4">
        <f t="shared" ref="G201:J201" ca="1" si="78">G197*1000/G199</f>
        <v>154.44557396330268</v>
      </c>
      <c r="H201" s="4">
        <f t="shared" ca="1" si="78"/>
        <v>156.0209882456227</v>
      </c>
      <c r="I201" s="4">
        <f t="shared" ca="1" si="78"/>
        <v>156.9307019855311</v>
      </c>
      <c r="J201" s="4">
        <f t="shared" ca="1" si="78"/>
        <v>156.9307019855311</v>
      </c>
    </row>
    <row r="202" spans="1:11">
      <c r="E202" s="335" t="s">
        <v>912</v>
      </c>
      <c r="F202" s="4">
        <f ca="1">F197*1000/F200</f>
        <v>285.85191159904565</v>
      </c>
      <c r="G202" s="4">
        <f t="shared" ref="G202:J202" ca="1" si="79">G197*1000/G200</f>
        <v>274.36769393884333</v>
      </c>
      <c r="H202" s="4">
        <f t="shared" ca="1" si="79"/>
        <v>260.03893025129162</v>
      </c>
      <c r="I202" s="4">
        <f t="shared" ca="1" si="79"/>
        <v>249.91804001565541</v>
      </c>
      <c r="J202" s="4">
        <f t="shared" ca="1" si="79"/>
        <v>249.91804001565541</v>
      </c>
    </row>
    <row r="203" spans="1:11">
      <c r="E203" s="335" t="s">
        <v>476</v>
      </c>
      <c r="F203" s="4">
        <f ca="1">F198/F197</f>
        <v>220.99884470248415</v>
      </c>
      <c r="G203" s="4">
        <f t="shared" ref="G203:J203" ca="1" si="80">G198/G197</f>
        <v>242.63148006751541</v>
      </c>
      <c r="H203" s="4">
        <f t="shared" ca="1" si="80"/>
        <v>260.04880831407689</v>
      </c>
      <c r="I203" s="4">
        <f t="shared" ca="1" si="80"/>
        <v>263.42126628402997</v>
      </c>
      <c r="J203" s="4">
        <f t="shared" ca="1" si="80"/>
        <v>263.42126628402997</v>
      </c>
    </row>
    <row r="204" spans="1:11">
      <c r="F204" s="4"/>
      <c r="G204" s="4"/>
      <c r="H204" s="4"/>
      <c r="I204" s="4"/>
      <c r="J204" s="4"/>
    </row>
    <row r="205" spans="1:11">
      <c r="F205" s="21"/>
      <c r="G205" s="21"/>
      <c r="H205" s="21"/>
      <c r="I205" s="21"/>
      <c r="J205" s="21"/>
    </row>
    <row r="206" spans="1:11">
      <c r="F206" s="4"/>
      <c r="G206" s="4"/>
      <c r="H206" s="4"/>
      <c r="I206" s="4"/>
      <c r="J206" s="4"/>
      <c r="K206" s="167"/>
    </row>
    <row r="207" spans="1:11">
      <c r="F207" s="4"/>
      <c r="G207" s="4"/>
      <c r="H207" s="4"/>
      <c r="I207" s="4"/>
      <c r="J207" s="4"/>
    </row>
    <row r="208" spans="1:11">
      <c r="F208" s="4"/>
      <c r="G208" s="4"/>
      <c r="H208" s="4"/>
      <c r="I208" s="4"/>
      <c r="J208" s="4"/>
    </row>
    <row r="209" spans="6:10">
      <c r="F209" s="21"/>
      <c r="G209" s="21"/>
      <c r="H209" s="21"/>
      <c r="I209" s="21"/>
      <c r="J209" s="21"/>
    </row>
  </sheetData>
  <mergeCells count="4">
    <mergeCell ref="A1:J1"/>
    <mergeCell ref="A2:J2"/>
    <mergeCell ref="A72:J72"/>
    <mergeCell ref="A73:J73"/>
  </mergeCells>
  <phoneticPr fontId="5" type="noConversion"/>
  <pageMargins left="0.5" right="0.5" top="0.75" bottom="0.5" header="0.5" footer="0.5"/>
  <pageSetup scale="81" orientation="portrait" verticalDpi="300" r:id="rId1"/>
  <headerFooter alignWithMargins="0">
    <oddFooter>&amp;C &amp;P&amp;R&amp;D</oddFooter>
  </headerFooter>
  <rowBreaks count="3" manualBreakCount="3">
    <brk id="71" max="9" man="1"/>
    <brk id="133" max="9" man="1"/>
    <brk id="192" max="9" man="1"/>
  </rowBreaks>
</worksheet>
</file>

<file path=xl/worksheets/sheet4.xml><?xml version="1.0" encoding="utf-8"?>
<worksheet xmlns="http://schemas.openxmlformats.org/spreadsheetml/2006/main" xmlns:r="http://schemas.openxmlformats.org/officeDocument/2006/relationships">
  <sheetPr enableFormatConditionsCalculation="0">
    <tabColor indexed="44"/>
    <pageSetUpPr fitToPage="1"/>
  </sheetPr>
  <dimension ref="A1:R118"/>
  <sheetViews>
    <sheetView zoomScaleNormal="100" workbookViewId="0">
      <selection activeCell="F5" sqref="F5"/>
    </sheetView>
  </sheetViews>
  <sheetFormatPr defaultRowHeight="12.75"/>
  <cols>
    <col min="1" max="1" width="9" customWidth="1"/>
    <col min="2" max="2" width="8.42578125" customWidth="1"/>
    <col min="3" max="3" width="8.5703125" customWidth="1"/>
    <col min="4" max="4" width="9.7109375" customWidth="1"/>
    <col min="5" max="5" width="10" customWidth="1"/>
    <col min="6" max="10" width="10.7109375" customWidth="1"/>
    <col min="11" max="11" width="10.5703125" customWidth="1"/>
    <col min="16" max="16" width="3.85546875" customWidth="1"/>
    <col min="17" max="21" width="12.7109375" customWidth="1"/>
  </cols>
  <sheetData>
    <row r="1" spans="1:10" ht="15.75">
      <c r="A1" s="425" t="s">
        <v>182</v>
      </c>
      <c r="B1" s="425"/>
      <c r="C1" s="425"/>
      <c r="D1" s="425"/>
      <c r="E1" s="425"/>
      <c r="F1" s="425"/>
      <c r="G1" s="425"/>
      <c r="H1" s="425"/>
      <c r="I1" s="425"/>
      <c r="J1" s="425"/>
    </row>
    <row r="2" spans="1:10" ht="15.75">
      <c r="A2" s="427" t="str">
        <f>'Battery Design'!A2:J2</f>
        <v>Li1.05(Ni4/9Mn4/9Co1/9)0.95O2-Graphite</v>
      </c>
      <c r="B2" s="425"/>
      <c r="C2" s="425"/>
      <c r="D2" s="425"/>
      <c r="E2" s="425"/>
      <c r="F2" s="425"/>
      <c r="G2" s="425"/>
      <c r="H2" s="425"/>
      <c r="I2" s="425"/>
      <c r="J2" s="425"/>
    </row>
    <row r="3" spans="1:10">
      <c r="A3" s="60"/>
      <c r="B3" s="60"/>
      <c r="C3" s="60"/>
      <c r="D3" s="60"/>
      <c r="E3" s="60"/>
      <c r="F3" s="61" t="s">
        <v>0</v>
      </c>
      <c r="G3" s="61" t="s">
        <v>1</v>
      </c>
      <c r="H3" s="61" t="s">
        <v>2</v>
      </c>
      <c r="I3" s="61" t="s">
        <v>3</v>
      </c>
      <c r="J3" s="61" t="s">
        <v>4</v>
      </c>
    </row>
    <row r="4" spans="1:10" ht="15.75">
      <c r="A4" s="19" t="s">
        <v>37</v>
      </c>
      <c r="F4" s="3"/>
      <c r="G4" s="3"/>
      <c r="H4" s="3"/>
      <c r="I4" s="3"/>
      <c r="J4" s="57"/>
    </row>
    <row r="5" spans="1:10">
      <c r="A5" t="s">
        <v>209</v>
      </c>
      <c r="D5" s="3"/>
      <c r="F5" s="134">
        <f ca="1">'Battery Design'!F181</f>
        <v>100.00000000000054</v>
      </c>
      <c r="G5" s="134">
        <f ca="1">'Battery Design'!G181</f>
        <v>100.00000000000098</v>
      </c>
      <c r="H5" s="134">
        <f ca="1">'Battery Design'!H181</f>
        <v>100.00000000000097</v>
      </c>
      <c r="I5" s="134">
        <f ca="1">'Battery Design'!I181</f>
        <v>100.00000000000045</v>
      </c>
      <c r="J5" s="134">
        <f ca="1">'Battery Design'!J181</f>
        <v>100.00000000000045</v>
      </c>
    </row>
    <row r="6" spans="1:10">
      <c r="A6" s="321" t="s">
        <v>820</v>
      </c>
      <c r="F6" s="258">
        <f>'Battery Design'!F62</f>
        <v>1</v>
      </c>
      <c r="G6" s="258">
        <f>'Battery Design'!G62</f>
        <v>1</v>
      </c>
      <c r="H6" s="258">
        <f>'Battery Design'!H62</f>
        <v>1</v>
      </c>
      <c r="I6" s="258">
        <f>'Battery Design'!I62</f>
        <v>2</v>
      </c>
      <c r="J6" s="258">
        <f>'Battery Design'!J62</f>
        <v>2</v>
      </c>
    </row>
    <row r="7" spans="1:10">
      <c r="A7" s="321" t="s">
        <v>824</v>
      </c>
      <c r="F7" s="391" t="str">
        <f>IF(F6=1," ",IF('Battery Design'!F63="P","parallel",IF('Battery Design'!F63="S","series"," ")))</f>
        <v xml:space="preserve"> </v>
      </c>
      <c r="G7" s="391" t="str">
        <f>IF(G6=1," ",IF('Battery Design'!G63="P","parallel",IF('Battery Design'!G63="S","series"," ")))</f>
        <v xml:space="preserve"> </v>
      </c>
      <c r="H7" s="391" t="str">
        <f>IF(H6=1," ",IF('Battery Design'!H63="P","parallel",IF('Battery Design'!H63="S","series"," ")))</f>
        <v xml:space="preserve"> </v>
      </c>
      <c r="I7" s="391" t="str">
        <f>IF(I6=1," ",IF('Battery Design'!I63="P","parallel",IF('Battery Design'!I63="S","series"," ")))</f>
        <v>parallel</v>
      </c>
      <c r="J7" s="391" t="str">
        <f>IF(J6=1," ",IF('Battery Design'!J63="P","parallel",IF('Battery Design'!J63="S","series"," ")))</f>
        <v>series</v>
      </c>
    </row>
    <row r="8" spans="1:10">
      <c r="A8" t="s">
        <v>872</v>
      </c>
      <c r="F8" s="135">
        <f>'Battery Design'!F64</f>
        <v>128</v>
      </c>
      <c r="G8" s="135">
        <f>'Battery Design'!G64</f>
        <v>256</v>
      </c>
      <c r="H8" s="135">
        <f>'Battery Design'!H64</f>
        <v>256</v>
      </c>
      <c r="I8" s="135">
        <f>'Battery Design'!I64</f>
        <v>128</v>
      </c>
      <c r="J8" s="135">
        <f>'Battery Design'!J64</f>
        <v>128</v>
      </c>
    </row>
    <row r="9" spans="1:10">
      <c r="A9" s="321" t="s">
        <v>821</v>
      </c>
      <c r="F9" s="134">
        <f ca="1">'Battery Design'!F136*F6</f>
        <v>35.294117647059018</v>
      </c>
      <c r="G9" s="134">
        <f ca="1">'Battery Design'!G136*G6</f>
        <v>35.294117647059167</v>
      </c>
      <c r="H9" s="134">
        <f ca="1">'Battery Design'!H136*H6</f>
        <v>35.29411764705916</v>
      </c>
      <c r="I9" s="134">
        <f ca="1">'Battery Design'!I136*I6</f>
        <v>35.294117647058982</v>
      </c>
      <c r="J9" s="134">
        <f ca="1">'Battery Design'!J136*J6</f>
        <v>35.294117647058982</v>
      </c>
    </row>
    <row r="10" spans="1:10">
      <c r="A10" s="321" t="s">
        <v>707</v>
      </c>
      <c r="F10" s="134">
        <f ca="1">'Battery Design'!F78</f>
        <v>75.036279629692174</v>
      </c>
      <c r="G10" s="134">
        <f ca="1">'Battery Design'!G78</f>
        <v>38.295538549956383</v>
      </c>
      <c r="H10" s="134">
        <f ca="1">'Battery Design'!H78</f>
        <v>38.253482241809159</v>
      </c>
      <c r="I10" s="134">
        <f ca="1">'Battery Design'!I78</f>
        <v>37.494106182681563</v>
      </c>
      <c r="J10" s="134">
        <f ca="1">'Battery Design'!J78</f>
        <v>37.494106182681563</v>
      </c>
    </row>
    <row r="11" spans="1:10">
      <c r="A11" s="321" t="s">
        <v>870</v>
      </c>
      <c r="F11" s="134">
        <f ca="1">'Battery Design'!F77</f>
        <v>75.036279629692174</v>
      </c>
      <c r="G11" s="134">
        <f ca="1">'Battery Design'!G77</f>
        <v>76.591077099912766</v>
      </c>
      <c r="H11" s="134">
        <f ca="1">'Battery Design'!H77</f>
        <v>38.253482241809159</v>
      </c>
      <c r="I11" s="134">
        <f ca="1">'Battery Design'!I77</f>
        <v>37.494106182681563</v>
      </c>
      <c r="J11" s="134">
        <f ca="1">'Battery Design'!J77</f>
        <v>37.494106182681563</v>
      </c>
    </row>
    <row r="12" spans="1:10">
      <c r="A12" s="321" t="s">
        <v>866</v>
      </c>
      <c r="F12" s="134">
        <f ca="1">'Battery Design'!F115</f>
        <v>75.036279629692174</v>
      </c>
      <c r="G12" s="134">
        <f ca="1">'Battery Design'!G115</f>
        <v>76.591077099912766</v>
      </c>
      <c r="H12" s="134">
        <f ca="1">'Battery Design'!H115</f>
        <v>38.253482241809159</v>
      </c>
      <c r="I12" s="134">
        <f ca="1">'Battery Design'!I115</f>
        <v>37.494106182681563</v>
      </c>
      <c r="J12" s="134">
        <f ca="1">'Battery Design'!J115</f>
        <v>37.494106182681563</v>
      </c>
    </row>
    <row r="13" spans="1:10">
      <c r="A13" s="321" t="s">
        <v>839</v>
      </c>
      <c r="F13" s="134">
        <f ca="1">'Battery Design'!F135</f>
        <v>75.036279629692174</v>
      </c>
      <c r="G13" s="134">
        <f ca="1">'Battery Design'!G135</f>
        <v>76.591077099912766</v>
      </c>
      <c r="H13" s="134">
        <f ca="1">'Battery Design'!H135</f>
        <v>76.506964483618319</v>
      </c>
      <c r="I13" s="134">
        <f ca="1">'Battery Design'!I135</f>
        <v>37.494106182681563</v>
      </c>
      <c r="J13" s="134">
        <f ca="1">'Battery Design'!J135</f>
        <v>37.494106182681563</v>
      </c>
    </row>
    <row r="14" spans="1:10">
      <c r="A14" s="321" t="s">
        <v>837</v>
      </c>
      <c r="F14" s="134">
        <f ca="1">IF(F7="parallel",F6*F13,F13)</f>
        <v>75.036279629692174</v>
      </c>
      <c r="G14" s="134">
        <f ca="1">IF(G7="parallel",G6*G13,G13)</f>
        <v>76.591077099912766</v>
      </c>
      <c r="H14" s="134">
        <f ca="1">IF(H7="parallel",H6*H13,H13)</f>
        <v>76.506964483618319</v>
      </c>
      <c r="I14" s="134">
        <f ca="1">IF(I7="parallel",I6*I13,I13)</f>
        <v>74.988212365363125</v>
      </c>
      <c r="J14" s="134">
        <f ca="1">IF(J7="parallel",J6*J13,J13)</f>
        <v>37.494106182681563</v>
      </c>
    </row>
    <row r="15" spans="1:10">
      <c r="A15" s="321" t="s">
        <v>825</v>
      </c>
      <c r="F15" s="135">
        <f>'Battery Design'!F139*IF('Battery Design'!F63="S",'Battery Design'!F62,1)</f>
        <v>480</v>
      </c>
      <c r="G15" s="135">
        <f>'Battery Design'!G139*IF('Battery Design'!G63="S",'Battery Design'!G62,1)</f>
        <v>480</v>
      </c>
      <c r="H15" s="135">
        <f>'Battery Design'!H139*IF('Battery Design'!H63="S",'Battery Design'!H62,1)</f>
        <v>480</v>
      </c>
      <c r="I15" s="135">
        <f>'Battery Design'!I139*IF('Battery Design'!I63="S",'Battery Design'!I62,1)</f>
        <v>480</v>
      </c>
      <c r="J15" s="135">
        <f>'Battery Design'!J139*IF('Battery Design'!J63="S",'Battery Design'!J62,1)</f>
        <v>960</v>
      </c>
    </row>
    <row r="16" spans="1:10">
      <c r="A16" s="321" t="s">
        <v>822</v>
      </c>
      <c r="F16" s="134">
        <f ca="1">'Battery Design'!F140*F6</f>
        <v>163.31543449734161</v>
      </c>
      <c r="G16" s="134">
        <f ca="1">'Battery Design'!G140*G6</f>
        <v>168.15637200893477</v>
      </c>
      <c r="H16" s="134">
        <f ca="1">'Battery Design'!H140*H6</f>
        <v>176.34713763705139</v>
      </c>
      <c r="I16" s="134">
        <f ca="1">'Battery Design'!I140*I6</f>
        <v>172.90226978213667</v>
      </c>
      <c r="J16" s="134">
        <f ca="1">'Battery Design'!J140*J6</f>
        <v>172.90226978213667</v>
      </c>
    </row>
    <row r="17" spans="1:15">
      <c r="A17" s="321" t="s">
        <v>823</v>
      </c>
      <c r="F17" s="134">
        <f>'Battery Design'!F55*F6</f>
        <v>120</v>
      </c>
      <c r="G17" s="134">
        <f>'Battery Design'!G55*G6</f>
        <v>120</v>
      </c>
      <c r="H17" s="134">
        <f>'Battery Design'!H55*H6</f>
        <v>120</v>
      </c>
      <c r="I17" s="134">
        <f>'Battery Design'!I55*I6</f>
        <v>120</v>
      </c>
      <c r="J17" s="134">
        <f>'Battery Design'!J55*J6</f>
        <v>120</v>
      </c>
    </row>
    <row r="18" spans="1:15">
      <c r="A18" s="321" t="s">
        <v>849</v>
      </c>
      <c r="F18" s="134">
        <f ca="1">'Battery Design'!F168</f>
        <v>209.81782759933643</v>
      </c>
      <c r="G18" s="134">
        <f ca="1">'Battery Design'!G168</f>
        <v>228.52139262628131</v>
      </c>
      <c r="H18" s="134">
        <f ca="1">'Battery Design'!H168</f>
        <v>226.21390906392662</v>
      </c>
      <c r="I18" s="134">
        <f ca="1">'Battery Design'!I168</f>
        <v>224.90256655012683</v>
      </c>
      <c r="J18" s="134">
        <f ca="1">'Battery Design'!J168</f>
        <v>224.90256655012683</v>
      </c>
      <c r="L18" s="134"/>
      <c r="M18" s="134"/>
      <c r="N18" s="134"/>
      <c r="O18" s="134"/>
    </row>
    <row r="19" spans="1:15">
      <c r="A19" s="321" t="s">
        <v>850</v>
      </c>
      <c r="F19" s="134">
        <f ca="1">'Battery Design'!F169</f>
        <v>123.469937456864</v>
      </c>
      <c r="G19" s="134">
        <f ca="1">'Battery Design'!G169</f>
        <v>128.63802272189685</v>
      </c>
      <c r="H19" s="134">
        <f ca="1">'Battery Design'!H169</f>
        <v>135.72628380278482</v>
      </c>
      <c r="I19" s="134">
        <f ca="1">'Battery Design'!I169</f>
        <v>141.2227690519986</v>
      </c>
      <c r="J19" s="134">
        <f ca="1">'Battery Design'!J169</f>
        <v>141.2227690519986</v>
      </c>
      <c r="L19" s="134"/>
      <c r="M19" s="134"/>
      <c r="N19" s="134"/>
      <c r="O19" s="134"/>
    </row>
    <row r="20" spans="1:15">
      <c r="A20" t="s">
        <v>568</v>
      </c>
      <c r="D20" s="3"/>
      <c r="F20" s="134"/>
      <c r="G20" s="134"/>
      <c r="H20" s="134"/>
      <c r="I20" s="134"/>
      <c r="J20" s="134"/>
      <c r="K20" s="392"/>
    </row>
    <row r="21" spans="1:15">
      <c r="A21" t="s">
        <v>447</v>
      </c>
      <c r="D21" s="3"/>
      <c r="F21" s="134">
        <f ca="1">'Battery Design'!F174+'Battery Design'!F165</f>
        <v>11</v>
      </c>
      <c r="G21" s="134">
        <f ca="1">'Battery Design'!G174+'Battery Design'!G165</f>
        <v>11</v>
      </c>
      <c r="H21" s="134">
        <f ca="1">'Battery Design'!H174+'Battery Design'!H165</f>
        <v>11</v>
      </c>
      <c r="I21" s="134">
        <f ca="1">'Battery Design'!I174+'Battery Design'!I165</f>
        <v>16.5</v>
      </c>
      <c r="J21" s="134">
        <f ca="1">'Battery Design'!J174+'Battery Design'!J165</f>
        <v>16.5</v>
      </c>
    </row>
    <row r="22" spans="1:15">
      <c r="A22" t="s">
        <v>448</v>
      </c>
      <c r="D22" s="3"/>
      <c r="F22" s="134">
        <f ca="1">'Battery Design'!F175+'Battery Design'!F175</f>
        <v>5.6</v>
      </c>
      <c r="G22" s="134">
        <f ca="1">'Battery Design'!G175+'Battery Design'!G175</f>
        <v>5.6</v>
      </c>
      <c r="H22" s="134">
        <f ca="1">'Battery Design'!H175+'Battery Design'!H175</f>
        <v>5.6</v>
      </c>
      <c r="I22" s="134">
        <f ca="1">'Battery Design'!I175+'Battery Design'!I175</f>
        <v>8.3999999999999986</v>
      </c>
      <c r="J22" s="134">
        <f ca="1">'Battery Design'!J175+'Battery Design'!J175</f>
        <v>8.3999999999999986</v>
      </c>
    </row>
    <row r="23" spans="1:15">
      <c r="A23" t="s">
        <v>463</v>
      </c>
      <c r="D23" s="3"/>
      <c r="F23" s="135">
        <f ca="1">Thermal!F38</f>
        <v>3082.6705003781794</v>
      </c>
      <c r="G23" s="135">
        <f ca="1">Thermal!G38</f>
        <v>3695.4674715487226</v>
      </c>
      <c r="H23" s="135">
        <f ca="1">Thermal!H38</f>
        <v>3086.8796329372285</v>
      </c>
      <c r="I23" s="135">
        <f ca="1">Thermal!I38</f>
        <v>3064.4221696380459</v>
      </c>
      <c r="J23" s="135">
        <f ca="1">Thermal!J38</f>
        <v>3064.4221696380459</v>
      </c>
    </row>
    <row r="24" spans="1:15" ht="15.75">
      <c r="A24" s="19" t="s">
        <v>87</v>
      </c>
      <c r="B24" s="5"/>
      <c r="C24" s="5"/>
      <c r="D24" s="76"/>
      <c r="E24" s="21"/>
      <c r="F24" s="76"/>
      <c r="G24" s="76"/>
      <c r="H24" s="76"/>
      <c r="I24" s="76"/>
      <c r="J24" s="76"/>
    </row>
    <row r="25" spans="1:15">
      <c r="A25" s="7" t="s">
        <v>177</v>
      </c>
      <c r="B25" s="7"/>
      <c r="C25" s="7"/>
      <c r="D25" s="76"/>
      <c r="E25" s="21"/>
      <c r="F25" s="76">
        <f ca="1">'Manufacturing Cost Calculations'!F257</f>
        <v>265.29567987396007</v>
      </c>
      <c r="G25" s="76">
        <f ca="1">'Manufacturing Cost Calculations'!G257</f>
        <v>344.63693911149261</v>
      </c>
      <c r="H25" s="76">
        <f ca="1">'Manufacturing Cost Calculations'!H257</f>
        <v>349.29645556917399</v>
      </c>
      <c r="I25" s="76">
        <f ca="1">'Manufacturing Cost Calculations'!I257</f>
        <v>342.75561977270667</v>
      </c>
      <c r="J25" s="76">
        <f ca="1">'Manufacturing Cost Calculations'!J257</f>
        <v>342.75561977270667</v>
      </c>
    </row>
    <row r="26" spans="1:15">
      <c r="A26" s="7" t="s">
        <v>185</v>
      </c>
      <c r="B26" s="7"/>
      <c r="C26" s="7"/>
      <c r="D26" s="76"/>
      <c r="E26" s="21"/>
      <c r="F26" s="76"/>
      <c r="G26" s="76"/>
      <c r="H26" s="76"/>
      <c r="I26" s="76"/>
      <c r="J26" s="76"/>
    </row>
    <row r="27" spans="1:15" ht="14.25">
      <c r="A27" s="7" t="s">
        <v>148</v>
      </c>
      <c r="B27" s="7"/>
      <c r="C27" s="7"/>
      <c r="D27" s="76"/>
      <c r="E27" s="21"/>
      <c r="F27" s="76">
        <f ca="1">'Manufacturing Cost Calculations'!F258</f>
        <v>30874.676889595325</v>
      </c>
      <c r="G27" s="76">
        <f ca="1">'Manufacturing Cost Calculations'!G258</f>
        <v>38767.597694996315</v>
      </c>
      <c r="H27" s="76">
        <f ca="1">'Manufacturing Cost Calculations'!H258</f>
        <v>38761.417865410105</v>
      </c>
      <c r="I27" s="76">
        <f ca="1">'Manufacturing Cost Calculations'!I258</f>
        <v>38566.857943495816</v>
      </c>
      <c r="J27" s="76">
        <f ca="1">'Manufacturing Cost Calculations'!J258</f>
        <v>38566.857943495816</v>
      </c>
    </row>
    <row r="28" spans="1:15" ht="14.25">
      <c r="A28" s="7" t="s">
        <v>176</v>
      </c>
      <c r="B28" s="7"/>
      <c r="C28" s="7"/>
      <c r="D28" s="76"/>
      <c r="E28" s="21"/>
      <c r="F28" s="76">
        <f>'Cost Input'!$F55</f>
        <v>3000</v>
      </c>
      <c r="G28" s="76">
        <f>'Cost Input'!$F55</f>
        <v>3000</v>
      </c>
      <c r="H28" s="76">
        <f>'Cost Input'!$F55</f>
        <v>3000</v>
      </c>
      <c r="I28" s="76">
        <f>'Cost Input'!$F55</f>
        <v>3000</v>
      </c>
      <c r="J28" s="76">
        <f>'Cost Input'!$F55</f>
        <v>3000</v>
      </c>
    </row>
    <row r="29" spans="1:15">
      <c r="A29" s="7" t="s">
        <v>186</v>
      </c>
      <c r="B29" s="7"/>
      <c r="C29" s="7"/>
      <c r="D29" s="76"/>
      <c r="E29" s="21"/>
      <c r="F29" s="90">
        <f ca="1">F27*F28/1000000</f>
        <v>92.624030668785977</v>
      </c>
      <c r="G29" s="90">
        <f ca="1">G27*G28/1000000</f>
        <v>116.30279308498895</v>
      </c>
      <c r="H29" s="90">
        <f ca="1">H27*H28/1000000</f>
        <v>116.28425359623031</v>
      </c>
      <c r="I29" s="90">
        <f ca="1">I27*I28/1000000</f>
        <v>115.70057383048744</v>
      </c>
      <c r="J29" s="90">
        <f ca="1">J27*J28/1000000</f>
        <v>115.70057383048744</v>
      </c>
    </row>
    <row r="30" spans="1:15">
      <c r="A30" s="7" t="s">
        <v>149</v>
      </c>
      <c r="B30" s="7"/>
      <c r="C30" s="7"/>
      <c r="D30" s="76"/>
      <c r="E30" s="21"/>
      <c r="F30" s="76"/>
      <c r="G30" s="76"/>
      <c r="H30" s="76"/>
      <c r="I30" s="76"/>
      <c r="J30" s="76"/>
    </row>
    <row r="31" spans="1:15">
      <c r="A31" s="7" t="s">
        <v>150</v>
      </c>
      <c r="B31" s="7"/>
      <c r="C31" s="7"/>
      <c r="D31" s="76"/>
      <c r="E31" s="21"/>
      <c r="F31" s="76"/>
      <c r="G31" s="76"/>
      <c r="H31" s="76"/>
      <c r="I31" s="76"/>
      <c r="J31" s="76"/>
    </row>
    <row r="32" spans="1:15">
      <c r="A32" s="7" t="s">
        <v>151</v>
      </c>
      <c r="B32" s="7"/>
      <c r="C32" s="7"/>
      <c r="D32" s="76"/>
      <c r="E32" s="21"/>
      <c r="F32" s="199">
        <f ca="1">('Cost Input'!$F57/100*F42+'Cost Input'!$F58/100*(F51+F52))*'Manufacturing Cost Calculations'!F6/1000000</f>
        <v>28.504288437458815</v>
      </c>
      <c r="G32" s="199">
        <f ca="1">('Cost Input'!$F57/100*G42+'Cost Input'!$F58/100*(G51+G52))*'Manufacturing Cost Calculations'!G6/1000000</f>
        <v>30.844887863902365</v>
      </c>
      <c r="H32" s="199">
        <f ca="1">('Cost Input'!$F57/100*H42+'Cost Input'!$F58/100*(H51+H52))*'Manufacturing Cost Calculations'!H6/1000000</f>
        <v>32.626203480987478</v>
      </c>
      <c r="I32" s="199">
        <f ca="1">('Cost Input'!$F57/100*I42+'Cost Input'!$F58/100*(I51+I52))*'Manufacturing Cost Calculations'!I6/1000000</f>
        <v>32.648187719648213</v>
      </c>
      <c r="J32" s="199">
        <f ca="1">('Cost Input'!$F57/100*J42+'Cost Input'!$F58/100*(J51+J52))*'Manufacturing Cost Calculations'!J6/1000000</f>
        <v>32.648187719648213</v>
      </c>
    </row>
    <row r="33" spans="1:10">
      <c r="A33" s="7" t="s">
        <v>178</v>
      </c>
      <c r="B33" s="7"/>
      <c r="C33" s="7"/>
      <c r="D33" s="76"/>
      <c r="E33" s="21"/>
      <c r="F33" s="199">
        <f ca="1">F53*'Manufacturing Cost Calculations'!F6/1000000*'Cost Input'!$F$59/100</f>
        <v>79.972776289408898</v>
      </c>
      <c r="G33" s="199">
        <f ca="1">G53*'Manufacturing Cost Calculations'!G6/1000000*'Cost Input'!$F$59/100</f>
        <v>85.471853046460922</v>
      </c>
      <c r="H33" s="199">
        <f ca="1">H53*'Manufacturing Cost Calculations'!H6/1000000*'Cost Input'!$F$59/100</f>
        <v>90.793067286139589</v>
      </c>
      <c r="I33" s="199">
        <f ca="1">I53*'Manufacturing Cost Calculations'!I6/1000000*'Cost Input'!$F$59/100</f>
        <v>90.907836001516245</v>
      </c>
      <c r="J33" s="199">
        <f ca="1">J53*'Manufacturing Cost Calculations'!J6/1000000*'Cost Input'!$F$59/100</f>
        <v>90.907836001516245</v>
      </c>
    </row>
    <row r="34" spans="1:10">
      <c r="A34" s="7" t="s">
        <v>188</v>
      </c>
      <c r="B34" s="7"/>
      <c r="C34" s="7"/>
      <c r="D34" s="76"/>
      <c r="E34" s="21"/>
      <c r="F34" s="199">
        <f ca="1">F25+F29+F32+F33</f>
        <v>466.39677526961373</v>
      </c>
      <c r="G34" s="199">
        <f ca="1">G25+G29+G32+G33</f>
        <v>577.25647310684485</v>
      </c>
      <c r="H34" s="199">
        <f ca="1">H25+H29+H32+H33</f>
        <v>588.99997993253135</v>
      </c>
      <c r="I34" s="199">
        <f ca="1">I25+I29+I32+I33</f>
        <v>582.01221732435852</v>
      </c>
      <c r="J34" s="199">
        <f ca="1">J25+J29+J32+J33</f>
        <v>582.01221732435852</v>
      </c>
    </row>
    <row r="35" spans="1:10" ht="15.75">
      <c r="A35" s="19" t="s">
        <v>179</v>
      </c>
      <c r="B35" s="5"/>
      <c r="C35" s="5"/>
      <c r="D35" s="76"/>
      <c r="E35" s="21"/>
      <c r="F35" s="91"/>
      <c r="G35" s="91"/>
      <c r="H35" s="91"/>
      <c r="I35" s="91"/>
      <c r="J35" s="91"/>
    </row>
    <row r="36" spans="1:10">
      <c r="A36" s="80" t="s">
        <v>93</v>
      </c>
      <c r="B36" s="80"/>
      <c r="C36" s="80"/>
      <c r="D36" s="76"/>
      <c r="E36" s="21"/>
      <c r="F36" s="76"/>
      <c r="G36" s="76"/>
      <c r="H36" s="76"/>
      <c r="I36" s="76"/>
      <c r="J36" s="76"/>
    </row>
    <row r="37" spans="1:10">
      <c r="A37" s="7" t="s">
        <v>152</v>
      </c>
      <c r="B37" s="7"/>
      <c r="C37" s="7"/>
      <c r="D37" s="76"/>
      <c r="E37" s="21"/>
      <c r="F37" s="76"/>
      <c r="G37" s="76"/>
      <c r="H37" s="76"/>
      <c r="I37" s="76"/>
      <c r="J37" s="76"/>
    </row>
    <row r="38" spans="1:10">
      <c r="A38" s="7" t="s">
        <v>153</v>
      </c>
      <c r="B38" s="7"/>
      <c r="C38" s="7"/>
      <c r="D38" s="76"/>
      <c r="E38" s="21"/>
      <c r="F38" s="76">
        <f ca="1">SUM('Manufacturing Cost Calculations'!F268:F274)</f>
        <v>4126.2502198061547</v>
      </c>
      <c r="G38" s="76">
        <f ca="1">SUM('Manufacturing Cost Calculations'!G268:G274)</f>
        <v>4213.2725965092077</v>
      </c>
      <c r="H38" s="76">
        <f ca="1">SUM('Manufacturing Cost Calculations'!H268:H274)</f>
        <v>4247.363919814884</v>
      </c>
      <c r="I38" s="76">
        <f ca="1">SUM('Manufacturing Cost Calculations'!I268:I274)</f>
        <v>2083.4132944796315</v>
      </c>
      <c r="J38" s="76">
        <f ca="1">SUM('Manufacturing Cost Calculations'!J268:J274)</f>
        <v>2083.4132944796315</v>
      </c>
    </row>
    <row r="39" spans="1:10">
      <c r="A39" s="7" t="s">
        <v>154</v>
      </c>
      <c r="B39" s="7"/>
      <c r="C39" s="7"/>
      <c r="D39" s="76"/>
      <c r="E39" s="21"/>
      <c r="F39" s="76">
        <f ca="1">'Manufacturing Cost Calculations'!F275</f>
        <v>115.48909012867975</v>
      </c>
      <c r="G39" s="76">
        <f ca="1">'Manufacturing Cost Calculations'!G275</f>
        <v>184.76288622376674</v>
      </c>
      <c r="H39" s="76">
        <f ca="1">'Manufacturing Cost Calculations'!H275</f>
        <v>191.79002148724865</v>
      </c>
      <c r="I39" s="76">
        <f ca="1">'Manufacturing Cost Calculations'!I275</f>
        <v>95.552486409003095</v>
      </c>
      <c r="J39" s="76">
        <f ca="1">'Manufacturing Cost Calculations'!J275</f>
        <v>95.552486409003095</v>
      </c>
    </row>
    <row r="40" spans="1:10">
      <c r="A40" s="7" t="s">
        <v>396</v>
      </c>
      <c r="B40" s="7"/>
      <c r="C40" s="7"/>
      <c r="D40" s="76"/>
      <c r="E40" s="21"/>
      <c r="F40" s="76">
        <f ca="1">'Manufacturing Cost Calculations'!F97*'Battery Design'!F60</f>
        <v>477.92595652467463</v>
      </c>
      <c r="G40" s="76">
        <f ca="1">'Manufacturing Cost Calculations'!G97*'Battery Design'!G60</f>
        <v>581.96303849788478</v>
      </c>
      <c r="H40" s="76">
        <f ca="1">'Manufacturing Cost Calculations'!H97*'Battery Design'!H60</f>
        <v>823.09622764600147</v>
      </c>
      <c r="I40" s="76">
        <f ca="1">'Manufacturing Cost Calculations'!I97*'Battery Design'!I60</f>
        <v>409.52565748879499</v>
      </c>
      <c r="J40" s="76">
        <f ca="1">'Manufacturing Cost Calculations'!J97*'Battery Design'!J60</f>
        <v>409.52565748879499</v>
      </c>
    </row>
    <row r="41" spans="1:10">
      <c r="A41" s="7" t="s">
        <v>539</v>
      </c>
      <c r="B41" s="7"/>
      <c r="C41" s="7"/>
      <c r="D41" s="76"/>
      <c r="E41" s="21"/>
      <c r="F41" s="76">
        <f ca="1">'Manufacturing Cost Calculations'!F106</f>
        <v>242.51388463658324</v>
      </c>
      <c r="G41" s="76">
        <f ca="1">'Manufacturing Cost Calculations'!G106</f>
        <v>247.27097885011375</v>
      </c>
      <c r="H41" s="76">
        <f ca="1">'Manufacturing Cost Calculations'!H106</f>
        <v>318.2514396729722</v>
      </c>
      <c r="I41" s="76">
        <f ca="1">'Manufacturing Cost Calculations'!I106</f>
        <v>207.21218975883602</v>
      </c>
      <c r="J41" s="76">
        <f ca="1">'Manufacturing Cost Calculations'!J106</f>
        <v>207.21218975883602</v>
      </c>
    </row>
    <row r="42" spans="1:10">
      <c r="A42" s="7" t="s">
        <v>106</v>
      </c>
      <c r="B42" s="7"/>
      <c r="C42" s="7"/>
      <c r="D42" s="76"/>
      <c r="E42" s="21"/>
      <c r="F42" s="76">
        <f ca="1">SUM(F38:F41)</f>
        <v>4962.1791510960929</v>
      </c>
      <c r="G42" s="76">
        <f ca="1">SUM(G38:G41)</f>
        <v>5227.2695000809726</v>
      </c>
      <c r="H42" s="76">
        <f ca="1">SUM(H38:H41)</f>
        <v>5580.5016086211062</v>
      </c>
      <c r="I42" s="76">
        <f ca="1">SUM(I38:I41)</f>
        <v>2795.7036281362653</v>
      </c>
      <c r="J42" s="76">
        <f ca="1">SUM(J38:J41)</f>
        <v>2795.7036281362653</v>
      </c>
    </row>
    <row r="43" spans="1:10">
      <c r="A43" s="7" t="s">
        <v>155</v>
      </c>
      <c r="B43" s="7"/>
      <c r="C43" s="7"/>
      <c r="D43" s="95"/>
      <c r="E43" s="21"/>
      <c r="F43" s="76"/>
      <c r="G43" s="76"/>
      <c r="H43" s="76"/>
      <c r="I43" s="76"/>
      <c r="J43" s="76"/>
    </row>
    <row r="44" spans="1:10">
      <c r="A44" s="7" t="s">
        <v>156</v>
      </c>
      <c r="B44" s="7"/>
      <c r="C44" s="7"/>
      <c r="D44" s="76"/>
      <c r="E44" s="21"/>
      <c r="F44" s="76">
        <f ca="1">'Cost Input'!$F$62/'Manufacturing Cost Calculations'!F$6*('Manufacturing Cost Calculations'!F134+'Manufacturing Cost Calculations'!F139+'Manufacturing Cost Calculations'!F146+'Manufacturing Cost Calculations'!F152+'Manufacturing Cost Calculations'!F157+'Manufacturing Cost Calculations'!F163+'Manufacturing Cost Calculations'!F168+'Manufacturing Cost Calculations'!F173+'Manufacturing Cost Calculations'!F178+'Manufacturing Cost Calculations'!F183)</f>
        <v>67.803270687585083</v>
      </c>
      <c r="G44" s="76">
        <f ca="1">'Cost Input'!$F$62/'Manufacturing Cost Calculations'!G$6*('Manufacturing Cost Calculations'!G134+'Manufacturing Cost Calculations'!G139+'Manufacturing Cost Calculations'!G146+'Manufacturing Cost Calculations'!G152+'Manufacturing Cost Calculations'!G157+'Manufacturing Cost Calculations'!G163+'Manufacturing Cost Calculations'!G168+'Manufacturing Cost Calculations'!G173+'Manufacturing Cost Calculations'!G178+'Manufacturing Cost Calculations'!G183)</f>
        <v>68.543555174965988</v>
      </c>
      <c r="H44" s="76">
        <f ca="1">'Cost Input'!$F$62/'Manufacturing Cost Calculations'!H$6*('Manufacturing Cost Calculations'!H134+'Manufacturing Cost Calculations'!H139+'Manufacturing Cost Calculations'!H146+'Manufacturing Cost Calculations'!H152+'Manufacturing Cost Calculations'!H157+'Manufacturing Cost Calculations'!H163+'Manufacturing Cost Calculations'!H168+'Manufacturing Cost Calculations'!H173+'Manufacturing Cost Calculations'!H178+'Manufacturing Cost Calculations'!H183)</f>
        <v>68.518057069026284</v>
      </c>
      <c r="I44" s="76">
        <f ca="1">'Cost Input'!$F$62/'Manufacturing Cost Calculations'!I$6*('Manufacturing Cost Calculations'!I134+'Manufacturing Cost Calculations'!I139+'Manufacturing Cost Calculations'!I146+'Manufacturing Cost Calculations'!I152+'Manufacturing Cost Calculations'!I157+'Manufacturing Cost Calculations'!I163+'Manufacturing Cost Calculations'!I168+'Manufacturing Cost Calculations'!I173+'Manufacturing Cost Calculations'!I178+'Manufacturing Cost Calculations'!I183)</f>
        <v>33.89699416734053</v>
      </c>
      <c r="J44" s="76">
        <f ca="1">'Cost Input'!$F$62/'Manufacturing Cost Calculations'!J$6*('Manufacturing Cost Calculations'!J134+'Manufacturing Cost Calculations'!J139+'Manufacturing Cost Calculations'!J146+'Manufacturing Cost Calculations'!J152+'Manufacturing Cost Calculations'!J157+'Manufacturing Cost Calculations'!J163+'Manufacturing Cost Calculations'!J168+'Manufacturing Cost Calculations'!J173+'Manufacturing Cost Calculations'!J178+'Manufacturing Cost Calculations'!J183)</f>
        <v>33.89699416734053</v>
      </c>
    </row>
    <row r="45" spans="1:10">
      <c r="A45" s="7" t="s">
        <v>157</v>
      </c>
      <c r="B45" s="7"/>
      <c r="C45" s="7"/>
      <c r="D45" s="76"/>
      <c r="E45" s="21"/>
      <c r="F45" s="76">
        <f ca="1">'Cost Input'!$F$62/'Manufacturing Cost Calculations'!F$6*('Manufacturing Cost Calculations'!F195+'Manufacturing Cost Calculations'!F200+'Manufacturing Cost Calculations'!F205+'Manufacturing Cost Calculations'!F210+'Manufacturing Cost Calculations'!F215)</f>
        <v>40.399566032754343</v>
      </c>
      <c r="G45" s="76">
        <f ca="1">'Cost Input'!$F$62/'Manufacturing Cost Calculations'!G$6*('Manufacturing Cost Calculations'!G195+'Manufacturing Cost Calculations'!G200+'Manufacturing Cost Calculations'!G205+'Manufacturing Cost Calculations'!G210+'Manufacturing Cost Calculations'!G215)</f>
        <v>61.046239788388952</v>
      </c>
      <c r="H45" s="76">
        <f ca="1">'Cost Input'!$F$62/'Manufacturing Cost Calculations'!H$6*('Manufacturing Cost Calculations'!H195+'Manufacturing Cost Calculations'!H200+'Manufacturing Cost Calculations'!H205+'Manufacturing Cost Calculations'!H210+'Manufacturing Cost Calculations'!H215)</f>
        <v>61.046158776301198</v>
      </c>
      <c r="I45" s="76">
        <f ca="1">'Cost Input'!$F$62/'Manufacturing Cost Calculations'!I$6*('Manufacturing Cost Calculations'!I195+'Manufacturing Cost Calculations'!I200+'Manufacturing Cost Calculations'!I205+'Manufacturing Cost Calculations'!I210+'Manufacturing Cost Calculations'!I215)</f>
        <v>30.522344689525237</v>
      </c>
      <c r="J45" s="76">
        <f ca="1">'Cost Input'!$F$62/'Manufacturing Cost Calculations'!J$6*('Manufacturing Cost Calculations'!J195+'Manufacturing Cost Calculations'!J200+'Manufacturing Cost Calculations'!J205+'Manufacturing Cost Calculations'!J210+'Manufacturing Cost Calculations'!J215)</f>
        <v>30.522344689525237</v>
      </c>
    </row>
    <row r="46" spans="1:10">
      <c r="A46" s="7" t="s">
        <v>370</v>
      </c>
      <c r="B46" s="7"/>
      <c r="C46" s="7"/>
      <c r="D46" s="76"/>
      <c r="E46" s="21"/>
      <c r="F46" s="76">
        <f>'Cost Input'!$F$62/'Manufacturing Cost Calculations'!F$6*('Manufacturing Cost Calculations'!F221+'Manufacturing Cost Calculations'!F226+'Manufacturing Cost Calculations'!F231)</f>
        <v>26.67149359856873</v>
      </c>
      <c r="G46" s="76">
        <f>'Cost Input'!$F$62/'Manufacturing Cost Calculations'!G$6*('Manufacturing Cost Calculations'!G221+'Manufacturing Cost Calculations'!G226+'Manufacturing Cost Calculations'!G231)</f>
        <v>40.926207598452471</v>
      </c>
      <c r="H46" s="76">
        <f>'Cost Input'!$F$62/'Manufacturing Cost Calculations'!H$6*('Manufacturing Cost Calculations'!H221+'Manufacturing Cost Calculations'!H226+'Manufacturing Cost Calculations'!H231)</f>
        <v>40.926207598452471</v>
      </c>
      <c r="I46" s="76">
        <f>'Cost Input'!$F$62/'Manufacturing Cost Calculations'!I$6*('Manufacturing Cost Calculations'!I221+'Manufacturing Cost Calculations'!I226+'Manufacturing Cost Calculations'!I231)</f>
        <v>20.463103799226236</v>
      </c>
      <c r="J46" s="76">
        <f>'Cost Input'!$F$62/'Manufacturing Cost Calculations'!J$6*('Manufacturing Cost Calculations'!J221+'Manufacturing Cost Calculations'!J226+'Manufacturing Cost Calculations'!J231)</f>
        <v>20.463103799226236</v>
      </c>
    </row>
    <row r="47" spans="1:10">
      <c r="A47" s="7" t="s">
        <v>158</v>
      </c>
      <c r="B47" s="7"/>
      <c r="C47" s="7"/>
      <c r="D47" s="76"/>
      <c r="E47" s="21"/>
      <c r="F47" s="76">
        <f>'Cost Input'!$F$62/'Manufacturing Cost Calculations'!F$6*('Manufacturing Cost Calculations'!F236+'Manufacturing Cost Calculations'!F242)</f>
        <v>22.715149904854247</v>
      </c>
      <c r="G47" s="76">
        <f>'Cost Input'!$F$62/'Manufacturing Cost Calculations'!G$6*('Manufacturing Cost Calculations'!G236+'Manufacturing Cost Calculations'!G242)</f>
        <v>32.124073066782792</v>
      </c>
      <c r="H47" s="76">
        <f>'Cost Input'!$F$62/'Manufacturing Cost Calculations'!H$6*('Manufacturing Cost Calculations'!H236+'Manufacturing Cost Calculations'!H242)</f>
        <v>32.124073066782792</v>
      </c>
      <c r="I47" s="76">
        <f>'Cost Input'!$F$62/'Manufacturing Cost Calculations'!I$6*('Manufacturing Cost Calculations'!I236+'Manufacturing Cost Calculations'!I242)</f>
        <v>16.062036533391396</v>
      </c>
      <c r="J47" s="76">
        <f>'Cost Input'!$F$62/'Manufacturing Cost Calculations'!J$6*('Manufacturing Cost Calculations'!J236+'Manufacturing Cost Calculations'!J242)</f>
        <v>16.062036533391396</v>
      </c>
    </row>
    <row r="48" spans="1:10">
      <c r="A48" s="7" t="s">
        <v>557</v>
      </c>
      <c r="B48" s="7"/>
      <c r="C48" s="7"/>
      <c r="D48" s="76"/>
      <c r="E48" s="21"/>
      <c r="F48" s="76">
        <f>'Cost Input'!$F$62/'Manufacturing Cost Calculations'!F$6*('Manufacturing Cost Calculations'!F247)</f>
        <v>11.013265508675307</v>
      </c>
      <c r="G48" s="76">
        <f>'Cost Input'!$F$62/'Manufacturing Cost Calculations'!G$6*('Manufacturing Cost Calculations'!G247)</f>
        <v>17.891102602257984</v>
      </c>
      <c r="H48" s="76">
        <f>'Cost Input'!$F$62/'Manufacturing Cost Calculations'!H$6*('Manufacturing Cost Calculations'!H247)</f>
        <v>17.891102602257984</v>
      </c>
      <c r="I48" s="76">
        <f>'Cost Input'!$F$62/'Manufacturing Cost Calculations'!I$6*('Manufacturing Cost Calculations'!I247)</f>
        <v>8.945551301128992</v>
      </c>
      <c r="J48" s="76">
        <f>'Cost Input'!$F$62/'Manufacturing Cost Calculations'!J$6*('Manufacturing Cost Calculations'!J247)</f>
        <v>8.945551301128992</v>
      </c>
    </row>
    <row r="49" spans="1:11">
      <c r="A49" s="7" t="s">
        <v>160</v>
      </c>
      <c r="B49" s="7"/>
      <c r="C49" s="7"/>
      <c r="D49" s="76"/>
      <c r="E49" s="21"/>
      <c r="F49" s="76">
        <f ca="1">'Cost Input'!$F$62/'Manufacturing Cost Calculations'!F$6*('Manufacturing Cost Calculations'!F127+'Manufacturing Cost Calculations'!F252)</f>
        <v>14.98452618262584</v>
      </c>
      <c r="G49" s="76">
        <f ca="1">'Cost Input'!$F$62/'Manufacturing Cost Calculations'!G$6*('Manufacturing Cost Calculations'!G127+'Manufacturing Cost Calculations'!G252)</f>
        <v>14.984526182625867</v>
      </c>
      <c r="H49" s="76">
        <f ca="1">'Cost Input'!$F$62/'Manufacturing Cost Calculations'!H$6*('Manufacturing Cost Calculations'!H127+'Manufacturing Cost Calculations'!H252)</f>
        <v>14.984526182625867</v>
      </c>
      <c r="I49" s="76">
        <f ca="1">'Cost Input'!$F$62/'Manufacturing Cost Calculations'!I$6*('Manufacturing Cost Calculations'!I127+'Manufacturing Cost Calculations'!I252)</f>
        <v>7.4922630913129149</v>
      </c>
      <c r="J49" s="76">
        <f ca="1">'Cost Input'!$F$62/'Manufacturing Cost Calculations'!J$6*('Manufacturing Cost Calculations'!J127+'Manufacturing Cost Calculations'!J252)</f>
        <v>7.4922630913129149</v>
      </c>
    </row>
    <row r="50" spans="1:11">
      <c r="A50" s="7" t="s">
        <v>371</v>
      </c>
      <c r="B50" s="7"/>
      <c r="C50" s="7"/>
      <c r="D50" s="76"/>
      <c r="E50" s="21"/>
      <c r="F50" s="76">
        <f ca="1">'Cost Input'!$F$62/'Manufacturing Cost Calculations'!F$6*('Manufacturing Cost Calculations'!F188)</f>
        <v>10.444850827535818</v>
      </c>
      <c r="G50" s="76">
        <f ca="1">'Cost Input'!$F$62/'Manufacturing Cost Calculations'!G$6*('Manufacturing Cost Calculations'!G188)</f>
        <v>10.444850827535838</v>
      </c>
      <c r="H50" s="76">
        <f ca="1">'Cost Input'!$F$62/'Manufacturing Cost Calculations'!H$6*('Manufacturing Cost Calculations'!H188)</f>
        <v>10.444850827535838</v>
      </c>
      <c r="I50" s="76">
        <f ca="1">'Cost Input'!$F$62/'Manufacturing Cost Calculations'!I$6*('Manufacturing Cost Calculations'!I188)</f>
        <v>5.2224254137679047</v>
      </c>
      <c r="J50" s="76">
        <f ca="1">'Cost Input'!$F$62/'Manufacturing Cost Calculations'!J$6*('Manufacturing Cost Calculations'!J188)</f>
        <v>5.2224254137679047</v>
      </c>
    </row>
    <row r="51" spans="1:11">
      <c r="A51" s="96" t="s">
        <v>161</v>
      </c>
      <c r="B51" s="96"/>
      <c r="C51" s="96"/>
      <c r="E51" s="21"/>
      <c r="F51" s="76">
        <f ca="1">SUM(F44:F50)</f>
        <v>194.0321227425994</v>
      </c>
      <c r="G51" s="76">
        <f ca="1">SUM(G44:G50)</f>
        <v>245.96055524100987</v>
      </c>
      <c r="H51" s="76">
        <f ca="1">SUM(H44:H50)</f>
        <v>245.93497612298242</v>
      </c>
      <c r="I51" s="76">
        <f ca="1">SUM(I44:I50)</f>
        <v>122.6047189956932</v>
      </c>
      <c r="J51" s="76">
        <f ca="1">SUM(J44:J50)</f>
        <v>122.6047189956932</v>
      </c>
    </row>
    <row r="52" spans="1:11">
      <c r="A52" s="7" t="s">
        <v>162</v>
      </c>
      <c r="B52" s="7"/>
      <c r="C52" s="7"/>
      <c r="D52" s="97"/>
      <c r="E52" s="76"/>
      <c r="F52" s="132">
        <f ca="1">F51*'Cost Input'!$F64/100+'Cost Input'!$F65/100*'Summary of Results'!F57</f>
        <v>175.30714545523827</v>
      </c>
      <c r="G52" s="132">
        <f ca="1">G51*'Cost Input'!$F64/100+'Cost Input'!$F65/100*'Summary of Results'!G57</f>
        <v>224.89348110873379</v>
      </c>
      <c r="H52" s="132">
        <f ca="1">H51*'Cost Input'!$F64/100+'Cost Input'!$F65/100*'Summary of Results'!H57</f>
        <v>226.43456766520742</v>
      </c>
      <c r="I52" s="132">
        <f ca="1">I51*'Cost Input'!$F64/100+'Cost Input'!$F65/100*'Summary of Results'!I57</f>
        <v>111.95285291858609</v>
      </c>
      <c r="J52" s="132">
        <f ca="1">J51*'Cost Input'!$F64/100+'Cost Input'!$F65/100*'Summary of Results'!J57</f>
        <v>111.95285291858609</v>
      </c>
    </row>
    <row r="53" spans="1:11">
      <c r="A53" s="7" t="s">
        <v>163</v>
      </c>
      <c r="B53" s="7"/>
      <c r="C53" s="7"/>
      <c r="D53" s="97"/>
      <c r="E53" s="76"/>
      <c r="F53" s="132">
        <f ca="1">F42+F51+F52</f>
        <v>5331.5184192939305</v>
      </c>
      <c r="G53" s="132">
        <f ca="1">G42+G51+G52</f>
        <v>5698.1235364307167</v>
      </c>
      <c r="H53" s="132">
        <f ca="1">H42+H51+H52</f>
        <v>6052.871152409296</v>
      </c>
      <c r="I53" s="132">
        <f ca="1">I42+I51+I52</f>
        <v>3030.2612000505442</v>
      </c>
      <c r="J53" s="132">
        <f ca="1">J42+J51+J52</f>
        <v>3030.2612000505442</v>
      </c>
    </row>
    <row r="54" spans="1:11">
      <c r="A54" s="80" t="s">
        <v>95</v>
      </c>
      <c r="B54" s="80"/>
      <c r="C54" s="80"/>
      <c r="D54" s="76"/>
      <c r="E54" s="76"/>
      <c r="F54" s="261"/>
      <c r="G54" s="261"/>
      <c r="H54" s="261"/>
      <c r="I54" s="261"/>
      <c r="J54" s="261"/>
    </row>
    <row r="55" spans="1:11">
      <c r="A55" s="7" t="s">
        <v>164</v>
      </c>
      <c r="B55" s="7"/>
      <c r="C55" s="7"/>
      <c r="D55" s="76"/>
      <c r="E55" s="76"/>
      <c r="F55" s="132">
        <f ca="1">'Cost Input'!$F68/100*(F51+F52)+'Cost Input'!$F69/100*F57</f>
        <v>214.45268749720753</v>
      </c>
      <c r="G55" s="132">
        <f ca="1">'Cost Input'!$F68/100*(G51+G52)+'Cost Input'!$F69/100*G57</f>
        <v>275.85008285284823</v>
      </c>
      <c r="H55" s="132">
        <f ca="1">'Cost Input'!$F68/100*(H51+H52)+'Cost Input'!$F69/100*H57</f>
        <v>278.16810746706551</v>
      </c>
      <c r="I55" s="132">
        <f ca="1">'Cost Input'!$F68/100*(I51+I52)+'Cost Input'!$F69/100*I57</f>
        <v>137.27809962895583</v>
      </c>
      <c r="J55" s="132">
        <f ca="1">'Cost Input'!$F68/100*(J51+J52)+'Cost Input'!$F69/100*J57</f>
        <v>137.27809962895583</v>
      </c>
    </row>
    <row r="56" spans="1:11">
      <c r="A56" s="7" t="s">
        <v>165</v>
      </c>
      <c r="B56" s="7"/>
      <c r="C56" s="7"/>
      <c r="D56" s="76"/>
      <c r="E56" s="76"/>
      <c r="F56" s="132">
        <f ca="1">F57*'Cost Input'!$F70/100</f>
        <v>195.388592716397</v>
      </c>
      <c r="G56" s="132">
        <f ca="1">G57*'Cost Input'!$F70/100</f>
        <v>253.01851802465967</v>
      </c>
      <c r="H56" s="132">
        <f ca="1">H57*'Cost Input'!$F70/100</f>
        <v>256.1211544320289</v>
      </c>
      <c r="I56" s="132">
        <f ca="1">I57*'Cost Input'!$F70/100</f>
        <v>125.82193064061761</v>
      </c>
      <c r="J56" s="132">
        <f ca="1">J57*'Cost Input'!$F70/100</f>
        <v>125.82193064061761</v>
      </c>
    </row>
    <row r="57" spans="1:11">
      <c r="A57" s="7" t="s">
        <v>166</v>
      </c>
      <c r="B57" s="7"/>
      <c r="C57" s="7"/>
      <c r="D57" s="76"/>
      <c r="E57" s="76"/>
      <c r="F57" s="132">
        <f ca="1">('Cost Input'!$F72/100*F25+'Cost Input'!$F73/100*F29)*1000000/'Manufacturing Cost Calculations'!F6</f>
        <v>488.47148179099321</v>
      </c>
      <c r="G57" s="132">
        <f ca="1">('Cost Input'!$F72/100*G25+'Cost Input'!$F73/100*G29)*1000000/'Manufacturing Cost Calculations'!G6</f>
        <v>632.54629506164883</v>
      </c>
      <c r="H57" s="132">
        <f ca="1">('Cost Input'!$F72/100*H25+'Cost Input'!$F73/100*H29)*1000000/'Manufacturing Cost Calculations'!H6</f>
        <v>640.30288608007186</v>
      </c>
      <c r="I57" s="132">
        <f ca="1">('Cost Input'!$F72/100*I25+'Cost Input'!$F73/100*I29)*1000000/'Manufacturing Cost Calculations'!I6</f>
        <v>314.55482660154411</v>
      </c>
      <c r="J57" s="132">
        <f ca="1">('Cost Input'!$F72/100*J25+'Cost Input'!$F73/100*J29)*1000000/'Manufacturing Cost Calculations'!J6</f>
        <v>314.55482660154411</v>
      </c>
    </row>
    <row r="58" spans="1:11">
      <c r="A58" s="7" t="s">
        <v>167</v>
      </c>
      <c r="B58" s="7"/>
      <c r="C58" s="7"/>
      <c r="D58" s="76"/>
      <c r="E58" s="76"/>
      <c r="F58" s="100">
        <f ca="1">F55+F56+F57</f>
        <v>898.31276200459774</v>
      </c>
      <c r="G58" s="100">
        <f ca="1">G55+G56+G57</f>
        <v>1161.4148959391568</v>
      </c>
      <c r="H58" s="100">
        <f ca="1">H55+H56+H57</f>
        <v>1174.5921479791664</v>
      </c>
      <c r="I58" s="100">
        <f ca="1">I55+I56+I57</f>
        <v>577.65485687111754</v>
      </c>
      <c r="J58" s="100">
        <f ca="1">J55+J56+J57</f>
        <v>577.65485687111754</v>
      </c>
    </row>
    <row r="59" spans="1:11">
      <c r="A59" s="7" t="s">
        <v>168</v>
      </c>
      <c r="B59" s="7"/>
      <c r="C59" s="7"/>
      <c r="D59" s="66"/>
      <c r="E59" s="76"/>
      <c r="F59" s="132">
        <f ca="1">'Cost Input'!$F74/100*F34*1000000/'Manufacturing Cost Calculations'!F6</f>
        <v>233.19838763480689</v>
      </c>
      <c r="G59" s="132">
        <f ca="1">'Cost Input'!$F74/100*G34*1000000/'Manufacturing Cost Calculations'!G6</f>
        <v>288.62823655342243</v>
      </c>
      <c r="H59" s="132">
        <f ca="1">'Cost Input'!$F74/100*H34*1000000/'Manufacturing Cost Calculations'!H6</f>
        <v>294.49998996626567</v>
      </c>
      <c r="I59" s="132">
        <f ca="1">'Cost Input'!$F74/100*I34*1000000/'Manufacturing Cost Calculations'!I6</f>
        <v>145.50305433108963</v>
      </c>
      <c r="J59" s="132">
        <f ca="1">'Cost Input'!$F74/100*J34*1000000/'Manufacturing Cost Calculations'!J6</f>
        <v>145.50305433108963</v>
      </c>
    </row>
    <row r="60" spans="1:11">
      <c r="A60" s="321" t="s">
        <v>802</v>
      </c>
      <c r="B60" s="7"/>
      <c r="C60" s="7"/>
      <c r="D60" s="76"/>
      <c r="E60" s="76"/>
      <c r="F60" s="100">
        <f ca="1">F53+F58+F59</f>
        <v>6463.0295689333352</v>
      </c>
      <c r="G60" s="100">
        <f ca="1">G53+G58+G59</f>
        <v>7148.1666689232961</v>
      </c>
      <c r="H60" s="100">
        <f ca="1">H53+H58+H59</f>
        <v>7521.9632903547281</v>
      </c>
      <c r="I60" s="100">
        <f ca="1">I53+I58+I59</f>
        <v>3753.4191112527515</v>
      </c>
      <c r="J60" s="100">
        <f ca="1">J53+J58+J59</f>
        <v>3753.4191112527515</v>
      </c>
    </row>
    <row r="61" spans="1:11" ht="15.75">
      <c r="A61" s="19" t="s">
        <v>180</v>
      </c>
      <c r="B61" s="5"/>
      <c r="C61" s="5"/>
      <c r="D61" s="76"/>
      <c r="E61" s="76"/>
      <c r="F61" s="71"/>
      <c r="G61" s="71"/>
      <c r="H61" s="71"/>
      <c r="I61" s="71"/>
      <c r="J61" s="71"/>
    </row>
    <row r="62" spans="1:11">
      <c r="A62" s="7" t="s">
        <v>243</v>
      </c>
      <c r="B62" s="7"/>
      <c r="C62" s="7"/>
      <c r="E62" s="193"/>
      <c r="F62" s="100">
        <f ca="1">F38</f>
        <v>4126.2502198061547</v>
      </c>
      <c r="G62" s="100">
        <f ca="1">G38</f>
        <v>4213.2725965092077</v>
      </c>
      <c r="H62" s="100">
        <f ca="1">H38</f>
        <v>4247.363919814884</v>
      </c>
      <c r="I62" s="100">
        <f ca="1">I38</f>
        <v>2083.4132944796315</v>
      </c>
      <c r="J62" s="100">
        <f ca="1">J38</f>
        <v>2083.4132944796315</v>
      </c>
      <c r="K62" s="40"/>
    </row>
    <row r="63" spans="1:11">
      <c r="A63" s="7" t="s">
        <v>509</v>
      </c>
      <c r="B63" s="7"/>
      <c r="C63" s="7"/>
      <c r="E63" s="193"/>
      <c r="F63" s="100">
        <f ca="1">F39+F40+F41</f>
        <v>835.92893128993762</v>
      </c>
      <c r="G63" s="100">
        <f ca="1">G39+G40+G41</f>
        <v>1013.9969035717652</v>
      </c>
      <c r="H63" s="100">
        <f ca="1">H39+H40+H41</f>
        <v>1333.1376888062223</v>
      </c>
      <c r="I63" s="100">
        <f ca="1">I39+I40+I41</f>
        <v>712.29033365663417</v>
      </c>
      <c r="J63" s="100">
        <f ca="1">J39+J40+J41</f>
        <v>712.29033365663417</v>
      </c>
      <c r="K63" s="40"/>
    </row>
    <row r="64" spans="1:11">
      <c r="A64" s="7" t="s">
        <v>169</v>
      </c>
      <c r="B64" s="7"/>
      <c r="C64" s="7"/>
      <c r="E64" s="193"/>
      <c r="F64" s="100">
        <f t="shared" ref="F64:J65" ca="1" si="0">F51</f>
        <v>194.0321227425994</v>
      </c>
      <c r="G64" s="100">
        <f t="shared" ca="1" si="0"/>
        <v>245.96055524100987</v>
      </c>
      <c r="H64" s="100">
        <f t="shared" ca="1" si="0"/>
        <v>245.93497612298242</v>
      </c>
      <c r="I64" s="100">
        <f t="shared" ca="1" si="0"/>
        <v>122.6047189956932</v>
      </c>
      <c r="J64" s="100">
        <f t="shared" ca="1" si="0"/>
        <v>122.6047189956932</v>
      </c>
      <c r="K64" s="40"/>
    </row>
    <row r="65" spans="1:18">
      <c r="A65" s="7" t="s">
        <v>170</v>
      </c>
      <c r="B65" s="7"/>
      <c r="C65" s="7"/>
      <c r="E65" s="193"/>
      <c r="F65" s="100">
        <f t="shared" ca="1" si="0"/>
        <v>175.30714545523827</v>
      </c>
      <c r="G65" s="100">
        <f t="shared" ca="1" si="0"/>
        <v>224.89348110873379</v>
      </c>
      <c r="H65" s="100">
        <f t="shared" ca="1" si="0"/>
        <v>226.43456766520742</v>
      </c>
      <c r="I65" s="100">
        <f t="shared" ca="1" si="0"/>
        <v>111.95285291858609</v>
      </c>
      <c r="J65" s="100">
        <f t="shared" ca="1" si="0"/>
        <v>111.95285291858609</v>
      </c>
      <c r="K65" s="40"/>
    </row>
    <row r="66" spans="1:18">
      <c r="A66" s="7" t="s">
        <v>164</v>
      </c>
      <c r="B66" s="7"/>
      <c r="C66" s="7"/>
      <c r="E66" s="193"/>
      <c r="F66" s="76">
        <f t="shared" ref="F66:J68" ca="1" si="1">F55</f>
        <v>214.45268749720753</v>
      </c>
      <c r="G66" s="76">
        <f t="shared" ca="1" si="1"/>
        <v>275.85008285284823</v>
      </c>
      <c r="H66" s="76">
        <f t="shared" ca="1" si="1"/>
        <v>278.16810746706551</v>
      </c>
      <c r="I66" s="76">
        <f t="shared" ca="1" si="1"/>
        <v>137.27809962895583</v>
      </c>
      <c r="J66" s="76">
        <f t="shared" ca="1" si="1"/>
        <v>137.27809962895583</v>
      </c>
      <c r="K66" s="40"/>
    </row>
    <row r="67" spans="1:18">
      <c r="A67" s="7" t="s">
        <v>165</v>
      </c>
      <c r="B67" s="7"/>
      <c r="C67" s="7"/>
      <c r="E67" s="193"/>
      <c r="F67" s="100">
        <f t="shared" ca="1" si="1"/>
        <v>195.388592716397</v>
      </c>
      <c r="G67" s="100">
        <f t="shared" ca="1" si="1"/>
        <v>253.01851802465967</v>
      </c>
      <c r="H67" s="100">
        <f t="shared" ca="1" si="1"/>
        <v>256.1211544320289</v>
      </c>
      <c r="I67" s="100">
        <f t="shared" ca="1" si="1"/>
        <v>125.82193064061761</v>
      </c>
      <c r="J67" s="100">
        <f t="shared" ca="1" si="1"/>
        <v>125.82193064061761</v>
      </c>
      <c r="K67" s="40"/>
    </row>
    <row r="68" spans="1:18">
      <c r="A68" s="7" t="s">
        <v>166</v>
      </c>
      <c r="B68" s="7"/>
      <c r="C68" s="7"/>
      <c r="E68" s="193"/>
      <c r="F68" s="100">
        <f t="shared" ca="1" si="1"/>
        <v>488.47148179099321</v>
      </c>
      <c r="G68" s="100">
        <f t="shared" ca="1" si="1"/>
        <v>632.54629506164883</v>
      </c>
      <c r="H68" s="100">
        <f t="shared" ca="1" si="1"/>
        <v>640.30288608007186</v>
      </c>
      <c r="I68" s="100">
        <f t="shared" ca="1" si="1"/>
        <v>314.55482660154411</v>
      </c>
      <c r="J68" s="100">
        <f t="shared" ca="1" si="1"/>
        <v>314.55482660154411</v>
      </c>
      <c r="K68" s="40"/>
    </row>
    <row r="69" spans="1:18">
      <c r="A69" s="7" t="s">
        <v>171</v>
      </c>
      <c r="B69" s="7"/>
      <c r="C69" s="7"/>
      <c r="E69" s="193"/>
      <c r="F69" s="209">
        <f ca="1">F59</f>
        <v>233.19838763480689</v>
      </c>
      <c r="G69" s="209">
        <f ca="1">G59</f>
        <v>288.62823655342243</v>
      </c>
      <c r="H69" s="209">
        <f ca="1">H59</f>
        <v>294.49998996626567</v>
      </c>
      <c r="I69" s="209">
        <f ca="1">I59</f>
        <v>145.50305433108963</v>
      </c>
      <c r="J69" s="209">
        <f ca="1">J59</f>
        <v>145.50305433108963</v>
      </c>
      <c r="K69" s="40"/>
    </row>
    <row r="70" spans="1:18">
      <c r="A70" s="321" t="s">
        <v>886</v>
      </c>
      <c r="B70" s="7"/>
      <c r="C70" s="7"/>
      <c r="E70" s="193"/>
      <c r="F70" s="101">
        <f ca="1">'Cost Input'!$F75/100*(SUM(F62:F69))</f>
        <v>361.92965586026673</v>
      </c>
      <c r="G70" s="101">
        <f ca="1">'Cost Input'!$F75/100*(SUM(G62:G69))</f>
        <v>400.29733345970459</v>
      </c>
      <c r="H70" s="101">
        <f ca="1">'Cost Input'!$F75/100*(SUM(H62:H69))</f>
        <v>421.22994425986462</v>
      </c>
      <c r="I70" s="101">
        <f ca="1">'Cost Input'!$F75/100*(SUM(I62:I69))</f>
        <v>210.19147023015407</v>
      </c>
      <c r="J70" s="101">
        <f ca="1">'Cost Input'!$F75/100*(SUM(J62:J69))</f>
        <v>210.19147023015407</v>
      </c>
      <c r="K70" s="40"/>
    </row>
    <row r="71" spans="1:18">
      <c r="A71" s="7" t="s">
        <v>542</v>
      </c>
      <c r="E71" s="193"/>
      <c r="F71" s="100">
        <f ca="1">SUM(F62:F70)</f>
        <v>6824.9592247936016</v>
      </c>
      <c r="G71" s="100">
        <f ca="1">SUM(G62:G70)</f>
        <v>7548.4640023830016</v>
      </c>
      <c r="H71" s="100">
        <f ca="1">SUM(H62:H70)</f>
        <v>7943.1932346145913</v>
      </c>
      <c r="I71" s="100">
        <f ca="1">SUM(I62:I70)</f>
        <v>3963.6105814829057</v>
      </c>
      <c r="J71" s="100">
        <f ca="1">SUM(J62:J70)</f>
        <v>3963.6105814829057</v>
      </c>
      <c r="K71" s="40"/>
      <c r="L71" s="100"/>
      <c r="M71" s="100"/>
      <c r="N71" s="100"/>
    </row>
    <row r="72" spans="1:18">
      <c r="A72" s="7" t="s">
        <v>562</v>
      </c>
      <c r="F72" s="100">
        <f>'Manufacturing Cost Calculations'!F114</f>
        <v>475</v>
      </c>
      <c r="G72" s="100">
        <f>'Manufacturing Cost Calculations'!G114</f>
        <v>475</v>
      </c>
      <c r="H72" s="100">
        <f>'Manufacturing Cost Calculations'!H114</f>
        <v>735</v>
      </c>
      <c r="I72" s="100">
        <f>'Manufacturing Cost Calculations'!I114</f>
        <v>750</v>
      </c>
      <c r="J72" s="100">
        <f>'Manufacturing Cost Calculations'!J114</f>
        <v>750</v>
      </c>
      <c r="K72" s="40"/>
      <c r="L72" s="100"/>
      <c r="M72" s="100"/>
      <c r="N72" s="100"/>
    </row>
    <row r="73" spans="1:18">
      <c r="A73" t="s">
        <v>544</v>
      </c>
      <c r="F73" s="100">
        <f ca="1">'Manufacturing Cost Calculations'!F120</f>
        <v>500</v>
      </c>
      <c r="G73" s="100">
        <f ca="1">'Manufacturing Cost Calculations'!G120</f>
        <v>540</v>
      </c>
      <c r="H73" s="100">
        <f ca="1">'Manufacturing Cost Calculations'!H120</f>
        <v>500</v>
      </c>
      <c r="I73" s="100">
        <f ca="1">'Manufacturing Cost Calculations'!I120</f>
        <v>620</v>
      </c>
      <c r="J73" s="100">
        <f ca="1">'Manufacturing Cost Calculations'!J120</f>
        <v>620</v>
      </c>
      <c r="K73" s="40"/>
      <c r="L73" s="100"/>
      <c r="M73" s="100"/>
      <c r="N73" s="100"/>
    </row>
    <row r="74" spans="1:18">
      <c r="A74" t="s">
        <v>543</v>
      </c>
      <c r="F74" s="100">
        <f ca="1">F71*'Battery Design'!F62+SUM(F72:F73)</f>
        <v>7799.9592247936016</v>
      </c>
      <c r="G74" s="100">
        <f ca="1">G71*'Battery Design'!G62+SUM(G72:G73)</f>
        <v>8563.4640023830016</v>
      </c>
      <c r="H74" s="100">
        <f ca="1">H71*'Battery Design'!H62+SUM(H72:H73)</f>
        <v>9178.1932346145913</v>
      </c>
      <c r="I74" s="100">
        <f ca="1">I71*'Battery Design'!I62+SUM(I72:I73)</f>
        <v>9297.2211629658123</v>
      </c>
      <c r="J74" s="100">
        <f ca="1">J71*'Battery Design'!J62+SUM(J72:J73)</f>
        <v>9297.2211629658123</v>
      </c>
      <c r="K74" s="40"/>
      <c r="L74" s="100"/>
      <c r="M74" s="100"/>
      <c r="N74" s="100"/>
    </row>
    <row r="75" spans="1:18">
      <c r="A75" s="7" t="s">
        <v>545</v>
      </c>
      <c r="F75" s="100">
        <f ca="1">'Price of Modules'!F59</f>
        <v>6531.6444656657031</v>
      </c>
      <c r="G75" s="100">
        <f ca="1">'Price of Modules'!G59</f>
        <v>7230.271292268133</v>
      </c>
      <c r="H75" s="100">
        <f ca="1">'Price of Modules'!H59</f>
        <v>7540.1585891606128</v>
      </c>
      <c r="I75" s="100">
        <f ca="1">'Price of Modules'!I59</f>
        <v>3715.3746609174686</v>
      </c>
      <c r="J75" s="100">
        <f ca="1">'Price of Modules'!J59</f>
        <v>3715.3746609174686</v>
      </c>
      <c r="K75" s="40"/>
      <c r="L75" s="100"/>
      <c r="M75" s="100"/>
      <c r="N75" s="356"/>
      <c r="O75" s="356"/>
      <c r="P75" s="356"/>
      <c r="Q75" s="356"/>
      <c r="R75" s="141"/>
    </row>
    <row r="76" spans="1:18">
      <c r="A76" s="347" t="s">
        <v>814</v>
      </c>
      <c r="F76" s="100"/>
      <c r="G76" s="100"/>
      <c r="H76" s="100"/>
      <c r="I76" s="100"/>
      <c r="J76" s="100"/>
      <c r="K76" s="100"/>
      <c r="L76" s="100"/>
    </row>
    <row r="77" spans="1:18">
      <c r="A77" s="321" t="s">
        <v>888</v>
      </c>
      <c r="F77" s="370">
        <f ca="1">'Error Bars'!F23</f>
        <v>21.560575081267835</v>
      </c>
      <c r="G77" s="370">
        <f ca="1">'Error Bars'!G23</f>
        <v>17.811206123744682</v>
      </c>
      <c r="H77" s="370">
        <f ca="1">'Error Bars'!H23</f>
        <v>17.601596916596158</v>
      </c>
      <c r="I77" s="370">
        <f ca="1">'Error Bars'!I23</f>
        <v>17.476583175091672</v>
      </c>
      <c r="J77" s="370">
        <f ca="1">'Error Bars'!J23</f>
        <v>17.476583175091672</v>
      </c>
      <c r="K77" s="370"/>
      <c r="L77" s="370"/>
    </row>
    <row r="78" spans="1:18">
      <c r="A78" s="347" t="s">
        <v>889</v>
      </c>
      <c r="F78" s="370">
        <f ca="1">'Error Bars'!F24</f>
        <v>15.290600682182092</v>
      </c>
      <c r="G78" s="370">
        <f ca="1">'Error Bars'!G24</f>
        <v>15.286283466308994</v>
      </c>
      <c r="H78" s="370">
        <f ca="1">'Error Bars'!H24</f>
        <v>15.742638638071144</v>
      </c>
      <c r="I78" s="370">
        <f ca="1">'Error Bars'!I24</f>
        <v>15.407025959561876</v>
      </c>
      <c r="J78" s="370">
        <f ca="1">'Error Bars'!J24</f>
        <v>15.407025959561876</v>
      </c>
      <c r="K78" s="370"/>
      <c r="L78" s="370"/>
    </row>
    <row r="79" spans="1:18">
      <c r="A79" s="350" t="str">
        <f ca="1">'Battery Design'!D76</f>
        <v xml:space="preserve"> </v>
      </c>
      <c r="F79" s="355" t="str">
        <f ca="1">'Battery Design'!F76</f>
        <v xml:space="preserve"> </v>
      </c>
      <c r="G79" s="355" t="str">
        <f ca="1">'Battery Design'!G76</f>
        <v xml:space="preserve"> </v>
      </c>
      <c r="H79" s="355" t="str">
        <f ca="1">'Battery Design'!H76</f>
        <v xml:space="preserve"> </v>
      </c>
      <c r="I79" s="355" t="str">
        <f ca="1">'Battery Design'!I76</f>
        <v xml:space="preserve"> </v>
      </c>
      <c r="J79" s="355" t="str">
        <f ca="1">'Battery Design'!J76</f>
        <v xml:space="preserve"> </v>
      </c>
      <c r="K79" s="355"/>
      <c r="L79" s="355"/>
    </row>
    <row r="80" spans="1:18">
      <c r="E80" s="210" t="s">
        <v>450</v>
      </c>
      <c r="F80" s="378" t="str">
        <f>Chem!E3</f>
        <v>NMC441-G</v>
      </c>
      <c r="G80" s="100"/>
      <c r="H80" s="100"/>
      <c r="I80" s="100"/>
      <c r="J80" s="100"/>
      <c r="K80" s="100"/>
      <c r="L80" s="100"/>
    </row>
    <row r="81" spans="1:12">
      <c r="A81" s="5" t="s">
        <v>270</v>
      </c>
    </row>
    <row r="82" spans="1:12">
      <c r="E82" s="155" t="s">
        <v>876</v>
      </c>
      <c r="F82" s="196">
        <f ca="1">F5</f>
        <v>100.00000000000054</v>
      </c>
      <c r="G82" s="196">
        <f ca="1">G5</f>
        <v>100.00000000000098</v>
      </c>
      <c r="H82" s="196">
        <f ca="1">H5</f>
        <v>100.00000000000097</v>
      </c>
      <c r="I82" s="196">
        <f ca="1">I5</f>
        <v>100.00000000000045</v>
      </c>
      <c r="J82" s="196">
        <f ca="1">J5</f>
        <v>100.00000000000045</v>
      </c>
      <c r="K82" s="196"/>
      <c r="L82" s="196"/>
    </row>
    <row r="83" spans="1:12">
      <c r="E83" s="335" t="s">
        <v>906</v>
      </c>
      <c r="F83" s="196">
        <f>F17</f>
        <v>120</v>
      </c>
      <c r="G83" s="196">
        <f>G17</f>
        <v>120</v>
      </c>
      <c r="H83" s="196">
        <f>H17</f>
        <v>120</v>
      </c>
      <c r="I83" s="196">
        <f>I17</f>
        <v>120</v>
      </c>
      <c r="J83" s="196">
        <f>J17</f>
        <v>120</v>
      </c>
      <c r="K83" s="196"/>
      <c r="L83" s="196"/>
    </row>
    <row r="84" spans="1:12">
      <c r="E84" s="335" t="s">
        <v>782</v>
      </c>
      <c r="F84" s="196">
        <f>'Battery Design'!F138</f>
        <v>468.86399999999998</v>
      </c>
      <c r="G84" s="196">
        <f>'Battery Design'!G138</f>
        <v>468.86399999999998</v>
      </c>
      <c r="H84" s="196">
        <f>'Battery Design'!H138</f>
        <v>468.86399999999998</v>
      </c>
      <c r="I84" s="196">
        <f>'Battery Design'!I138</f>
        <v>468.86399999999998</v>
      </c>
      <c r="J84" s="196">
        <f>'Battery Design'!J138</f>
        <v>468.86399999999998</v>
      </c>
      <c r="K84" s="196"/>
      <c r="L84" s="196"/>
    </row>
    <row r="85" spans="1:12">
      <c r="E85" s="335" t="s">
        <v>783</v>
      </c>
      <c r="F85" s="196">
        <f ca="1">'Battery Design'!F141</f>
        <v>296.25247208691809</v>
      </c>
      <c r="G85" s="196">
        <f ca="1">'Battery Design'!G141</f>
        <v>294.67638037161367</v>
      </c>
      <c r="H85" s="196">
        <f ca="1">'Battery Design'!H141</f>
        <v>292.27831965765694</v>
      </c>
      <c r="I85" s="196">
        <f ca="1">'Battery Design'!I141</f>
        <v>146.62447269942129</v>
      </c>
      <c r="J85" s="196">
        <f ca="1">'Battery Design'!J141</f>
        <v>146.62447269942129</v>
      </c>
      <c r="K85" s="196"/>
      <c r="L85" s="196"/>
    </row>
    <row r="86" spans="1:12">
      <c r="E86" s="335" t="s">
        <v>717</v>
      </c>
      <c r="F86" s="196">
        <f ca="1">F9</f>
        <v>35.294117647059018</v>
      </c>
      <c r="G86" s="196">
        <f ca="1">G9</f>
        <v>35.294117647059167</v>
      </c>
      <c r="H86" s="196">
        <f ca="1">H9</f>
        <v>35.29411764705916</v>
      </c>
      <c r="I86" s="196">
        <f ca="1">I9</f>
        <v>35.294117647058982</v>
      </c>
      <c r="J86" s="196">
        <f ca="1">J9</f>
        <v>35.294117647058982</v>
      </c>
      <c r="K86" s="196"/>
      <c r="L86" s="196"/>
    </row>
    <row r="87" spans="1:12">
      <c r="E87" s="155" t="s">
        <v>268</v>
      </c>
      <c r="F87" s="184">
        <f ca="1">MAX('Battery Design'!F99,'Battery Design'!F98)</f>
        <v>100</v>
      </c>
      <c r="G87" s="184">
        <f ca="1">MAX('Battery Design'!G99,'Battery Design'!G98)</f>
        <v>100</v>
      </c>
      <c r="H87" s="184">
        <f ca="1">MAX('Battery Design'!H99,'Battery Design'!H98)</f>
        <v>100</v>
      </c>
      <c r="I87" s="184">
        <f ca="1">MAX('Battery Design'!I99,'Battery Design'!I98)</f>
        <v>100</v>
      </c>
      <c r="J87" s="184">
        <f ca="1">MAX('Battery Design'!J99,'Battery Design'!J98)</f>
        <v>100</v>
      </c>
      <c r="K87" s="184"/>
      <c r="L87" s="184"/>
    </row>
    <row r="88" spans="1:12">
      <c r="E88" s="379" t="s">
        <v>784</v>
      </c>
      <c r="F88" s="171">
        <f>'Battery Design'!F30</f>
        <v>3</v>
      </c>
      <c r="G88" s="171">
        <f>'Battery Design'!G30</f>
        <v>3</v>
      </c>
      <c r="H88" s="171">
        <f>'Battery Design'!H30</f>
        <v>1.5</v>
      </c>
      <c r="I88" s="171">
        <f>'Battery Design'!I30</f>
        <v>1.5</v>
      </c>
      <c r="J88" s="171">
        <f>'Battery Design'!J30</f>
        <v>1.5</v>
      </c>
      <c r="K88" s="184"/>
      <c r="L88" s="184"/>
    </row>
    <row r="89" spans="1:12">
      <c r="E89" s="335" t="s">
        <v>786</v>
      </c>
      <c r="F89" s="184">
        <f>'Battery Design'!F56</f>
        <v>16</v>
      </c>
      <c r="G89" s="184">
        <f>'Battery Design'!G56</f>
        <v>32</v>
      </c>
      <c r="H89" s="184">
        <f>'Battery Design'!H56</f>
        <v>16</v>
      </c>
      <c r="I89" s="184">
        <f>'Battery Design'!I56</f>
        <v>16</v>
      </c>
      <c r="J89" s="184">
        <f>'Battery Design'!J56</f>
        <v>16</v>
      </c>
      <c r="K89" s="184"/>
      <c r="L89" s="184"/>
    </row>
    <row r="90" spans="1:12">
      <c r="E90" s="335" t="s">
        <v>787</v>
      </c>
      <c r="F90" s="184">
        <f>'Battery Design'!F57</f>
        <v>1</v>
      </c>
      <c r="G90" s="184">
        <f>'Battery Design'!G57</f>
        <v>2</v>
      </c>
      <c r="H90" s="184">
        <f>'Battery Design'!H57</f>
        <v>1</v>
      </c>
      <c r="I90" s="184">
        <f>'Battery Design'!I57</f>
        <v>1</v>
      </c>
      <c r="J90" s="184">
        <f>'Battery Design'!J57</f>
        <v>1</v>
      </c>
      <c r="K90" s="184"/>
      <c r="L90" s="184"/>
    </row>
    <row r="91" spans="1:12">
      <c r="E91" s="335" t="s">
        <v>788</v>
      </c>
      <c r="F91" s="184">
        <f>'Battery Design'!F58</f>
        <v>4</v>
      </c>
      <c r="G91" s="184">
        <f>'Battery Design'!G58</f>
        <v>4</v>
      </c>
      <c r="H91" s="184">
        <f>'Battery Design'!H58</f>
        <v>4</v>
      </c>
      <c r="I91" s="184">
        <f>'Battery Design'!I58</f>
        <v>4</v>
      </c>
      <c r="J91" s="184">
        <f>'Battery Design'!J58</f>
        <v>4</v>
      </c>
      <c r="K91" s="184"/>
      <c r="L91" s="184"/>
    </row>
    <row r="92" spans="1:12">
      <c r="E92" s="379" t="s">
        <v>789</v>
      </c>
      <c r="F92" s="184">
        <f>'Battery Design'!F59</f>
        <v>2</v>
      </c>
      <c r="G92" s="184">
        <f>'Battery Design'!G59</f>
        <v>2</v>
      </c>
      <c r="H92" s="184">
        <f>'Battery Design'!H59</f>
        <v>4</v>
      </c>
      <c r="I92" s="184">
        <f>'Battery Design'!I59</f>
        <v>2</v>
      </c>
      <c r="J92" s="184">
        <f>'Battery Design'!J59</f>
        <v>2</v>
      </c>
      <c r="K92" s="184"/>
      <c r="L92" s="184"/>
    </row>
    <row r="93" spans="1:12">
      <c r="E93" s="335" t="s">
        <v>835</v>
      </c>
      <c r="F93" s="184">
        <f>'Battery Design'!F60</f>
        <v>8</v>
      </c>
      <c r="G93" s="184">
        <f>'Battery Design'!G60</f>
        <v>8</v>
      </c>
      <c r="H93" s="184">
        <f>'Battery Design'!H60</f>
        <v>16</v>
      </c>
      <c r="I93" s="184">
        <f>'Battery Design'!I60</f>
        <v>8</v>
      </c>
      <c r="J93" s="184">
        <f>'Battery Design'!J60</f>
        <v>8</v>
      </c>
      <c r="K93" s="184"/>
      <c r="L93" s="184"/>
    </row>
    <row r="94" spans="1:12">
      <c r="E94" s="155" t="s">
        <v>836</v>
      </c>
      <c r="F94" s="184">
        <f>'Battery Design'!F64</f>
        <v>128</v>
      </c>
      <c r="G94" s="184">
        <f>'Battery Design'!G64</f>
        <v>256</v>
      </c>
      <c r="H94" s="184">
        <f>'Battery Design'!H64</f>
        <v>256</v>
      </c>
      <c r="I94" s="184">
        <f>'Battery Design'!I64</f>
        <v>128</v>
      </c>
      <c r="J94" s="184">
        <f>'Battery Design'!J64</f>
        <v>128</v>
      </c>
      <c r="K94" s="184"/>
      <c r="L94" s="184"/>
    </row>
    <row r="95" spans="1:12">
      <c r="E95" s="335" t="s">
        <v>380</v>
      </c>
      <c r="F95" s="196">
        <f ca="1">'Battery Design'!F78</f>
        <v>75.036279629692174</v>
      </c>
      <c r="G95" s="196">
        <f ca="1">'Battery Design'!G78</f>
        <v>38.295538549956383</v>
      </c>
      <c r="H95" s="196">
        <f ca="1">'Battery Design'!H78</f>
        <v>38.253482241809159</v>
      </c>
      <c r="I95" s="196">
        <f ca="1">'Battery Design'!I78</f>
        <v>37.494106182681563</v>
      </c>
      <c r="J95" s="196">
        <f ca="1">'Battery Design'!J78</f>
        <v>37.494106182681563</v>
      </c>
      <c r="K95" s="184"/>
      <c r="L95" s="184"/>
    </row>
    <row r="96" spans="1:12">
      <c r="E96" s="187" t="s">
        <v>795</v>
      </c>
      <c r="F96" s="196">
        <f ca="1">'Battery Design'!F164</f>
        <v>209.81782759933643</v>
      </c>
      <c r="G96" s="196">
        <f ca="1">'Battery Design'!G164</f>
        <v>228.52139262628131</v>
      </c>
      <c r="H96" s="196">
        <f ca="1">'Battery Design'!H164</f>
        <v>226.21390906392662</v>
      </c>
      <c r="I96" s="196">
        <f ca="1">'Battery Design'!I164</f>
        <v>112.45128327506342</v>
      </c>
      <c r="J96" s="196">
        <f ca="1">'Battery Design'!J164</f>
        <v>112.45128327506342</v>
      </c>
      <c r="K96" s="196"/>
      <c r="L96" s="196"/>
    </row>
    <row r="97" spans="1:14">
      <c r="E97" s="155" t="s">
        <v>796</v>
      </c>
      <c r="F97" s="188">
        <f ca="1">'Battery Design'!F152</f>
        <v>116.66993745686401</v>
      </c>
      <c r="G97" s="188">
        <f ca="1">'Battery Design'!G152</f>
        <v>121.83802272189685</v>
      </c>
      <c r="H97" s="188">
        <f ca="1">'Battery Design'!H152</f>
        <v>128.92628380278481</v>
      </c>
      <c r="I97" s="188">
        <f ca="1">'Battery Design'!I152</f>
        <v>65.511384525999304</v>
      </c>
      <c r="J97" s="188">
        <f ca="1">'Battery Design'!J152</f>
        <v>65.511384525999304</v>
      </c>
      <c r="K97" s="188"/>
      <c r="L97" s="188"/>
    </row>
    <row r="98" spans="1:14">
      <c r="E98" s="335" t="s">
        <v>785</v>
      </c>
      <c r="F98" s="380">
        <f ca="1">'Battery Design'!F148</f>
        <v>163.59580791206878</v>
      </c>
      <c r="G98" s="380">
        <f ca="1">'Battery Design'!G148</f>
        <v>167.10468651979232</v>
      </c>
      <c r="H98" s="380">
        <f ca="1">'Battery Design'!H148</f>
        <v>164.32597437711345</v>
      </c>
      <c r="I98" s="380">
        <f ca="1">'Battery Design'!I148</f>
        <v>163.14767087780695</v>
      </c>
      <c r="J98" s="380">
        <f ca="1">'Battery Design'!J148</f>
        <v>163.14767087780695</v>
      </c>
      <c r="K98" s="188"/>
      <c r="L98" s="188"/>
    </row>
    <row r="99" spans="1:14">
      <c r="E99" s="155" t="s">
        <v>768</v>
      </c>
      <c r="F99" s="354">
        <f ca="1">F71</f>
        <v>6824.9592247936016</v>
      </c>
      <c r="G99" s="354">
        <f ca="1">G71</f>
        <v>7548.4640023830016</v>
      </c>
      <c r="H99" s="354">
        <f ca="1">H71</f>
        <v>7943.1932346145913</v>
      </c>
      <c r="I99" s="354">
        <f ca="1">I71</f>
        <v>3963.6105814829057</v>
      </c>
      <c r="J99" s="354">
        <f ca="1">J71</f>
        <v>3963.6105814829057</v>
      </c>
      <c r="K99" s="354"/>
      <c r="L99" s="354"/>
    </row>
    <row r="100" spans="1:14">
      <c r="E100" s="188" t="s">
        <v>769</v>
      </c>
      <c r="F100" s="100">
        <f t="shared" ref="F100:J101" ca="1" si="2">F73</f>
        <v>500</v>
      </c>
      <c r="G100" s="100">
        <f t="shared" ca="1" si="2"/>
        <v>540</v>
      </c>
      <c r="H100" s="100">
        <f t="shared" ca="1" si="2"/>
        <v>500</v>
      </c>
      <c r="I100" s="100">
        <f t="shared" ca="1" si="2"/>
        <v>620</v>
      </c>
      <c r="J100" s="100">
        <f t="shared" ca="1" si="2"/>
        <v>620</v>
      </c>
      <c r="K100" s="100"/>
      <c r="L100" s="100"/>
    </row>
    <row r="101" spans="1:14">
      <c r="E101" s="188" t="s">
        <v>770</v>
      </c>
      <c r="F101" s="100">
        <f t="shared" ca="1" si="2"/>
        <v>7799.9592247936016</v>
      </c>
      <c r="G101" s="100">
        <f t="shared" ca="1" si="2"/>
        <v>8563.4640023830016</v>
      </c>
      <c r="H101" s="100">
        <f t="shared" ca="1" si="2"/>
        <v>9178.1932346145913</v>
      </c>
      <c r="I101" s="100">
        <f t="shared" ca="1" si="2"/>
        <v>9297.2211629658123</v>
      </c>
      <c r="J101" s="100">
        <f t="shared" ca="1" si="2"/>
        <v>9297.2211629658123</v>
      </c>
      <c r="K101" s="100"/>
      <c r="L101" s="100"/>
    </row>
    <row r="102" spans="1:14">
      <c r="E102" s="335" t="s">
        <v>771</v>
      </c>
      <c r="F102" s="375">
        <f t="shared" ref="F102:J103" ca="1" si="3">F77</f>
        <v>21.560575081267835</v>
      </c>
      <c r="G102" s="375">
        <f t="shared" ca="1" si="3"/>
        <v>17.811206123744682</v>
      </c>
      <c r="H102" s="375">
        <f t="shared" ca="1" si="3"/>
        <v>17.601596916596158</v>
      </c>
      <c r="I102" s="375">
        <f t="shared" ca="1" si="3"/>
        <v>17.476583175091672</v>
      </c>
      <c r="J102" s="375">
        <f t="shared" ca="1" si="3"/>
        <v>17.476583175091672</v>
      </c>
    </row>
    <row r="103" spans="1:14">
      <c r="A103" s="7"/>
      <c r="B103" s="7"/>
      <c r="C103" s="7"/>
      <c r="E103" s="335" t="s">
        <v>772</v>
      </c>
      <c r="F103" s="375">
        <f t="shared" ca="1" si="3"/>
        <v>15.290600682182092</v>
      </c>
      <c r="G103" s="375">
        <f t="shared" ca="1" si="3"/>
        <v>15.286283466308994</v>
      </c>
      <c r="H103" s="375">
        <f t="shared" ca="1" si="3"/>
        <v>15.742638638071144</v>
      </c>
      <c r="I103" s="375">
        <f t="shared" ca="1" si="3"/>
        <v>15.407025959561876</v>
      </c>
      <c r="J103" s="375">
        <f t="shared" ca="1" si="3"/>
        <v>15.407025959561876</v>
      </c>
    </row>
    <row r="104" spans="1:14">
      <c r="A104" s="7"/>
      <c r="B104" s="7"/>
      <c r="C104" s="7"/>
      <c r="E104" s="335" t="s">
        <v>773</v>
      </c>
      <c r="F104" s="376" t="str">
        <f>Thermal!F67</f>
        <v>EG-W</v>
      </c>
      <c r="G104" s="376" t="str">
        <f>Thermal!G67</f>
        <v>EG-W</v>
      </c>
      <c r="H104" s="376" t="str">
        <f>Thermal!H67</f>
        <v>EG-W</v>
      </c>
      <c r="I104" s="376" t="str">
        <f>Thermal!I67</f>
        <v>EG-W</v>
      </c>
      <c r="J104" s="376" t="str">
        <f>Thermal!J67</f>
        <v>EG-W</v>
      </c>
    </row>
    <row r="105" spans="1:14">
      <c r="A105" s="7"/>
      <c r="B105" s="7"/>
      <c r="C105" s="7"/>
      <c r="E105" s="335" t="s">
        <v>791</v>
      </c>
      <c r="F105" s="381">
        <f>IF(F104="CA",Thermal!F142,Thermal!F93)</f>
        <v>1</v>
      </c>
      <c r="G105" s="381">
        <f>IF(G104="CA",Thermal!G142,Thermal!G93)</f>
        <v>1</v>
      </c>
      <c r="H105" s="381">
        <f>IF(H104="CA",Thermal!H142,Thermal!H93)</f>
        <v>1</v>
      </c>
      <c r="I105" s="381">
        <f>IF(I104="CA",Thermal!I142,Thermal!I93)</f>
        <v>1</v>
      </c>
      <c r="J105" s="381">
        <f>IF(J104="CA",Thermal!J142,Thermal!J93)</f>
        <v>1</v>
      </c>
    </row>
    <row r="106" spans="1:14">
      <c r="A106" s="7"/>
      <c r="B106" s="7"/>
      <c r="C106" s="7"/>
      <c r="E106" s="335" t="s">
        <v>793</v>
      </c>
      <c r="F106" s="409">
        <f>Thermal!F145</f>
        <v>0.02</v>
      </c>
      <c r="G106" s="409">
        <f>Thermal!G145</f>
        <v>0.02</v>
      </c>
      <c r="H106" s="409">
        <f>Thermal!H145</f>
        <v>0.02</v>
      </c>
      <c r="I106" s="409">
        <f>Thermal!I145</f>
        <v>0.02</v>
      </c>
      <c r="J106" s="409">
        <f>Thermal!J145</f>
        <v>0.02</v>
      </c>
    </row>
    <row r="107" spans="1:14">
      <c r="A107" s="7"/>
      <c r="B107" s="7"/>
      <c r="C107" s="7"/>
      <c r="E107" s="335" t="s">
        <v>774</v>
      </c>
      <c r="F107" s="136">
        <f ca="1">Thermal!F18</f>
        <v>34.999999999997712</v>
      </c>
      <c r="G107" s="136">
        <f ca="1">Thermal!G18</f>
        <v>34.999999999997335</v>
      </c>
      <c r="H107" s="136">
        <f ca="1">Thermal!H18</f>
        <v>34.999999999997428</v>
      </c>
      <c r="I107" s="136">
        <f ca="1">Thermal!I18</f>
        <v>34.999999999999218</v>
      </c>
      <c r="J107" s="136">
        <f ca="1">Thermal!J18</f>
        <v>34.999999999999218</v>
      </c>
    </row>
    <row r="108" spans="1:14">
      <c r="E108" s="335" t="s">
        <v>775</v>
      </c>
      <c r="F108" s="143">
        <f ca="1">Thermal!F20</f>
        <v>88.925400743863491</v>
      </c>
      <c r="G108" s="143">
        <f ca="1">Thermal!G20</f>
        <v>92.071757346284187</v>
      </c>
      <c r="H108" s="143">
        <f ca="1">Thermal!H20</f>
        <v>89.907971211458346</v>
      </c>
      <c r="I108" s="143">
        <f ca="1">Thermal!I20</f>
        <v>88.216024725517428</v>
      </c>
      <c r="J108" s="143">
        <f ca="1">Thermal!J20</f>
        <v>88.216024725517428</v>
      </c>
    </row>
    <row r="109" spans="1:14">
      <c r="E109" s="335" t="s">
        <v>776</v>
      </c>
      <c r="F109" s="100">
        <f ca="1">Thermal!F37</f>
        <v>7695.6587808659815</v>
      </c>
      <c r="G109" s="100">
        <f ca="1">Thermal!G37</f>
        <v>9225.4610712821304</v>
      </c>
      <c r="H109" s="100">
        <f ca="1">Thermal!H37</f>
        <v>7706.166568816062</v>
      </c>
      <c r="I109" s="100">
        <f ca="1">Thermal!I37</f>
        <v>3825.0515867916542</v>
      </c>
      <c r="J109" s="100">
        <f ca="1">Thermal!J37</f>
        <v>3825.0515867916542</v>
      </c>
    </row>
    <row r="110" spans="1:14">
      <c r="E110" s="155" t="s">
        <v>794</v>
      </c>
      <c r="F110" s="143">
        <f ca="1">Thermal!F163</f>
        <v>3924.6363679424089</v>
      </c>
      <c r="G110" s="143">
        <f ca="1">Thermal!G163</f>
        <v>4704.8057953677035</v>
      </c>
      <c r="H110" s="143">
        <f ca="1">Thermal!H163</f>
        <v>3929.9951355164017</v>
      </c>
      <c r="I110" s="143">
        <f ca="1">Thermal!I163</f>
        <v>1950.7019469344705</v>
      </c>
      <c r="J110" s="143">
        <f ca="1">Thermal!J163</f>
        <v>1950.7019469344705</v>
      </c>
    </row>
    <row r="111" spans="1:14">
      <c r="E111" s="155" t="s">
        <v>797</v>
      </c>
      <c r="F111" s="143">
        <f ca="1">Thermal!F130*10</f>
        <v>5.6335887425625621</v>
      </c>
      <c r="G111" s="143">
        <f ca="1">Thermal!G130*10</f>
        <v>4.5454143154826578</v>
      </c>
      <c r="H111" s="143">
        <f ca="1">Thermal!H130*10</f>
        <v>5.4999208272582738</v>
      </c>
      <c r="I111" s="143">
        <f ca="1">Thermal!I130*10</f>
        <v>5.5059602220878112</v>
      </c>
      <c r="J111" s="143">
        <f ca="1">Thermal!J130*10</f>
        <v>5.5059602220878112</v>
      </c>
      <c r="M111" s="132"/>
      <c r="N111" s="132"/>
    </row>
    <row r="112" spans="1:14">
      <c r="E112" s="155" t="s">
        <v>777</v>
      </c>
      <c r="F112" s="377">
        <f ca="1">IF(Thermal!F67="EG-W",Thermal!F111,Thermal!F172)</f>
        <v>12.471692067143161</v>
      </c>
      <c r="G112" s="377">
        <f ca="1">IF(Thermal!G67="EG-W",Thermal!G111,Thermal!G172)</f>
        <v>14.374633257682207</v>
      </c>
      <c r="H112" s="377">
        <f ca="1">IF(Thermal!H67="EG-W",Thermal!H111,Thermal!H172)</f>
        <v>12.481642819796702</v>
      </c>
      <c r="I112" s="377">
        <f ca="1">IF(Thermal!I67="EG-W",Thermal!I111,Thermal!I172)</f>
        <v>12.509718070418604</v>
      </c>
      <c r="J112" s="377">
        <f ca="1">IF(Thermal!J67="EG-W",Thermal!J111,Thermal!J172)</f>
        <v>12.509718070418604</v>
      </c>
    </row>
    <row r="113" spans="5:12">
      <c r="E113" s="335" t="s">
        <v>790</v>
      </c>
      <c r="F113" s="132">
        <f ca="1">Thermal!F38</f>
        <v>3082.6705003781794</v>
      </c>
      <c r="G113" s="132">
        <f ca="1">Thermal!G38</f>
        <v>3695.4674715487226</v>
      </c>
      <c r="H113" s="132">
        <f ca="1">Thermal!H38</f>
        <v>3086.8796329372285</v>
      </c>
      <c r="I113" s="132">
        <f ca="1">Thermal!I38</f>
        <v>3064.4221696380459</v>
      </c>
      <c r="J113" s="132">
        <f ca="1">Thermal!J38</f>
        <v>3064.4221696380459</v>
      </c>
      <c r="K113" s="132"/>
      <c r="L113" s="132"/>
    </row>
    <row r="114" spans="5:12">
      <c r="E114" s="335" t="s">
        <v>778</v>
      </c>
      <c r="F114" s="136">
        <f ca="1">Thermal!F181</f>
        <v>126.68972126528487</v>
      </c>
      <c r="G114" s="136">
        <f ca="1">Thermal!G181</f>
        <v>129.97201042041394</v>
      </c>
      <c r="H114" s="136">
        <f ca="1">Thermal!H181</f>
        <v>137.97923152560222</v>
      </c>
      <c r="I114" s="136">
        <f ca="1">Thermal!I181</f>
        <v>78.098876511683642</v>
      </c>
      <c r="J114" s="136">
        <f ca="1">Thermal!J181</f>
        <v>78.098876511683642</v>
      </c>
    </row>
    <row r="115" spans="5:12">
      <c r="E115" s="335" t="s">
        <v>779</v>
      </c>
      <c r="F115" s="377">
        <f ca="1">Thermal!F185</f>
        <v>101.35177701222814</v>
      </c>
      <c r="G115" s="377">
        <f ca="1">Thermal!G185</f>
        <v>103.9776083363313</v>
      </c>
      <c r="H115" s="377">
        <f ca="1">Thermal!H185</f>
        <v>110.383385220482</v>
      </c>
      <c r="I115" s="377">
        <f ca="1">Thermal!I185</f>
        <v>62.479101209346965</v>
      </c>
      <c r="J115" s="377">
        <f ca="1">Thermal!J185</f>
        <v>62.479101209346965</v>
      </c>
    </row>
    <row r="116" spans="5:12">
      <c r="E116" s="335" t="s">
        <v>780</v>
      </c>
      <c r="F116">
        <f>Thermal!F190</f>
        <v>3000</v>
      </c>
      <c r="G116">
        <f>Thermal!G190</f>
        <v>3000</v>
      </c>
      <c r="H116">
        <f>Thermal!H190</f>
        <v>3000</v>
      </c>
      <c r="I116">
        <f>Thermal!I190</f>
        <v>3000</v>
      </c>
      <c r="J116">
        <f>Thermal!J190</f>
        <v>3000</v>
      </c>
    </row>
    <row r="117" spans="5:12">
      <c r="E117" s="335" t="s">
        <v>781</v>
      </c>
      <c r="F117" s="143">
        <f ca="1">Thermal!F191</f>
        <v>18.693095073586132</v>
      </c>
      <c r="G117" s="143">
        <f ca="1">Thermal!G191</f>
        <v>20.428623274979</v>
      </c>
      <c r="H117" s="143">
        <f ca="1">Thermal!H191</f>
        <v>20.122862041066178</v>
      </c>
      <c r="I117" s="143">
        <f ca="1">Thermal!I191</f>
        <v>9.9388948358683127</v>
      </c>
      <c r="J117" s="143">
        <f ca="1">Thermal!J191</f>
        <v>9.9388948358683127</v>
      </c>
    </row>
    <row r="118" spans="5:12"/>
  </sheetData>
  <mergeCells count="2">
    <mergeCell ref="A1:J1"/>
    <mergeCell ref="A2:J2"/>
  </mergeCells>
  <phoneticPr fontId="5" type="noConversion"/>
  <pageMargins left="0.5" right="0.5" top="0.5" bottom="0.5" header="0.5" footer="0.5"/>
  <pageSetup scale="79" orientation="portrait" r:id="rId1"/>
  <headerFooter alignWithMargins="0">
    <oddFooter>&amp;C &amp;P&amp;R&amp;D</oddFooter>
  </headerFooter>
  <rowBreaks count="1" manualBreakCount="1">
    <brk id="80" max="9" man="1"/>
  </rowBreaks>
  <drawing r:id="rId2"/>
  <legacyDrawing r:id="rId3"/>
</worksheet>
</file>

<file path=xl/worksheets/sheet5.xml><?xml version="1.0" encoding="utf-8"?>
<worksheet xmlns="http://schemas.openxmlformats.org/spreadsheetml/2006/main" xmlns:r="http://schemas.openxmlformats.org/officeDocument/2006/relationships">
  <sheetPr enableFormatConditionsCalculation="0">
    <tabColor indexed="41"/>
  </sheetPr>
  <dimension ref="A1:L303"/>
  <sheetViews>
    <sheetView zoomScaleNormal="100" workbookViewId="0">
      <selection activeCell="F5" sqref="F5"/>
    </sheetView>
  </sheetViews>
  <sheetFormatPr defaultRowHeight="12.75"/>
  <cols>
    <col min="1" max="1" width="9" customWidth="1"/>
    <col min="2" max="2" width="8.42578125" customWidth="1"/>
    <col min="3" max="3" width="12.140625" customWidth="1"/>
    <col min="4" max="4" width="9.7109375" customWidth="1"/>
    <col min="5" max="5" width="6.85546875" customWidth="1"/>
    <col min="6" max="6" width="11.42578125" customWidth="1"/>
    <col min="7" max="10" width="10.7109375" customWidth="1"/>
  </cols>
  <sheetData>
    <row r="1" spans="1:10" ht="15.75">
      <c r="A1" s="425" t="s">
        <v>183</v>
      </c>
      <c r="B1" s="425"/>
      <c r="C1" s="425"/>
      <c r="D1" s="425"/>
      <c r="E1" s="425"/>
      <c r="F1" s="425"/>
      <c r="G1" s="425"/>
      <c r="H1" s="425"/>
      <c r="I1" s="425"/>
      <c r="J1" s="425"/>
    </row>
    <row r="2" spans="1:10" ht="15.75">
      <c r="A2" s="425" t="str">
        <f>'Battery Design'!A73:J73</f>
        <v>Li1.05(Ni4/9Mn4/9Co1/9)0.95O2-Graphite</v>
      </c>
      <c r="B2" s="425"/>
      <c r="C2" s="425"/>
      <c r="D2" s="425"/>
      <c r="E2" s="425"/>
      <c r="F2" s="425"/>
      <c r="G2" s="425"/>
      <c r="H2" s="425"/>
      <c r="I2" s="425"/>
      <c r="J2" s="425"/>
    </row>
    <row r="3" spans="1:10">
      <c r="A3" s="144"/>
      <c r="B3" s="144"/>
      <c r="C3" s="144"/>
      <c r="D3" s="144"/>
      <c r="E3" s="144"/>
      <c r="F3" s="144"/>
      <c r="H3" s="144"/>
      <c r="I3" s="144"/>
      <c r="J3" s="144"/>
    </row>
    <row r="4" spans="1:10">
      <c r="A4" s="60"/>
      <c r="B4" s="60"/>
      <c r="C4" s="60"/>
      <c r="D4" s="60"/>
      <c r="E4" s="60"/>
      <c r="F4" s="61" t="s">
        <v>0</v>
      </c>
      <c r="G4" s="61" t="s">
        <v>1</v>
      </c>
      <c r="H4" s="61" t="s">
        <v>2</v>
      </c>
      <c r="I4" s="61" t="s">
        <v>3</v>
      </c>
      <c r="J4" s="61" t="s">
        <v>4</v>
      </c>
    </row>
    <row r="5" spans="1:10">
      <c r="A5" s="81" t="s">
        <v>101</v>
      </c>
      <c r="B5" s="81"/>
      <c r="C5" s="81"/>
      <c r="D5" s="63"/>
      <c r="E5" s="63"/>
      <c r="F5" s="65"/>
      <c r="G5" s="65"/>
      <c r="H5" s="65"/>
      <c r="I5" s="65"/>
      <c r="J5" s="65"/>
    </row>
    <row r="6" spans="1:10">
      <c r="A6" s="27" t="s">
        <v>801</v>
      </c>
      <c r="B6" s="47"/>
      <c r="C6" s="47"/>
      <c r="D6" s="63"/>
      <c r="E6" s="65"/>
      <c r="F6" s="67">
        <f>'Battery Design'!F69*'Battery Design'!F62</f>
        <v>100000</v>
      </c>
      <c r="G6" s="67">
        <f>'Battery Design'!G69*'Battery Design'!G62</f>
        <v>100000</v>
      </c>
      <c r="H6" s="67">
        <f>'Battery Design'!H69*'Battery Design'!H62</f>
        <v>100000</v>
      </c>
      <c r="I6" s="67">
        <f>'Battery Design'!I69*'Battery Design'!I62</f>
        <v>200000</v>
      </c>
      <c r="J6" s="67">
        <f>'Battery Design'!J69*'Battery Design'!J62</f>
        <v>200000</v>
      </c>
    </row>
    <row r="7" spans="1:10">
      <c r="A7" s="52" t="s">
        <v>253</v>
      </c>
      <c r="B7" s="52"/>
      <c r="C7" s="52"/>
      <c r="D7" s="63"/>
      <c r="E7" s="63"/>
      <c r="F7" s="67">
        <f ca="1">F6*'Battery Design'!F136</f>
        <v>3529411.764705902</v>
      </c>
      <c r="G7" s="67">
        <f ca="1">G6*'Battery Design'!G136</f>
        <v>3529411.7647059169</v>
      </c>
      <c r="H7" s="67">
        <f ca="1">H6*'Battery Design'!H136</f>
        <v>3529411.7647059159</v>
      </c>
      <c r="I7" s="67">
        <f ca="1">I6*'Battery Design'!I136</f>
        <v>3529411.7647058982</v>
      </c>
      <c r="J7" s="67">
        <f ca="1">J6*'Battery Design'!J136</f>
        <v>3529411.7647058982</v>
      </c>
    </row>
    <row r="8" spans="1:10">
      <c r="A8" s="47" t="s">
        <v>102</v>
      </c>
      <c r="B8" s="47"/>
      <c r="C8" s="47"/>
      <c r="D8" s="63"/>
      <c r="E8" s="63"/>
      <c r="F8" s="67">
        <f>F6*'Battery Design'!F64</f>
        <v>12800000</v>
      </c>
      <c r="G8" s="67">
        <f>G6*'Battery Design'!G64</f>
        <v>25600000</v>
      </c>
      <c r="H8" s="67">
        <f>H6*'Battery Design'!H64</f>
        <v>25600000</v>
      </c>
      <c r="I8" s="67">
        <f>I6*'Battery Design'!I64</f>
        <v>25600000</v>
      </c>
      <c r="J8" s="67">
        <f>J6*'Battery Design'!J64</f>
        <v>25600000</v>
      </c>
    </row>
    <row r="9" spans="1:10">
      <c r="A9" s="52" t="s">
        <v>103</v>
      </c>
      <c r="B9" s="52"/>
      <c r="C9" s="52"/>
      <c r="D9" s="63"/>
      <c r="E9" s="63"/>
      <c r="F9" s="67">
        <f>F8/'Cost Input'!$J4*100</f>
        <v>13473684.210526314</v>
      </c>
      <c r="G9" s="67">
        <f>G8/'Cost Input'!$J4*100</f>
        <v>26947368.421052627</v>
      </c>
      <c r="H9" s="67">
        <f>H8/'Cost Input'!$J4*100</f>
        <v>26947368.421052627</v>
      </c>
      <c r="I9" s="67">
        <f>I8/'Cost Input'!$J4*100</f>
        <v>26947368.421052627</v>
      </c>
      <c r="J9" s="67">
        <f>J8/'Cost Input'!$J4*100</f>
        <v>26947368.421052627</v>
      </c>
    </row>
    <row r="10" spans="1:10" ht="14.25">
      <c r="A10" s="52" t="s">
        <v>254</v>
      </c>
      <c r="B10" s="52"/>
      <c r="C10" s="52"/>
      <c r="D10" s="63"/>
      <c r="E10" s="63"/>
      <c r="F10" s="67">
        <f ca="1">F9*'Battery Design'!F103/10000</f>
        <v>28679980.075788226</v>
      </c>
      <c r="G10" s="67">
        <f ca="1">G9*'Battery Design'!G103/10000</f>
        <v>29274246.751692992</v>
      </c>
      <c r="H10" s="67">
        <f ca="1">H9*'Battery Design'!H103/10000</f>
        <v>29242097.660995103</v>
      </c>
      <c r="I10" s="67">
        <f ca="1">I9*'Battery Design'!I103/10000</f>
        <v>28661608.053747315</v>
      </c>
      <c r="J10" s="67">
        <f ca="1">J9*'Battery Design'!J103/10000</f>
        <v>28661608.053747315</v>
      </c>
    </row>
    <row r="11" spans="1:10">
      <c r="A11" s="52" t="s">
        <v>255</v>
      </c>
      <c r="B11" s="52"/>
      <c r="C11" s="52"/>
      <c r="D11" s="63"/>
      <c r="E11" s="63"/>
      <c r="F11" s="67">
        <f ca="1">'Battery Design'!F7*F8/1000/'Cost Input'!$J4*100/'Cost Input'!$J6*100</f>
        <v>6265975.4326818762</v>
      </c>
      <c r="G11" s="67">
        <f ca="1">'Battery Design'!G7*G8/1000/'Cost Input'!$J4*100/'Cost Input'!$J6*100</f>
        <v>6395810.2645695927</v>
      </c>
      <c r="H11" s="67">
        <f ca="1">'Battery Design'!H7*H8/1000/'Cost Input'!$J4*100/'Cost Input'!$J6*100</f>
        <v>6388786.3610674394</v>
      </c>
      <c r="I11" s="67">
        <f ca="1">'Battery Design'!I7*I8/1000/'Cost Input'!$J4*100/'Cost Input'!$J6*100</f>
        <v>6261961.5303550493</v>
      </c>
      <c r="J11" s="67">
        <f ca="1">'Battery Design'!J7*J8/1000/'Cost Input'!$J4*100/'Cost Input'!$J6*100</f>
        <v>6261961.5303550493</v>
      </c>
    </row>
    <row r="12" spans="1:10">
      <c r="A12" s="52" t="s">
        <v>256</v>
      </c>
      <c r="B12" s="52"/>
      <c r="C12" s="52"/>
      <c r="D12" s="63"/>
      <c r="E12" s="63"/>
      <c r="F12" s="67">
        <f ca="1">'Battery Design'!F13*F8/1000/'Cost Input'!$J4*100/'Cost Input'!$J7*100</f>
        <v>4248466.4156502932</v>
      </c>
      <c r="G12" s="67">
        <f ca="1">'Battery Design'!G13*G8/1000/'Cost Input'!$J4*100/'Cost Input'!$J7*100</f>
        <v>4334314.1652865168</v>
      </c>
      <c r="H12" s="67">
        <f ca="1">'Battery Design'!H13*H8/1000/'Cost Input'!$J4*100/'Cost Input'!$J7*100</f>
        <v>4355050.2129219947</v>
      </c>
      <c r="I12" s="67">
        <f ca="1">'Battery Design'!I13*I8/1000/'Cost Input'!$J4*100/'Cost Input'!$J7*100</f>
        <v>4269791.131118576</v>
      </c>
      <c r="J12" s="67">
        <f ca="1">'Battery Design'!J13*J8/1000/'Cost Input'!$J4*100/'Cost Input'!$J7*100</f>
        <v>4269791.131118576</v>
      </c>
    </row>
    <row r="13" spans="1:10">
      <c r="A13" s="52" t="s">
        <v>257</v>
      </c>
      <c r="B13" s="52"/>
      <c r="C13" s="52"/>
      <c r="D13" s="63"/>
      <c r="E13" s="63"/>
      <c r="F13" s="67">
        <f ca="1">F51</f>
        <v>8448506.2013688795</v>
      </c>
      <c r="G13" s="67">
        <f ca="1">G51</f>
        <v>8623564.4016670361</v>
      </c>
      <c r="H13" s="67">
        <f ca="1">H51</f>
        <v>8614093.9699787349</v>
      </c>
      <c r="I13" s="67">
        <f ca="1">I51</f>
        <v>8443094.1982315276</v>
      </c>
      <c r="J13" s="67">
        <f ca="1">J51</f>
        <v>8443094.1982315276</v>
      </c>
    </row>
    <row r="14" spans="1:10" ht="14.25">
      <c r="A14" s="52" t="s">
        <v>337</v>
      </c>
      <c r="B14" s="52"/>
      <c r="C14" s="52"/>
      <c r="D14" s="63"/>
      <c r="E14" s="63"/>
      <c r="F14" s="67">
        <f ca="1">F197+F202+F207+F212+F175/3</f>
        <v>5198.8368610943789</v>
      </c>
      <c r="G14" s="67">
        <f ca="1">G197+G202+G207+G212+G175/3</f>
        <v>8055.9624645177128</v>
      </c>
      <c r="H14" s="67">
        <f ca="1">H197+H202+H207+H212+H175/3</f>
        <v>8055.5384634591846</v>
      </c>
      <c r="I14" s="67">
        <f ca="1">I197+I202+I207+I212+I175/3</f>
        <v>8047.8502560868446</v>
      </c>
      <c r="J14" s="67">
        <f ca="1">J197+J202+J207+J212+J175/3</f>
        <v>8047.8502560868446</v>
      </c>
    </row>
    <row r="15" spans="1:10" ht="15.75">
      <c r="A15" s="19" t="s">
        <v>104</v>
      </c>
      <c r="B15" s="19"/>
      <c r="C15" s="19"/>
      <c r="D15" s="63"/>
      <c r="E15" s="63"/>
      <c r="F15" s="65"/>
      <c r="G15" s="65"/>
      <c r="H15" s="65"/>
      <c r="I15" s="65"/>
      <c r="J15" s="65"/>
    </row>
    <row r="16" spans="1:10">
      <c r="A16" s="5" t="s">
        <v>264</v>
      </c>
      <c r="B16" s="5"/>
      <c r="C16" s="5"/>
      <c r="E16" s="61" t="s">
        <v>105</v>
      </c>
    </row>
    <row r="17" spans="1:10">
      <c r="A17" s="7" t="s">
        <v>235</v>
      </c>
      <c r="B17" s="7"/>
      <c r="C17" s="7"/>
      <c r="E17" s="6">
        <f>'Cost Input'!J6</f>
        <v>92.2</v>
      </c>
    </row>
    <row r="18" spans="1:10">
      <c r="A18" s="7" t="s">
        <v>48</v>
      </c>
      <c r="B18" s="7"/>
      <c r="C18" s="7"/>
      <c r="E18" s="6"/>
      <c r="F18" s="82">
        <f ca="1">'Battery Design'!F7/'Cost Input'!$J$4*100/$E$17*100</f>
        <v>489.52933067827155</v>
      </c>
      <c r="G18" s="82">
        <f ca="1">'Battery Design'!G7/'Cost Input'!$J$4*100/$E$17*100</f>
        <v>249.83633845974973</v>
      </c>
      <c r="H18" s="82">
        <f ca="1">'Battery Design'!H7/'Cost Input'!$J$4*100/$E$17*100</f>
        <v>249.56196722919688</v>
      </c>
      <c r="I18" s="82">
        <f ca="1">'Battery Design'!I7/'Cost Input'!$J$4*100/$E$17*100</f>
        <v>244.60787227949416</v>
      </c>
      <c r="J18" s="82">
        <f ca="1">'Battery Design'!J7/'Cost Input'!$J$4*100/$E$17*100</f>
        <v>244.60787227949416</v>
      </c>
    </row>
    <row r="19" spans="1:10">
      <c r="A19" s="7" t="s">
        <v>300</v>
      </c>
      <c r="B19" s="7"/>
      <c r="C19" s="7"/>
      <c r="E19" s="6"/>
      <c r="F19" s="82">
        <f ca="1">'Battery Design'!F8/'Cost Input'!$J$4*100/$E$17*100</f>
        <v>33.001977349097054</v>
      </c>
      <c r="G19" s="82">
        <f ca="1">'Battery Design'!G8/'Cost Input'!$J$4*100/$E$17*100</f>
        <v>16.84289922200573</v>
      </c>
      <c r="H19" s="82">
        <f ca="1">'Battery Design'!H8/'Cost Input'!$J$4*100/$E$17*100</f>
        <v>16.824402285114523</v>
      </c>
      <c r="I19" s="82">
        <f ca="1">'Battery Design'!I8/'Cost Input'!$J$4*100/$E$17*100</f>
        <v>16.490418355920951</v>
      </c>
      <c r="J19" s="82">
        <f ca="1">'Battery Design'!J8/'Cost Input'!$J$4*100/$E$17*100</f>
        <v>16.490418355920951</v>
      </c>
    </row>
    <row r="20" spans="1:10">
      <c r="A20" s="7" t="s">
        <v>54</v>
      </c>
      <c r="B20" s="7"/>
      <c r="C20" s="7"/>
      <c r="E20" s="6"/>
      <c r="F20" s="82">
        <f ca="1">'Battery Design'!F9/'Cost Input'!$J$4*100/$E$17*100</f>
        <v>27.501647790914213</v>
      </c>
      <c r="G20" s="82">
        <f ca="1">'Battery Design'!G9/'Cost Input'!$J$4*100/$E$17*100</f>
        <v>14.035749351671445</v>
      </c>
      <c r="H20" s="82">
        <f ca="1">'Battery Design'!H9/'Cost Input'!$J$4*100/$E$17*100</f>
        <v>14.020335237595436</v>
      </c>
      <c r="I20" s="82">
        <f ca="1">'Battery Design'!I9/'Cost Input'!$J$4*100/$E$17*100</f>
        <v>13.742015296600796</v>
      </c>
      <c r="J20" s="82">
        <f ca="1">'Battery Design'!J9/'Cost Input'!$J$4*100/$E$17*100</f>
        <v>13.742015296600796</v>
      </c>
    </row>
    <row r="21" spans="1:10">
      <c r="A21" s="7" t="s">
        <v>56</v>
      </c>
      <c r="B21" s="7"/>
      <c r="C21" s="7"/>
      <c r="E21" s="6"/>
      <c r="F21" s="82">
        <f ca="1">96/4*F20</f>
        <v>660.03954698194116</v>
      </c>
      <c r="G21" s="82">
        <f t="shared" ref="G21:J21" ca="1" si="0">96/4*G20</f>
        <v>336.85798444011471</v>
      </c>
      <c r="H21" s="82">
        <f t="shared" ca="1" si="0"/>
        <v>336.48804570229049</v>
      </c>
      <c r="I21" s="82">
        <f t="shared" ca="1" si="0"/>
        <v>329.80836711841908</v>
      </c>
      <c r="J21" s="82">
        <f t="shared" ca="1" si="0"/>
        <v>329.80836711841908</v>
      </c>
    </row>
    <row r="22" spans="1:10">
      <c r="A22" s="7" t="s">
        <v>328</v>
      </c>
      <c r="B22" s="7"/>
      <c r="C22" s="7"/>
      <c r="E22" s="6"/>
      <c r="F22" s="82">
        <f ca="1">SUM(F18:F20)</f>
        <v>550.03295581828286</v>
      </c>
      <c r="G22" s="82">
        <f t="shared" ref="G22:J22" ca="1" si="1">SUM(G18:G20)</f>
        <v>280.71498703342689</v>
      </c>
      <c r="H22" s="82">
        <f t="shared" ca="1" si="1"/>
        <v>280.40670475190683</v>
      </c>
      <c r="I22" s="82">
        <f t="shared" ca="1" si="1"/>
        <v>274.84030593201589</v>
      </c>
      <c r="J22" s="82">
        <f t="shared" ca="1" si="1"/>
        <v>274.84030593201589</v>
      </c>
    </row>
    <row r="23" spans="1:10">
      <c r="A23" s="7" t="s">
        <v>236</v>
      </c>
      <c r="B23" s="7"/>
      <c r="C23" s="7"/>
      <c r="E23" s="6">
        <f>'Cost Input'!J7</f>
        <v>92.2</v>
      </c>
      <c r="F23" s="82"/>
      <c r="G23" s="82"/>
      <c r="H23" s="82"/>
      <c r="I23" s="82"/>
      <c r="J23" s="82"/>
    </row>
    <row r="24" spans="1:10">
      <c r="A24" s="7" t="s">
        <v>48</v>
      </c>
      <c r="B24" s="7"/>
      <c r="C24" s="7"/>
      <c r="E24" s="143"/>
      <c r="F24" s="82">
        <f ca="1">'Battery Design'!F13/$E$23*100/'Cost Input'!$J$4*100</f>
        <v>331.91143872267912</v>
      </c>
      <c r="G24" s="82">
        <f ca="1">'Battery Design'!G13/$E$23*100/'Cost Input'!$J$4*100</f>
        <v>169.30914708150459</v>
      </c>
      <c r="H24" s="82">
        <f ca="1">'Battery Design'!H13/$E$23*100/'Cost Input'!$J$4*100</f>
        <v>170.11914894226538</v>
      </c>
      <c r="I24" s="82">
        <f ca="1">'Battery Design'!I13/$E$23*100/'Cost Input'!$J$4*100</f>
        <v>166.78871605931934</v>
      </c>
      <c r="J24" s="82">
        <f ca="1">'Battery Design'!J13/$E$23*100/'Cost Input'!$J$4*100</f>
        <v>166.78871605931934</v>
      </c>
    </row>
    <row r="25" spans="1:10">
      <c r="A25" s="7" t="s">
        <v>52</v>
      </c>
      <c r="B25" s="7"/>
      <c r="C25" s="7"/>
      <c r="E25" s="143"/>
      <c r="F25" s="82">
        <f ca="1">'Battery Design'!F14/$E$23*100/'Cost Input'!$J$4*100</f>
        <v>0</v>
      </c>
      <c r="G25" s="82">
        <f ca="1">'Battery Design'!G14/$E$23*100/'Cost Input'!$J$4*100</f>
        <v>0</v>
      </c>
      <c r="H25" s="82">
        <f ca="1">'Battery Design'!H14/$E$23*100/'Cost Input'!$J$4*100</f>
        <v>0</v>
      </c>
      <c r="I25" s="82">
        <f ca="1">'Battery Design'!I14/$E$23*100/'Cost Input'!$J$4*100</f>
        <v>0</v>
      </c>
      <c r="J25" s="82">
        <f ca="1">'Battery Design'!J14/$E$23*100/'Cost Input'!$J$4*100</f>
        <v>0</v>
      </c>
    </row>
    <row r="26" spans="1:10">
      <c r="A26" s="7" t="s">
        <v>338</v>
      </c>
      <c r="B26" s="7"/>
      <c r="C26" s="7"/>
      <c r="E26" s="143"/>
      <c r="F26" s="82">
        <f ca="1">'Battery Design'!F15/$E$23*100/'Cost Input'!$J$4*100</f>
        <v>17.46902309066737</v>
      </c>
      <c r="G26" s="82">
        <f ca="1">'Battery Design'!G15/$E$23*100/'Cost Input'!$J$4*100</f>
        <v>8.9110077411318898</v>
      </c>
      <c r="H26" s="82">
        <f ca="1">'Battery Design'!H15/$E$23*100/'Cost Input'!$J$4*100</f>
        <v>8.9536394180140366</v>
      </c>
      <c r="I26" s="82">
        <f ca="1">'Battery Design'!I15/$E$23*100/'Cost Input'!$J$4*100</f>
        <v>8.7783534768062825</v>
      </c>
      <c r="J26" s="82">
        <f ca="1">'Battery Design'!J15/$E$23*100/'Cost Input'!$J$4*100</f>
        <v>8.7783534768062825</v>
      </c>
    </row>
    <row r="27" spans="1:10">
      <c r="A27" s="7" t="s">
        <v>323</v>
      </c>
      <c r="B27" s="7"/>
      <c r="C27" s="7"/>
      <c r="E27" s="143"/>
      <c r="F27" s="82">
        <f ca="1">96/4*F26</f>
        <v>419.25655417601689</v>
      </c>
      <c r="G27" s="82">
        <f t="shared" ref="G27:J27" ca="1" si="2">96/4*G26</f>
        <v>213.86418578716535</v>
      </c>
      <c r="H27" s="82">
        <f t="shared" ca="1" si="2"/>
        <v>214.88734603233689</v>
      </c>
      <c r="I27" s="82">
        <f t="shared" ca="1" si="2"/>
        <v>210.68048344335079</v>
      </c>
      <c r="J27" s="82">
        <f t="shared" ca="1" si="2"/>
        <v>210.68048344335079</v>
      </c>
    </row>
    <row r="28" spans="1:10">
      <c r="A28" s="7" t="s">
        <v>328</v>
      </c>
      <c r="B28" s="7"/>
      <c r="C28" s="7"/>
      <c r="E28" s="143"/>
      <c r="F28" s="82">
        <f ca="1">SUM(F24:F26)</f>
        <v>349.38046181334647</v>
      </c>
      <c r="G28" s="82">
        <f t="shared" ref="G28:J28" ca="1" si="3">SUM(G24:G26)</f>
        <v>178.22015482263649</v>
      </c>
      <c r="H28" s="82">
        <f t="shared" ca="1" si="3"/>
        <v>179.07278836027942</v>
      </c>
      <c r="I28" s="82">
        <f t="shared" ca="1" si="3"/>
        <v>175.56706953612562</v>
      </c>
      <c r="J28" s="82">
        <f t="shared" ca="1" si="3"/>
        <v>175.56706953612562</v>
      </c>
    </row>
    <row r="29" spans="1:10" ht="14.25">
      <c r="A29" s="7" t="s">
        <v>107</v>
      </c>
      <c r="B29" s="7"/>
      <c r="C29" s="7"/>
      <c r="E29" s="6">
        <f>'Cost Input'!J8</f>
        <v>90.2</v>
      </c>
      <c r="F29" s="59">
        <f ca="1">'Battery Design'!F19/$E29*100/'Cost Input'!$J$4*100</f>
        <v>1.3126617028766268</v>
      </c>
      <c r="G29" s="59">
        <f ca="1">'Battery Design'!G19/$E29*100/'Cost Input'!$J$4*100</f>
        <v>0.65854983651541299</v>
      </c>
      <c r="H29" s="59">
        <f ca="1">'Battery Design'!H19/$E29*100/'Cost Input'!$J$4*100</f>
        <v>0.70450683261811586</v>
      </c>
      <c r="I29" s="59">
        <f ca="1">'Battery Design'!I19/$E29*100/'Cost Input'!$J$4*100</f>
        <v>0.69122589544773194</v>
      </c>
      <c r="J29" s="59">
        <f ca="1">'Battery Design'!J19/$E29*100/'Cost Input'!$J$4*100</f>
        <v>0.69122589544773194</v>
      </c>
    </row>
    <row r="30" spans="1:10" ht="14.25">
      <c r="A30" s="7" t="s">
        <v>108</v>
      </c>
      <c r="B30" s="7"/>
      <c r="C30" s="7"/>
      <c r="E30" s="6">
        <f>'Cost Input'!J9</f>
        <v>90.2</v>
      </c>
      <c r="F30" s="59">
        <f ca="1">'Battery Design'!F20/$E30*100/'Cost Input'!$J$4*100</f>
        <v>1.3942368485337262</v>
      </c>
      <c r="G30" s="59">
        <f ca="1">'Battery Design'!G20/$E30*100/'Cost Input'!$J$4*100</f>
        <v>0.72658184292859773</v>
      </c>
      <c r="H30" s="59">
        <f ca="1">'Battery Design'!H20/$E30*100/'Cost Input'!$J$4*100</f>
        <v>0.7516963481871477</v>
      </c>
      <c r="I30" s="59">
        <f ca="1">'Battery Design'!I20/$E30*100/'Cost Input'!$J$4*100</f>
        <v>0.73771616837791776</v>
      </c>
      <c r="J30" s="59">
        <f ca="1">'Battery Design'!J20/$E30*100/'Cost Input'!$J$4*100</f>
        <v>0.73771616837791776</v>
      </c>
    </row>
    <row r="31" spans="1:10" ht="14.25">
      <c r="A31" s="7" t="s">
        <v>109</v>
      </c>
      <c r="B31" s="7"/>
      <c r="C31" s="7"/>
      <c r="E31" s="6">
        <f>'Cost Input'!J10</f>
        <v>98</v>
      </c>
      <c r="F31" s="59">
        <f ca="1">'Battery Design'!F21/$E31*100/'Cost Input'!$J$4*100</f>
        <v>2.4046981160208785</v>
      </c>
      <c r="G31" s="59">
        <f ca="1">'Battery Design'!G21/$E31*100/'Cost Input'!$J$4*100</f>
        <v>1.2258917355033765</v>
      </c>
      <c r="H31" s="59">
        <f ca="1">'Battery Design'!H21/$E31*100/'Cost Input'!$J$4*100</f>
        <v>1.2456839185171118</v>
      </c>
      <c r="I31" s="59">
        <f ca="1">'Battery Design'!I21/$E31*100/'Cost Input'!$J$4*100</f>
        <v>1.2217600037145928</v>
      </c>
      <c r="J31" s="59">
        <f ca="1">'Battery Design'!J21/$E31*100/'Cost Input'!$J$4*100</f>
        <v>1.2217600037145928</v>
      </c>
    </row>
    <row r="32" spans="1:10">
      <c r="A32" s="7" t="s">
        <v>110</v>
      </c>
      <c r="B32" s="7"/>
      <c r="C32" s="7"/>
      <c r="E32" s="6">
        <f>'Cost Input'!J11</f>
        <v>94</v>
      </c>
      <c r="F32" s="59">
        <f ca="1">'Battery Design'!F22/$E32*100/'Cost Input'!$J$4*100</f>
        <v>0.18315750943120646</v>
      </c>
      <c r="G32" s="59">
        <f ca="1">'Battery Design'!G22/$E32*100/'Cost Input'!$J$4*100</f>
        <v>9.3583302686798597E-2</v>
      </c>
      <c r="H32" s="59">
        <f ca="1">'Battery Design'!H22/$E32*100/'Cost Input'!$J$4*100</f>
        <v>9.3807233155587047E-2</v>
      </c>
      <c r="I32" s="59">
        <f ca="1">'Battery Design'!I22/$E32*100/'Cost Input'!$J$4*100</f>
        <v>9.1965082313227878E-2</v>
      </c>
      <c r="J32" s="59">
        <f ca="1">'Battery Design'!J22/$E32*100/'Cost Input'!$J$4*100</f>
        <v>9.1965082313227878E-2</v>
      </c>
    </row>
    <row r="33" spans="1:10">
      <c r="A33" s="5" t="s">
        <v>111</v>
      </c>
      <c r="B33" s="5"/>
      <c r="C33" s="5"/>
      <c r="D33" s="3"/>
      <c r="F33" s="83"/>
      <c r="G33" s="83"/>
      <c r="H33" s="83"/>
      <c r="I33" s="83"/>
      <c r="J33" s="83"/>
    </row>
    <row r="34" spans="1:10">
      <c r="A34" s="7" t="s">
        <v>5</v>
      </c>
      <c r="B34" s="7"/>
      <c r="C34" s="7"/>
      <c r="D34" s="3"/>
      <c r="F34" s="83"/>
      <c r="G34" s="83"/>
      <c r="H34" s="83"/>
      <c r="I34" s="83"/>
      <c r="J34" s="83"/>
    </row>
    <row r="35" spans="1:10">
      <c r="A35" s="7" t="s">
        <v>112</v>
      </c>
      <c r="B35" s="7"/>
      <c r="C35" s="7"/>
      <c r="F35" s="84">
        <f t="shared" ref="F35:F37" ca="1" si="4">F18*F$8/1000</f>
        <v>6265975.4326818762</v>
      </c>
      <c r="G35" s="84">
        <f t="shared" ref="G35:J35" ca="1" si="5">G18*G$8/1000</f>
        <v>6395810.2645695936</v>
      </c>
      <c r="H35" s="84">
        <f t="shared" ca="1" si="5"/>
        <v>6388786.3610674404</v>
      </c>
      <c r="I35" s="84">
        <f t="shared" ca="1" si="5"/>
        <v>6261961.5303550502</v>
      </c>
      <c r="J35" s="84">
        <f t="shared" ca="1" si="5"/>
        <v>6261961.5303550502</v>
      </c>
    </row>
    <row r="36" spans="1:10">
      <c r="A36" s="7" t="s">
        <v>301</v>
      </c>
      <c r="B36" s="7"/>
      <c r="C36" s="7"/>
      <c r="F36" s="84">
        <f t="shared" ca="1" si="4"/>
        <v>422425.31006844231</v>
      </c>
      <c r="G36" s="84">
        <f t="shared" ref="G36:J36" ca="1" si="6">G19*G$8/1000</f>
        <v>431178.22008334671</v>
      </c>
      <c r="H36" s="84">
        <f t="shared" ca="1" si="6"/>
        <v>430704.69849893177</v>
      </c>
      <c r="I36" s="84">
        <f t="shared" ca="1" si="6"/>
        <v>422154.70991157636</v>
      </c>
      <c r="J36" s="84">
        <f t="shared" ca="1" si="6"/>
        <v>422154.70991157636</v>
      </c>
    </row>
    <row r="37" spans="1:10">
      <c r="A37" s="7" t="s">
        <v>114</v>
      </c>
      <c r="B37" s="7"/>
      <c r="C37" s="7"/>
      <c r="F37" s="84">
        <f t="shared" ca="1" si="4"/>
        <v>352021.09172370192</v>
      </c>
      <c r="G37" s="84">
        <f t="shared" ref="G37:J37" ca="1" si="7">G20*G$8/1000</f>
        <v>359315.183402789</v>
      </c>
      <c r="H37" s="84">
        <f t="shared" ca="1" si="7"/>
        <v>358920.58208244317</v>
      </c>
      <c r="I37" s="84">
        <f t="shared" ca="1" si="7"/>
        <v>351795.59159298037</v>
      </c>
      <c r="J37" s="84">
        <f t="shared" ca="1" si="7"/>
        <v>351795.59159298037</v>
      </c>
    </row>
    <row r="38" spans="1:10">
      <c r="A38" s="7" t="s">
        <v>241</v>
      </c>
      <c r="B38" s="7"/>
      <c r="C38" s="7"/>
      <c r="F38" s="84">
        <f ca="1">F21*F$8/1000*(1-'Cost Input'!$J12/100)</f>
        <v>42242.53100684427</v>
      </c>
      <c r="G38" s="84">
        <f ca="1">G21*G$8/1000*(1-'Cost Input'!$J12/100)</f>
        <v>43117.822008334726</v>
      </c>
      <c r="H38" s="84">
        <f ca="1">H21*H$8/1000*(1-'Cost Input'!$J12/100)</f>
        <v>43070.469849893219</v>
      </c>
      <c r="I38" s="84">
        <f ca="1">I21*I$8/1000*(1-'Cost Input'!$J12/100)</f>
        <v>42215.470991157672</v>
      </c>
      <c r="J38" s="84">
        <f ca="1">J21*J$8/1000*(1-'Cost Input'!$J12/100)</f>
        <v>42215.470991157672</v>
      </c>
    </row>
    <row r="39" spans="1:10">
      <c r="A39" s="7" t="s">
        <v>115</v>
      </c>
      <c r="B39" s="7"/>
      <c r="C39" s="7"/>
      <c r="F39" s="84"/>
      <c r="G39" s="84"/>
      <c r="H39" s="84"/>
      <c r="I39" s="84"/>
      <c r="J39" s="84"/>
    </row>
    <row r="40" spans="1:10">
      <c r="A40" s="7" t="s">
        <v>116</v>
      </c>
      <c r="B40" s="7"/>
      <c r="C40" s="7"/>
      <c r="F40" s="84">
        <f t="shared" ref="F40:F42" ca="1" si="8">F24*F$8/1000</f>
        <v>4248466.4156502932</v>
      </c>
      <c r="G40" s="84">
        <f t="shared" ref="G40:J40" ca="1" si="9">G24*G$8/1000</f>
        <v>4334314.1652865168</v>
      </c>
      <c r="H40" s="84">
        <f t="shared" ca="1" si="9"/>
        <v>4355050.2129219938</v>
      </c>
      <c r="I40" s="84">
        <f t="shared" ca="1" si="9"/>
        <v>4269791.1311185751</v>
      </c>
      <c r="J40" s="84">
        <f t="shared" ca="1" si="9"/>
        <v>4269791.1311185751</v>
      </c>
    </row>
    <row r="41" spans="1:10">
      <c r="A41" s="7" t="s">
        <v>113</v>
      </c>
      <c r="B41" s="7"/>
      <c r="C41" s="7"/>
      <c r="F41" s="84">
        <f t="shared" ca="1" si="8"/>
        <v>0</v>
      </c>
      <c r="G41" s="84">
        <f t="shared" ref="G41:J41" ca="1" si="10">G25*G$8/1000</f>
        <v>0</v>
      </c>
      <c r="H41" s="84">
        <f t="shared" ca="1" si="10"/>
        <v>0</v>
      </c>
      <c r="I41" s="84">
        <f t="shared" ca="1" si="10"/>
        <v>0</v>
      </c>
      <c r="J41" s="84">
        <f t="shared" ca="1" si="10"/>
        <v>0</v>
      </c>
    </row>
    <row r="42" spans="1:10">
      <c r="A42" s="7" t="s">
        <v>114</v>
      </c>
      <c r="B42" s="7"/>
      <c r="C42" s="7"/>
      <c r="F42" s="84">
        <f t="shared" ca="1" si="8"/>
        <v>223603.49556054233</v>
      </c>
      <c r="G42" s="84">
        <f t="shared" ref="G42:J42" ca="1" si="11">G26*G$8/1000</f>
        <v>228121.79817297639</v>
      </c>
      <c r="H42" s="84">
        <f t="shared" ca="1" si="11"/>
        <v>229213.16910115932</v>
      </c>
      <c r="I42" s="84">
        <f t="shared" ca="1" si="11"/>
        <v>224725.84900624084</v>
      </c>
      <c r="J42" s="84">
        <f t="shared" ca="1" si="11"/>
        <v>224725.84900624084</v>
      </c>
    </row>
    <row r="43" spans="1:10" ht="14.25">
      <c r="A43" s="7" t="s">
        <v>107</v>
      </c>
      <c r="B43" s="7"/>
      <c r="C43" s="7"/>
      <c r="F43" s="84">
        <f t="shared" ref="F43:F46" ca="1" si="12">F29*F$8</f>
        <v>16802069.796820823</v>
      </c>
      <c r="G43" s="84">
        <f t="shared" ref="G43:J43" ca="1" si="13">G29*G$8</f>
        <v>16858875.814794574</v>
      </c>
      <c r="H43" s="84">
        <f t="shared" ca="1" si="13"/>
        <v>18035374.915023766</v>
      </c>
      <c r="I43" s="84">
        <f t="shared" ca="1" si="13"/>
        <v>17695382.923461936</v>
      </c>
      <c r="J43" s="84">
        <f t="shared" ca="1" si="13"/>
        <v>17695382.923461936</v>
      </c>
    </row>
    <row r="44" spans="1:10" ht="14.25">
      <c r="A44" s="7" t="s">
        <v>108</v>
      </c>
      <c r="B44" s="7"/>
      <c r="C44" s="7"/>
      <c r="F44" s="84">
        <f t="shared" ca="1" si="12"/>
        <v>17846231.661231697</v>
      </c>
      <c r="G44" s="84">
        <f t="shared" ref="G44:J44" ca="1" si="14">G30*G$8</f>
        <v>18600495.178972103</v>
      </c>
      <c r="H44" s="84">
        <f t="shared" ca="1" si="14"/>
        <v>19243426.51359098</v>
      </c>
      <c r="I44" s="84">
        <f t="shared" ca="1" si="14"/>
        <v>18885533.910474695</v>
      </c>
      <c r="J44" s="84">
        <f t="shared" ca="1" si="14"/>
        <v>18885533.910474695</v>
      </c>
    </row>
    <row r="45" spans="1:10" ht="14.25">
      <c r="A45" s="7" t="s">
        <v>109</v>
      </c>
      <c r="B45" s="7"/>
      <c r="C45" s="7"/>
      <c r="F45" s="84">
        <f t="shared" ca="1" si="12"/>
        <v>30780135.885067243</v>
      </c>
      <c r="G45" s="84">
        <f t="shared" ref="G45:J45" ca="1" si="15">G31*G$8</f>
        <v>31382828.42888644</v>
      </c>
      <c r="H45" s="84">
        <f t="shared" ca="1" si="15"/>
        <v>31889508.314038061</v>
      </c>
      <c r="I45" s="84">
        <f t="shared" ca="1" si="15"/>
        <v>31277056.095093574</v>
      </c>
      <c r="J45" s="84">
        <f t="shared" ca="1" si="15"/>
        <v>31277056.095093574</v>
      </c>
    </row>
    <row r="46" spans="1:10">
      <c r="A46" s="7" t="s">
        <v>110</v>
      </c>
      <c r="B46" s="7"/>
      <c r="C46" s="7"/>
      <c r="F46" s="84">
        <f t="shared" ca="1" si="12"/>
        <v>2344416.1207194426</v>
      </c>
      <c r="G46" s="84">
        <f t="shared" ref="G46:J46" ca="1" si="16">G32*G$8</f>
        <v>2395732.5487820441</v>
      </c>
      <c r="H46" s="84">
        <f t="shared" ca="1" si="16"/>
        <v>2401465.1687830286</v>
      </c>
      <c r="I46" s="84">
        <f t="shared" ca="1" si="16"/>
        <v>2354306.1072186339</v>
      </c>
      <c r="J46" s="84">
        <f t="shared" ca="1" si="16"/>
        <v>2354306.1072186339</v>
      </c>
    </row>
    <row r="47" spans="1:10">
      <c r="A47" s="47" t="s">
        <v>117</v>
      </c>
      <c r="B47" s="47"/>
      <c r="C47" s="47"/>
      <c r="F47" s="84">
        <f>F$8/'Cost Input'!$J4*100</f>
        <v>13473684.210526314</v>
      </c>
      <c r="G47" s="84">
        <f>G$8/'Cost Input'!$J4*100</f>
        <v>26947368.421052627</v>
      </c>
      <c r="H47" s="84">
        <f>H$8/'Cost Input'!$J4*100</f>
        <v>26947368.421052627</v>
      </c>
      <c r="I47" s="84">
        <f>I$8/'Cost Input'!$J4*100</f>
        <v>26947368.421052627</v>
      </c>
      <c r="J47" s="84">
        <f>J$8/'Cost Input'!$J4*100</f>
        <v>26947368.421052627</v>
      </c>
    </row>
    <row r="48" spans="1:10">
      <c r="A48" s="47" t="s">
        <v>118</v>
      </c>
      <c r="B48" s="47"/>
      <c r="C48" s="47"/>
      <c r="F48" s="84">
        <f t="shared" ref="F48:F49" si="17">F47</f>
        <v>13473684.210526314</v>
      </c>
      <c r="G48" s="84">
        <f t="shared" ref="G48:J48" si="18">G47</f>
        <v>26947368.421052627</v>
      </c>
      <c r="H48" s="84">
        <f t="shared" si="18"/>
        <v>26947368.421052627</v>
      </c>
      <c r="I48" s="84">
        <f t="shared" si="18"/>
        <v>26947368.421052627</v>
      </c>
      <c r="J48" s="84">
        <f t="shared" si="18"/>
        <v>26947368.421052627</v>
      </c>
    </row>
    <row r="49" spans="1:10">
      <c r="A49" s="47" t="s">
        <v>119</v>
      </c>
      <c r="B49" s="47"/>
      <c r="C49" s="47"/>
      <c r="F49" s="84">
        <f t="shared" si="17"/>
        <v>13473684.210526314</v>
      </c>
      <c r="G49" s="84">
        <f t="shared" ref="G49:J49" si="19">G48</f>
        <v>26947368.421052627</v>
      </c>
      <c r="H49" s="84">
        <f t="shared" si="19"/>
        <v>26947368.421052627</v>
      </c>
      <c r="I49" s="84">
        <f t="shared" si="19"/>
        <v>26947368.421052627</v>
      </c>
      <c r="J49" s="84">
        <f t="shared" si="19"/>
        <v>26947368.421052627</v>
      </c>
    </row>
    <row r="50" spans="1:10">
      <c r="A50" s="52" t="s">
        <v>468</v>
      </c>
      <c r="B50" s="47"/>
      <c r="C50" s="47"/>
      <c r="F50" s="84">
        <f>F8</f>
        <v>12800000</v>
      </c>
      <c r="G50" s="84">
        <f t="shared" ref="G50:J50" si="20">G8</f>
        <v>25600000</v>
      </c>
      <c r="H50" s="84">
        <f t="shared" si="20"/>
        <v>25600000</v>
      </c>
      <c r="I50" s="84">
        <f t="shared" si="20"/>
        <v>25600000</v>
      </c>
      <c r="J50" s="84">
        <f t="shared" si="20"/>
        <v>25600000</v>
      </c>
    </row>
    <row r="51" spans="1:10">
      <c r="A51" s="52" t="s">
        <v>392</v>
      </c>
      <c r="B51" s="47"/>
      <c r="C51" s="47"/>
      <c r="F51" s="84">
        <f ca="1">(F21)*F8/1000</f>
        <v>8448506.201368846</v>
      </c>
      <c r="G51" s="84">
        <f t="shared" ref="G51:J51" ca="1" si="21">(G21)*G8/1000</f>
        <v>8623564.4016669374</v>
      </c>
      <c r="H51" s="84">
        <f t="shared" ca="1" si="21"/>
        <v>8614093.9699786361</v>
      </c>
      <c r="I51" s="84">
        <f t="shared" ca="1" si="21"/>
        <v>8443094.1982315276</v>
      </c>
      <c r="J51" s="84">
        <f t="shared" ca="1" si="21"/>
        <v>8443094.1982315276</v>
      </c>
    </row>
    <row r="52" spans="1:10">
      <c r="A52" s="52" t="s">
        <v>393</v>
      </c>
      <c r="B52" s="47"/>
      <c r="C52" s="47"/>
      <c r="F52" s="84">
        <f ca="1">F27*F8/1000</f>
        <v>5366483.8934530159</v>
      </c>
      <c r="G52" s="84">
        <f t="shared" ref="G52:J52" ca="1" si="22">G27*G8/1000</f>
        <v>5474923.1561514325</v>
      </c>
      <c r="H52" s="84">
        <f t="shared" ca="1" si="22"/>
        <v>5501116.0584278237</v>
      </c>
      <c r="I52" s="84">
        <f t="shared" ca="1" si="22"/>
        <v>5393420.3761497801</v>
      </c>
      <c r="J52" s="84">
        <f t="shared" ca="1" si="22"/>
        <v>5393420.3761497801</v>
      </c>
    </row>
    <row r="53" spans="1:10">
      <c r="A53" s="81" t="s">
        <v>120</v>
      </c>
      <c r="B53" s="81"/>
      <c r="C53" s="81"/>
      <c r="D53" s="8" t="s">
        <v>43</v>
      </c>
      <c r="E53" s="8" t="s">
        <v>45</v>
      </c>
      <c r="F53" s="85"/>
      <c r="G53" s="85"/>
      <c r="H53" s="85"/>
      <c r="I53" s="85"/>
      <c r="J53" s="85"/>
    </row>
    <row r="54" spans="1:10">
      <c r="A54" s="7" t="s">
        <v>44</v>
      </c>
      <c r="B54" s="7"/>
      <c r="C54" s="7"/>
      <c r="D54" s="3"/>
      <c r="F54" s="85"/>
      <c r="G54" s="85"/>
      <c r="H54" s="85"/>
      <c r="I54" s="85"/>
      <c r="J54" s="85"/>
    </row>
    <row r="55" spans="1:10">
      <c r="A55" s="7" t="s">
        <v>48</v>
      </c>
      <c r="B55" s="7"/>
      <c r="C55" s="7"/>
      <c r="D55" s="69">
        <f>'Cost Input'!D19</f>
        <v>29</v>
      </c>
      <c r="E55" s="69">
        <f>'Cost Input'!E19</f>
        <v>0.95</v>
      </c>
      <c r="F55" s="86">
        <f ca="1">$D55*('Cost Input'!$E$12/F$35)^(1-$E55)</f>
        <v>27.178807655049653</v>
      </c>
      <c r="G55" s="86">
        <f ca="1">$D55*('Cost Input'!$E$12/G$35)^(1-$E55)</f>
        <v>27.15095162447793</v>
      </c>
      <c r="H55" s="86">
        <f ca="1">$D55*('Cost Input'!$E$12/H$35)^(1-$E55)</f>
        <v>27.152443348681594</v>
      </c>
      <c r="I55" s="86">
        <f ca="1">$D55*('Cost Input'!$E$12/I$35)^(1-$E55)</f>
        <v>27.179678467466815</v>
      </c>
      <c r="J55" s="86">
        <f ca="1">$D55*('Cost Input'!$E$12/J$35)^(1-$E55)</f>
        <v>27.179678467466815</v>
      </c>
    </row>
    <row r="56" spans="1:10">
      <c r="A56" s="7" t="s">
        <v>300</v>
      </c>
      <c r="B56" s="7"/>
      <c r="C56" s="7"/>
      <c r="D56" s="69">
        <f>'Cost Input'!D20</f>
        <v>6.8</v>
      </c>
      <c r="E56" s="69">
        <f>'Cost Input'!E20</f>
        <v>1</v>
      </c>
      <c r="F56" s="86">
        <f ca="1">$D56*('Cost Input'!$E$12/F$35)^(1-$E56)</f>
        <v>6.8</v>
      </c>
      <c r="G56" s="86">
        <f ca="1">$D56*('Cost Input'!$E$12/G$35)^(1-$E56)</f>
        <v>6.8</v>
      </c>
      <c r="H56" s="86">
        <f ca="1">$D56*('Cost Input'!$E$12/H$35)^(1-$E56)</f>
        <v>6.8</v>
      </c>
      <c r="I56" s="86">
        <f ca="1">$D56*('Cost Input'!$E$12/I$35)^(1-$E56)</f>
        <v>6.8</v>
      </c>
      <c r="J56" s="86">
        <f ca="1">$D56*('Cost Input'!$E$12/J$35)^(1-$E56)</f>
        <v>6.8</v>
      </c>
    </row>
    <row r="57" spans="1:10">
      <c r="A57" s="7" t="s">
        <v>54</v>
      </c>
      <c r="B57" s="7"/>
      <c r="C57" s="7"/>
      <c r="D57" s="69">
        <f>'Cost Input'!D22</f>
        <v>10</v>
      </c>
      <c r="E57" s="69">
        <f>'Cost Input'!E22</f>
        <v>1</v>
      </c>
      <c r="F57" s="86">
        <f ca="1">$D57*('Cost Input'!$E$12/F$35)^(1-$E57)</f>
        <v>10</v>
      </c>
      <c r="G57" s="86">
        <f ca="1">$D57*('Cost Input'!$E$12/G$35)^(1-$E57)</f>
        <v>10</v>
      </c>
      <c r="H57" s="86">
        <f ca="1">$D57*('Cost Input'!$E$12/H$35)^(1-$E57)</f>
        <v>10</v>
      </c>
      <c r="I57" s="86">
        <f ca="1">$D57*('Cost Input'!$E$12/I$35)^(1-$E57)</f>
        <v>10</v>
      </c>
      <c r="J57" s="86">
        <f ca="1">$D57*('Cost Input'!$E$12/J$35)^(1-$E57)</f>
        <v>10</v>
      </c>
    </row>
    <row r="58" spans="1:10">
      <c r="A58" s="7" t="s">
        <v>56</v>
      </c>
      <c r="B58" s="7"/>
      <c r="C58" s="7"/>
      <c r="D58" s="69">
        <f>'Cost Input'!D23</f>
        <v>3.2</v>
      </c>
      <c r="E58" s="69">
        <f>'Cost Input'!E23</f>
        <v>1</v>
      </c>
      <c r="F58" s="86">
        <f ca="1">$D58*('Cost Input'!$E$12/F$35)^(1-$E58)</f>
        <v>3.2</v>
      </c>
      <c r="G58" s="86">
        <f ca="1">$D58*('Cost Input'!$E$12/G$35)^(1-$E58)</f>
        <v>3.2</v>
      </c>
      <c r="H58" s="86">
        <f ca="1">$D58*('Cost Input'!$E$12/H$35)^(1-$E58)</f>
        <v>3.2</v>
      </c>
      <c r="I58" s="86">
        <f ca="1">$D58*('Cost Input'!$E$12/I$35)^(1-$E58)</f>
        <v>3.2</v>
      </c>
      <c r="J58" s="86">
        <f ca="1">$D58*('Cost Input'!$E$12/J$35)^(1-$E58)</f>
        <v>3.2</v>
      </c>
    </row>
    <row r="59" spans="1:10">
      <c r="A59" s="7" t="s">
        <v>57</v>
      </c>
      <c r="B59" s="7"/>
      <c r="C59" s="7"/>
      <c r="D59" s="69"/>
      <c r="E59" s="69"/>
      <c r="F59" s="87"/>
      <c r="G59" s="87"/>
      <c r="H59" s="87"/>
      <c r="I59" s="87"/>
      <c r="J59" s="87"/>
    </row>
    <row r="60" spans="1:10">
      <c r="A60" s="7" t="s">
        <v>48</v>
      </c>
      <c r="B60" s="7"/>
      <c r="C60" s="7"/>
      <c r="D60" s="69">
        <f>'Cost Input'!D25</f>
        <v>19</v>
      </c>
      <c r="E60" s="69">
        <f>'Cost Input'!E25</f>
        <v>0.95</v>
      </c>
      <c r="F60" s="86">
        <f ca="1">$D60*('Cost Input'!$E$13/F$40)^(1-$E60)</f>
        <v>17.840516229433074</v>
      </c>
      <c r="G60" s="86">
        <f ca="1">$D60*('Cost Input'!$E$13/G$40)^(1-$E60)</f>
        <v>17.822679894488985</v>
      </c>
      <c r="H60" s="86">
        <f ca="1">$D60*('Cost Input'!$E$13/H$40)^(1-$E60)</f>
        <v>17.818427241115323</v>
      </c>
      <c r="I60" s="86">
        <f ca="1">$D60*('Cost Input'!$E$13/I$40)^(1-$E60)</f>
        <v>17.83605056132625</v>
      </c>
      <c r="J60" s="86">
        <f ca="1">$D60*('Cost Input'!$E$13/J$40)^(1-$E60)</f>
        <v>17.83605056132625</v>
      </c>
    </row>
    <row r="61" spans="1:10">
      <c r="A61" s="7" t="s">
        <v>52</v>
      </c>
      <c r="B61" s="7"/>
      <c r="C61" s="7"/>
      <c r="D61" s="69">
        <f>'Cost Input'!D26</f>
        <v>6.8</v>
      </c>
      <c r="E61" s="69">
        <f>'Cost Input'!E26</f>
        <v>1</v>
      </c>
      <c r="F61" s="86">
        <f ca="1">$D61*('Cost Input'!$E$13/F$40)^(1-$E61)</f>
        <v>6.8</v>
      </c>
      <c r="G61" s="86">
        <f ca="1">$D61*('Cost Input'!$E$13/G$40)^(1-$E61)</f>
        <v>6.8</v>
      </c>
      <c r="H61" s="86">
        <f ca="1">$D61*('Cost Input'!$E$13/H$40)^(1-$E61)</f>
        <v>6.8</v>
      </c>
      <c r="I61" s="86">
        <f ca="1">$D61*('Cost Input'!$E$13/I$40)^(1-$E61)</f>
        <v>6.8</v>
      </c>
      <c r="J61" s="86">
        <f ca="1">$D61*('Cost Input'!$E$13/J$40)^(1-$E61)</f>
        <v>6.8</v>
      </c>
    </row>
    <row r="62" spans="1:10">
      <c r="A62" s="7" t="s">
        <v>338</v>
      </c>
      <c r="B62" s="7"/>
      <c r="C62" s="7"/>
      <c r="D62" s="69">
        <f>'Cost Input'!D27</f>
        <v>10</v>
      </c>
      <c r="E62" s="69">
        <f>'Cost Input'!E27</f>
        <v>1</v>
      </c>
      <c r="F62" s="86">
        <f ca="1">$D62*('Cost Input'!$E$13/F$40)^(1-$E62)</f>
        <v>10</v>
      </c>
      <c r="G62" s="86">
        <f ca="1">$D62*('Cost Input'!$E$13/G$40)^(1-$E62)</f>
        <v>10</v>
      </c>
      <c r="H62" s="86">
        <f ca="1">$D62*('Cost Input'!$E$13/H$40)^(1-$E62)</f>
        <v>10</v>
      </c>
      <c r="I62" s="86">
        <f ca="1">$D62*('Cost Input'!$E$13/I$40)^(1-$E62)</f>
        <v>10</v>
      </c>
      <c r="J62" s="86">
        <f ca="1">$D62*('Cost Input'!$E$13/J$40)^(1-$E62)</f>
        <v>10</v>
      </c>
    </row>
    <row r="63" spans="1:10" ht="14.25">
      <c r="A63" s="7" t="s">
        <v>324</v>
      </c>
      <c r="B63" s="7"/>
      <c r="C63" s="7"/>
      <c r="D63" s="69">
        <f>'Cost Input'!D29</f>
        <v>0.8</v>
      </c>
      <c r="E63" s="69">
        <f>'Cost Input'!E29</f>
        <v>1</v>
      </c>
      <c r="F63" s="86">
        <f ca="1">$D63*('Cost Input'!$E$11/F$10)^(1-$E63)</f>
        <v>0.8</v>
      </c>
      <c r="G63" s="86">
        <f ca="1">$D63*('Cost Input'!$E$11/G$10)^(1-$E63)</f>
        <v>0.8</v>
      </c>
      <c r="H63" s="86">
        <f ca="1">$D63*('Cost Input'!$E$11/H$10)^(1-$E63)</f>
        <v>0.8</v>
      </c>
      <c r="I63" s="86">
        <f ca="1">$D63*('Cost Input'!$E$11/I$10)^(1-$E63)</f>
        <v>0.8</v>
      </c>
      <c r="J63" s="86">
        <f ca="1">$D63*('Cost Input'!$E$11/J$10)^(1-$E63)</f>
        <v>0.8</v>
      </c>
    </row>
    <row r="64" spans="1:10" ht="14.25">
      <c r="A64" s="7" t="s">
        <v>325</v>
      </c>
      <c r="B64" s="7"/>
      <c r="C64" s="7"/>
      <c r="D64" s="69">
        <f>'Cost Input'!D30</f>
        <v>1.8</v>
      </c>
      <c r="E64" s="69">
        <f>'Cost Input'!E30</f>
        <v>1</v>
      </c>
      <c r="F64" s="86">
        <f ca="1">$D64*('Cost Input'!$E$11/F$10)^(1-$E64)</f>
        <v>1.8</v>
      </c>
      <c r="G64" s="86">
        <f ca="1">$D64*('Cost Input'!$E$11/G$10)^(1-$E64)</f>
        <v>1.8</v>
      </c>
      <c r="H64" s="86">
        <f ca="1">$D64*('Cost Input'!$E$11/H$10)^(1-$E64)</f>
        <v>1.8</v>
      </c>
      <c r="I64" s="86">
        <f ca="1">$D64*('Cost Input'!$E$11/I$10)^(1-$E64)</f>
        <v>1.8</v>
      </c>
      <c r="J64" s="86">
        <f ca="1">$D64*('Cost Input'!$E$11/J$10)^(1-$E64)</f>
        <v>1.8</v>
      </c>
    </row>
    <row r="65" spans="1:10" ht="14.25">
      <c r="A65" s="7" t="s">
        <v>61</v>
      </c>
      <c r="B65" s="7"/>
      <c r="C65" s="7"/>
      <c r="D65" s="69">
        <f>'Cost Input'!D31</f>
        <v>2</v>
      </c>
      <c r="E65" s="69">
        <f>'Cost Input'!E31</f>
        <v>1</v>
      </c>
      <c r="F65" s="86">
        <f ca="1">$D65*('Cost Input'!$E$11/F$10)^(1-$E65)</f>
        <v>2</v>
      </c>
      <c r="G65" s="86">
        <f ca="1">$D65*('Cost Input'!$E$11/G$10)^(1-$E65)</f>
        <v>2</v>
      </c>
      <c r="H65" s="86">
        <f ca="1">$D65*('Cost Input'!$E$11/H$10)^(1-$E65)</f>
        <v>2</v>
      </c>
      <c r="I65" s="86">
        <f ca="1">$D65*('Cost Input'!$E$11/I$10)^(1-$E65)</f>
        <v>2</v>
      </c>
      <c r="J65" s="86">
        <f ca="1">$D65*('Cost Input'!$E$11/J$10)^(1-$E65)</f>
        <v>2</v>
      </c>
    </row>
    <row r="66" spans="1:10">
      <c r="A66" s="7" t="s">
        <v>62</v>
      </c>
      <c r="B66" s="7"/>
      <c r="C66" s="7"/>
      <c r="D66" s="69">
        <f>'Cost Input'!D32</f>
        <v>21.6</v>
      </c>
      <c r="E66" s="69">
        <f>'Cost Input'!E32</f>
        <v>1</v>
      </c>
      <c r="F66" s="86">
        <f>IF($E66=1,$D66)</f>
        <v>21.6</v>
      </c>
      <c r="G66" s="86">
        <f t="shared" ref="G66:J66" si="23">IF($E66=1,$D66)</f>
        <v>21.6</v>
      </c>
      <c r="H66" s="86">
        <f t="shared" si="23"/>
        <v>21.6</v>
      </c>
      <c r="I66" s="86">
        <f t="shared" si="23"/>
        <v>21.6</v>
      </c>
      <c r="J66" s="86">
        <f t="shared" si="23"/>
        <v>21.6</v>
      </c>
    </row>
    <row r="67" spans="1:10">
      <c r="A67" s="7" t="s">
        <v>586</v>
      </c>
      <c r="B67" s="7"/>
      <c r="C67" s="7"/>
      <c r="D67" s="69"/>
      <c r="E67" s="21"/>
      <c r="F67" s="87"/>
      <c r="G67" s="87"/>
      <c r="H67" s="87"/>
      <c r="I67" s="87"/>
      <c r="J67" s="87"/>
    </row>
    <row r="68" spans="1:10">
      <c r="A68" s="47" t="s">
        <v>121</v>
      </c>
      <c r="B68" s="47"/>
      <c r="C68" s="47"/>
      <c r="D68" s="2"/>
      <c r="E68" s="21"/>
      <c r="F68" s="86">
        <f ca="1">'Battery Design'!F23/1000*'Cost Input'!$C37+'Cost Input'!$D37</f>
        <v>0.29010996493018604</v>
      </c>
      <c r="G68" s="86">
        <f ca="1">'Battery Design'!G23/1000*'Cost Input'!$C37+'Cost Input'!$D37</f>
        <v>0.27659312193492602</v>
      </c>
      <c r="H68" s="86">
        <f ca="1">'Battery Design'!H23/1000*'Cost Input'!$C37+'Cost Input'!$D37</f>
        <v>0.29052977648526801</v>
      </c>
      <c r="I68" s="86">
        <f ca="1">'Battery Design'!I23/1000*'Cost Input'!$C37+'Cost Input'!$D37</f>
        <v>0.29009617486642747</v>
      </c>
      <c r="J68" s="86">
        <f ca="1">'Battery Design'!J23/1000*'Cost Input'!$C37+'Cost Input'!$D37</f>
        <v>0.29009617486642747</v>
      </c>
    </row>
    <row r="69" spans="1:10">
      <c r="A69" s="47" t="s">
        <v>122</v>
      </c>
      <c r="B69" s="47"/>
      <c r="C69" s="47"/>
      <c r="D69" s="2"/>
      <c r="E69" s="21"/>
      <c r="F69" s="86">
        <f ca="1">'Battery Design'!F24/1000*'Cost Input'!$C38+'Cost Input'!$D38</f>
        <v>0.4487671595429219</v>
      </c>
      <c r="G69" s="86">
        <f ca="1">'Battery Design'!G24/1000*'Cost Input'!$C38+'Cost Input'!$D38</f>
        <v>0.38178369314418903</v>
      </c>
      <c r="H69" s="86">
        <f ca="1">'Battery Design'!H24/1000*'Cost Input'!$C38+'Cost Input'!$D38</f>
        <v>0.45084755902699486</v>
      </c>
      <c r="I69" s="86">
        <f ca="1">'Battery Design'!I24/1000*'Cost Input'!$C38+'Cost Input'!$D38</f>
        <v>0.44869882211585149</v>
      </c>
      <c r="J69" s="86">
        <f ca="1">'Battery Design'!J24/1000*'Cost Input'!$C38+'Cost Input'!$D38</f>
        <v>0.44869882211585149</v>
      </c>
    </row>
    <row r="70" spans="1:10">
      <c r="A70" s="47" t="s">
        <v>467</v>
      </c>
      <c r="B70" s="47"/>
      <c r="C70" s="47"/>
      <c r="D70" s="2"/>
      <c r="E70" s="21"/>
      <c r="F70" s="86">
        <f ca="1">'Battery Design'!F28/1000*'Cost Input'!$C39+'Cost Input'!$D39</f>
        <v>0.31101030055221035</v>
      </c>
      <c r="G70" s="86">
        <f ca="1">'Battery Design'!G28/1000*'Cost Input'!$C39+'Cost Input'!$D39</f>
        <v>0.3063237113512558</v>
      </c>
      <c r="H70" s="86">
        <f ca="1">'Battery Design'!H28/1000*'Cost Input'!$C39+'Cost Input'!$D39</f>
        <v>0.26001389881151177</v>
      </c>
      <c r="I70" s="86">
        <f ca="1">'Battery Design'!I28/1000*'Cost Input'!$C39+'Cost Input'!$D39</f>
        <v>0.25901939988590272</v>
      </c>
      <c r="J70" s="86">
        <f ca="1">'Battery Design'!J28/1000*'Cost Input'!$C39+'Cost Input'!$D39</f>
        <v>0.25901939988590272</v>
      </c>
    </row>
    <row r="71" spans="1:10">
      <c r="A71" s="5" t="s">
        <v>123</v>
      </c>
      <c r="B71" s="5"/>
      <c r="C71" s="5"/>
      <c r="D71" s="69"/>
      <c r="E71" s="21"/>
      <c r="F71" s="87"/>
      <c r="G71" s="87"/>
      <c r="H71" s="87"/>
      <c r="I71" s="87"/>
      <c r="J71" s="87"/>
    </row>
    <row r="72" spans="1:10">
      <c r="A72" s="7" t="s">
        <v>124</v>
      </c>
      <c r="B72" s="7"/>
      <c r="C72" s="7"/>
      <c r="D72" s="69"/>
      <c r="E72" s="21"/>
      <c r="F72" s="87"/>
      <c r="G72" s="87"/>
      <c r="H72" s="87"/>
      <c r="I72" s="87"/>
      <c r="J72" s="87"/>
    </row>
    <row r="73" spans="1:10">
      <c r="A73" s="7" t="s">
        <v>48</v>
      </c>
      <c r="B73" s="7"/>
      <c r="C73" s="7"/>
      <c r="D73" s="69"/>
      <c r="E73" s="21"/>
      <c r="F73" s="39">
        <f t="shared" ref="F73:F75" ca="1" si="24">F55*F18/1000</f>
        <v>13.304823520009938</v>
      </c>
      <c r="G73" s="39">
        <f t="shared" ref="G73:J73" ca="1" si="25">G55*G18/1000</f>
        <v>6.7832943395573597</v>
      </c>
      <c r="H73" s="39">
        <f t="shared" ca="1" si="25"/>
        <v>6.7762171771763002</v>
      </c>
      <c r="I73" s="39">
        <f t="shared" ca="1" si="25"/>
        <v>6.6483633191678404</v>
      </c>
      <c r="J73" s="39">
        <f t="shared" ca="1" si="25"/>
        <v>6.6483633191678404</v>
      </c>
    </row>
    <row r="74" spans="1:10">
      <c r="A74" s="7" t="s">
        <v>300</v>
      </c>
      <c r="B74" s="7"/>
      <c r="C74" s="7"/>
      <c r="D74" s="69"/>
      <c r="E74" s="21"/>
      <c r="F74" s="39">
        <f t="shared" ca="1" si="24"/>
        <v>0.22441344597385995</v>
      </c>
      <c r="G74" s="39">
        <f t="shared" ref="G74:J74" ca="1" si="26">G56*G19/1000</f>
        <v>0.11453171470963897</v>
      </c>
      <c r="H74" s="39">
        <f t="shared" ca="1" si="26"/>
        <v>0.11440593553877874</v>
      </c>
      <c r="I74" s="39">
        <f t="shared" ca="1" si="26"/>
        <v>0.11213484482026247</v>
      </c>
      <c r="J74" s="39">
        <f t="shared" ca="1" si="26"/>
        <v>0.11213484482026247</v>
      </c>
    </row>
    <row r="75" spans="1:10">
      <c r="A75" s="7" t="s">
        <v>54</v>
      </c>
      <c r="B75" s="7"/>
      <c r="C75" s="7"/>
      <c r="D75" s="69"/>
      <c r="E75" s="21"/>
      <c r="F75" s="39">
        <f t="shared" ca="1" si="24"/>
        <v>0.27501647790914213</v>
      </c>
      <c r="G75" s="39">
        <f t="shared" ref="G75:J75" ca="1" si="27">G57*G20/1000</f>
        <v>0.14035749351671445</v>
      </c>
      <c r="H75" s="39">
        <f t="shared" ca="1" si="27"/>
        <v>0.14020335237595435</v>
      </c>
      <c r="I75" s="39">
        <f t="shared" ca="1" si="27"/>
        <v>0.13742015296600796</v>
      </c>
      <c r="J75" s="39">
        <f t="shared" ca="1" si="27"/>
        <v>0.13742015296600796</v>
      </c>
    </row>
    <row r="76" spans="1:10">
      <c r="A76" s="7" t="s">
        <v>56</v>
      </c>
      <c r="B76" s="7"/>
      <c r="C76" s="7"/>
      <c r="D76" s="69"/>
      <c r="E76" s="21"/>
      <c r="F76" s="39">
        <f ca="1">F58*F21/1000*(1-'Cost Input'!$J12/100)</f>
        <v>1.0560632751711069E-2</v>
      </c>
      <c r="G76" s="39">
        <f ca="1">G58*G21/1000*(1-'Cost Input'!$J12/100)</f>
        <v>5.3897277510418411E-3</v>
      </c>
      <c r="H76" s="39">
        <f ca="1">H58*H21/1000*(1-'Cost Input'!$J12/100)</f>
        <v>5.383808731236654E-3</v>
      </c>
      <c r="I76" s="39">
        <f ca="1">I58*I21/1000*(1-'Cost Input'!$J12/100)</f>
        <v>5.2769338738947102E-3</v>
      </c>
      <c r="J76" s="39">
        <f ca="1">J58*J21/1000*(1-'Cost Input'!$J12/100)</f>
        <v>5.2769338738947102E-3</v>
      </c>
    </row>
    <row r="77" spans="1:10">
      <c r="A77" s="7" t="s">
        <v>125</v>
      </c>
      <c r="B77" s="7"/>
      <c r="C77" s="7"/>
      <c r="D77" s="69"/>
      <c r="E77" s="21"/>
      <c r="F77" s="39"/>
      <c r="G77" s="39"/>
      <c r="H77" s="39"/>
      <c r="I77" s="39"/>
      <c r="J77" s="39"/>
    </row>
    <row r="78" spans="1:10">
      <c r="A78" s="7" t="s">
        <v>48</v>
      </c>
      <c r="B78" s="7"/>
      <c r="C78" s="7"/>
      <c r="D78" s="69"/>
      <c r="E78" s="21"/>
      <c r="F78" s="39">
        <f t="shared" ref="F78:F80" ca="1" si="28">F60*F24/1000</f>
        <v>5.921471409266438</v>
      </c>
      <c r="G78" s="39">
        <f t="shared" ref="G78:J78" ca="1" si="29">G60*G24/1000</f>
        <v>3.0175427316426102</v>
      </c>
      <c r="H78" s="39">
        <f t="shared" ca="1" si="29"/>
        <v>3.0312556777482165</v>
      </c>
      <c r="I78" s="39">
        <f t="shared" ca="1" si="29"/>
        <v>2.974851972692707</v>
      </c>
      <c r="J78" s="39">
        <f t="shared" ca="1" si="29"/>
        <v>2.974851972692707</v>
      </c>
    </row>
    <row r="79" spans="1:10">
      <c r="A79" s="7" t="s">
        <v>52</v>
      </c>
      <c r="B79" s="7"/>
      <c r="C79" s="7"/>
      <c r="D79" s="69"/>
      <c r="E79" s="21"/>
      <c r="F79" s="39">
        <f t="shared" ca="1" si="28"/>
        <v>0</v>
      </c>
      <c r="G79" s="39">
        <f t="shared" ref="G79:J79" ca="1" si="30">G61*G25/1000</f>
        <v>0</v>
      </c>
      <c r="H79" s="39">
        <f t="shared" ca="1" si="30"/>
        <v>0</v>
      </c>
      <c r="I79" s="39">
        <f t="shared" ca="1" si="30"/>
        <v>0</v>
      </c>
      <c r="J79" s="39">
        <f t="shared" ca="1" si="30"/>
        <v>0</v>
      </c>
    </row>
    <row r="80" spans="1:10">
      <c r="A80" s="7" t="s">
        <v>338</v>
      </c>
      <c r="B80" s="7"/>
      <c r="C80" s="7"/>
      <c r="D80" s="69"/>
      <c r="E80" s="21"/>
      <c r="F80" s="39">
        <f t="shared" ca="1" si="28"/>
        <v>0.17469023090667371</v>
      </c>
      <c r="G80" s="39">
        <f t="shared" ref="G80:J80" ca="1" si="31">G62*G26/1000</f>
        <v>8.9110077411318891E-2</v>
      </c>
      <c r="H80" s="39">
        <f t="shared" ca="1" si="31"/>
        <v>8.9536394180140366E-2</v>
      </c>
      <c r="I80" s="39">
        <f t="shared" ca="1" si="31"/>
        <v>8.7783534768062818E-2</v>
      </c>
      <c r="J80" s="39">
        <f t="shared" ca="1" si="31"/>
        <v>8.7783534768062818E-2</v>
      </c>
    </row>
    <row r="81" spans="1:12">
      <c r="A81" s="7" t="s">
        <v>326</v>
      </c>
      <c r="B81" s="7"/>
      <c r="C81" s="7"/>
      <c r="D81" s="69"/>
      <c r="E81" s="21"/>
      <c r="F81" s="39">
        <f t="shared" ref="F81:F84" ca="1" si="32">F63*F29</f>
        <v>1.0501293623013015</v>
      </c>
      <c r="G81" s="39">
        <f t="shared" ref="G81:J81" ca="1" si="33">G63*G29</f>
        <v>0.52683986921233039</v>
      </c>
      <c r="H81" s="39">
        <f t="shared" ca="1" si="33"/>
        <v>0.56360546609449269</v>
      </c>
      <c r="I81" s="39">
        <f t="shared" ca="1" si="33"/>
        <v>0.55298071635818558</v>
      </c>
      <c r="J81" s="39">
        <f t="shared" ca="1" si="33"/>
        <v>0.55298071635818558</v>
      </c>
    </row>
    <row r="82" spans="1:12">
      <c r="A82" s="7" t="s">
        <v>327</v>
      </c>
      <c r="B82" s="7"/>
      <c r="C82" s="7"/>
      <c r="D82" s="69"/>
      <c r="E82" s="21"/>
      <c r="F82" s="39">
        <f t="shared" ca="1" si="32"/>
        <v>2.5096263273607073</v>
      </c>
      <c r="G82" s="39">
        <f t="shared" ref="G82:J82" ca="1" si="34">G64*G30</f>
        <v>1.307847317271476</v>
      </c>
      <c r="H82" s="39">
        <f t="shared" ca="1" si="34"/>
        <v>1.3530534267368659</v>
      </c>
      <c r="I82" s="39">
        <f t="shared" ca="1" si="34"/>
        <v>1.327889103080252</v>
      </c>
      <c r="J82" s="39">
        <f t="shared" ca="1" si="34"/>
        <v>1.327889103080252</v>
      </c>
    </row>
    <row r="83" spans="1:12">
      <c r="A83" s="7" t="s">
        <v>128</v>
      </c>
      <c r="B83" s="7"/>
      <c r="C83" s="7"/>
      <c r="D83" s="69"/>
      <c r="E83" s="21"/>
      <c r="F83" s="39">
        <f t="shared" ca="1" si="32"/>
        <v>4.8093962320417569</v>
      </c>
      <c r="G83" s="39">
        <f t="shared" ref="G83:J83" ca="1" si="35">G65*G31</f>
        <v>2.451783471006753</v>
      </c>
      <c r="H83" s="39">
        <f t="shared" ca="1" si="35"/>
        <v>2.4913678370342236</v>
      </c>
      <c r="I83" s="39">
        <f t="shared" ca="1" si="35"/>
        <v>2.4435200074291856</v>
      </c>
      <c r="J83" s="39">
        <f t="shared" ca="1" si="35"/>
        <v>2.4435200074291856</v>
      </c>
    </row>
    <row r="84" spans="1:12">
      <c r="A84" s="7" t="s">
        <v>129</v>
      </c>
      <c r="B84" s="7"/>
      <c r="C84" s="7"/>
      <c r="D84" s="69"/>
      <c r="E84" s="88"/>
      <c r="F84" s="39">
        <f t="shared" ca="1" si="32"/>
        <v>3.9562022037140596</v>
      </c>
      <c r="G84" s="39">
        <f t="shared" ref="G84:J84" ca="1" si="36">G66*G32</f>
        <v>2.0213993380348496</v>
      </c>
      <c r="H84" s="39">
        <f t="shared" ca="1" si="36"/>
        <v>2.0262362361606803</v>
      </c>
      <c r="I84" s="39">
        <f t="shared" ca="1" si="36"/>
        <v>1.9864457779657223</v>
      </c>
      <c r="J84" s="39">
        <f t="shared" ca="1" si="36"/>
        <v>1.9864457779657223</v>
      </c>
    </row>
    <row r="85" spans="1:12">
      <c r="A85" s="47" t="s">
        <v>130</v>
      </c>
      <c r="B85" s="47"/>
      <c r="C85" s="47"/>
      <c r="D85" s="69"/>
      <c r="E85" s="58">
        <f>'Cost Input'!E37</f>
        <v>0.8</v>
      </c>
      <c r="F85" s="39">
        <f ca="1">F68*('Cost Input'!$E10/F47)^(1-$E85)</f>
        <v>0.24931643181769589</v>
      </c>
      <c r="G85" s="39">
        <f ca="1">G68*('Cost Input'!$E10/G47)^(1-$E85)</f>
        <v>0.20693008363660387</v>
      </c>
      <c r="H85" s="39">
        <f ca="1">H68*('Cost Input'!$E10/H47)^(1-$E85)</f>
        <v>0.21735663752753981</v>
      </c>
      <c r="I85" s="39">
        <f ca="1">I68*('Cost Input'!$E10/I47)^(1-$E85)</f>
        <v>0.21703224327426279</v>
      </c>
      <c r="J85" s="39">
        <f ca="1">J68*('Cost Input'!$E10/J47)^(1-$E85)</f>
        <v>0.21703224327426279</v>
      </c>
    </row>
    <row r="86" spans="1:12">
      <c r="A86" s="47" t="s">
        <v>131</v>
      </c>
      <c r="B86" s="47"/>
      <c r="C86" s="47"/>
      <c r="D86" s="69"/>
      <c r="E86" s="58">
        <f>'Cost Input'!E38</f>
        <v>0.8</v>
      </c>
      <c r="F86" s="39">
        <f ca="1">F69*('Cost Input'!$E10/F48)^(1-$E86)</f>
        <v>0.38566419792277279</v>
      </c>
      <c r="G86" s="39">
        <f ca="1">G69*('Cost Input'!$E10/G48)^(1-$E86)</f>
        <v>0.28562724553940805</v>
      </c>
      <c r="H86" s="39">
        <f ca="1">H69*('Cost Input'!$E10/H48)^(1-$E86)</f>
        <v>0.33729661259893501</v>
      </c>
      <c r="I86" s="39">
        <f ca="1">I69*('Cost Input'!$E10/I48)^(1-$E86)</f>
        <v>0.33568905885491762</v>
      </c>
      <c r="J86" s="39">
        <f ca="1">J69*('Cost Input'!$E10/J48)^(1-$E86)</f>
        <v>0.33568905885491762</v>
      </c>
    </row>
    <row r="87" spans="1:12">
      <c r="A87" s="47" t="s">
        <v>466</v>
      </c>
      <c r="B87" s="47"/>
      <c r="C87" s="47"/>
      <c r="D87" s="69"/>
      <c r="E87" s="58">
        <f>'Cost Input'!E39</f>
        <v>0.8</v>
      </c>
      <c r="F87" s="39">
        <f ca="1">F70*('Cost Input'!$E10/F49)^(1-$E87)</f>
        <v>0.26727788688984189</v>
      </c>
      <c r="G87" s="39">
        <f ca="1">G70*('Cost Input'!$E10/G49)^(1-$E87)</f>
        <v>0.22917269513557695</v>
      </c>
      <c r="H87" s="39">
        <f ca="1">H70*('Cost Input'!$E10/H49)^(1-$E87)</f>
        <v>0.19452652130809023</v>
      </c>
      <c r="I87" s="39">
        <f ca="1">I70*('Cost Input'!$E10/I49)^(1-$E87)</f>
        <v>0.19378249794115629</v>
      </c>
      <c r="J87" s="39">
        <f ca="1">J70*('Cost Input'!$E10/J49)^(1-$E87)</f>
        <v>0.19378249794115629</v>
      </c>
    </row>
    <row r="88" spans="1:12">
      <c r="A88" s="7" t="s">
        <v>132</v>
      </c>
      <c r="B88" s="7"/>
      <c r="C88" s="7"/>
      <c r="D88" s="3"/>
      <c r="F88" s="39">
        <f ca="1">SUM(F73:F84)</f>
        <v>32.236329842235584</v>
      </c>
      <c r="G88" s="39">
        <f t="shared" ref="G88:J88" ca="1" si="37">SUM(G73:G84)</f>
        <v>16.458096080114089</v>
      </c>
      <c r="H88" s="39">
        <f t="shared" ca="1" si="37"/>
        <v>16.59126531177689</v>
      </c>
      <c r="I88" s="39">
        <f t="shared" ca="1" si="37"/>
        <v>16.276666363122121</v>
      </c>
      <c r="J88" s="39">
        <f t="shared" ca="1" si="37"/>
        <v>16.276666363122121</v>
      </c>
    </row>
    <row r="89" spans="1:12">
      <c r="A89" s="47" t="s">
        <v>133</v>
      </c>
      <c r="B89" s="47"/>
      <c r="C89" s="47"/>
      <c r="D89" s="3"/>
      <c r="F89" s="39">
        <f ca="1">SUM(F85:F88)</f>
        <v>33.138588358865896</v>
      </c>
      <c r="G89" s="39">
        <f t="shared" ref="G89:J89" ca="1" si="38">SUM(G85:G88)</f>
        <v>17.179826104425679</v>
      </c>
      <c r="H89" s="39">
        <f t="shared" ca="1" si="38"/>
        <v>17.340445083211456</v>
      </c>
      <c r="I89" s="39">
        <f t="shared" ca="1" si="38"/>
        <v>17.023170163192457</v>
      </c>
      <c r="J89" s="39">
        <f t="shared" ca="1" si="38"/>
        <v>17.023170163192457</v>
      </c>
    </row>
    <row r="90" spans="1:12">
      <c r="A90" s="5" t="s">
        <v>488</v>
      </c>
      <c r="B90" s="5"/>
      <c r="C90" s="5"/>
      <c r="D90" s="3"/>
      <c r="F90" s="39"/>
      <c r="G90" s="39"/>
      <c r="H90" s="39"/>
      <c r="I90" s="39"/>
      <c r="J90" s="39"/>
    </row>
    <row r="91" spans="1:12">
      <c r="A91" s="52" t="s">
        <v>489</v>
      </c>
      <c r="B91" s="47"/>
      <c r="C91" s="47"/>
      <c r="D91" s="2"/>
      <c r="E91" s="58">
        <f>'Cost Input'!E40</f>
        <v>0.8</v>
      </c>
      <c r="F91" s="39">
        <f ca="1">('Cost Input'!$E9/F50)^(1-$E91)*('Battery Design'!F127/'Battery Design'!F56*'Cost Input'!$C40/1000+'Cost Input'!$D40)</f>
        <v>0.28408829684600245</v>
      </c>
      <c r="G91" s="39">
        <f ca="1">('Cost Input'!$E9/G50)^(1-$E91)*('Battery Design'!G127/'Battery Design'!G56*'Cost Input'!$C40/1000+'Cost Input'!$D40)</f>
        <v>0.23564247517176495</v>
      </c>
      <c r="H91" s="39">
        <f ca="1">('Cost Input'!$E9/H50)^(1-$E91)*('Battery Design'!H127/'Battery Design'!H56*'Cost Input'!$C40/1000+'Cost Input'!$D40)</f>
        <v>0.16260179612477904</v>
      </c>
      <c r="I91" s="39">
        <f ca="1">('Cost Input'!$E9/I50)^(1-$E91)*('Battery Design'!I127/'Battery Design'!I56*'Cost Input'!$C40/1000+'Cost Input'!$D40)</f>
        <v>0.16101326026962678</v>
      </c>
      <c r="J91" s="39">
        <f ca="1">('Cost Input'!$E9/J50)^(1-$E91)*('Battery Design'!J127/'Battery Design'!J56*'Cost Input'!$C40/1000+'Cost Input'!$D40)</f>
        <v>0.16101326026962678</v>
      </c>
    </row>
    <row r="92" spans="1:12">
      <c r="A92" s="52" t="s">
        <v>490</v>
      </c>
      <c r="B92" s="47"/>
      <c r="C92" s="47"/>
      <c r="D92" s="69"/>
      <c r="F92" s="39">
        <f ca="1">F91*'Battery Design'!F56</f>
        <v>4.5454127495360392</v>
      </c>
      <c r="G92" s="39">
        <f ca="1">G91*'Battery Design'!G56</f>
        <v>7.5405592054964785</v>
      </c>
      <c r="H92" s="39">
        <f ca="1">H91*'Battery Design'!H56</f>
        <v>2.6016287379964647</v>
      </c>
      <c r="I92" s="39">
        <f ca="1">I91*'Battery Design'!I56</f>
        <v>2.5762121643140286</v>
      </c>
      <c r="J92" s="39">
        <f ca="1">J91*'Battery Design'!J56</f>
        <v>2.5762121643140286</v>
      </c>
    </row>
    <row r="93" spans="1:12">
      <c r="A93" s="7" t="s">
        <v>491</v>
      </c>
      <c r="B93" s="47"/>
      <c r="C93" s="47"/>
      <c r="F93" s="39">
        <f>IF('Battery Design'!F57=1,0,'Battery Design'!F56/'Battery Design'!F57*2*('Cost Input'!$D38+'Battery Design'!F116/1000*'Cost Input'!$C38))</f>
        <v>0</v>
      </c>
      <c r="G93" s="39">
        <f ca="1">IF('Battery Design'!G57=1,0,'Battery Design'!G56/'Battery Design'!G57*2*('Cost Input'!$D38+'Battery Design'!G116/1000*'Cost Input'!$C38))</f>
        <v>9.7251683466148382</v>
      </c>
      <c r="H93" s="39">
        <f>IF('Battery Design'!H57=1,0,'Battery Design'!H56/'Battery Design'!H57*2*('Cost Input'!$D38+'Battery Design'!H116/1000*'Cost Input'!$C38))</f>
        <v>0</v>
      </c>
      <c r="I93" s="39">
        <f>IF('Battery Design'!I57=1,0,'Battery Design'!I56/'Battery Design'!I57*2*('Cost Input'!$D38+'Battery Design'!I116/1000*'Cost Input'!$C38))</f>
        <v>0</v>
      </c>
      <c r="J93" s="39">
        <f>IF('Battery Design'!J57=1,0,'Battery Design'!J56/'Battery Design'!J57*2*('Cost Input'!$D38+'Battery Design'!J116/1000*'Cost Input'!$C38))</f>
        <v>0</v>
      </c>
      <c r="L93" s="39"/>
    </row>
    <row r="94" spans="1:12">
      <c r="A94" s="7" t="s">
        <v>58</v>
      </c>
      <c r="B94" s="7"/>
      <c r="C94" s="7"/>
      <c r="F94" s="39">
        <f ca="1">'Battery Design'!F56/'Battery Design'!F57*('Cost Input'!$J$15+'Cost Input'!$J$16*'Battery Design'!F77)</f>
        <v>52.005804740750747</v>
      </c>
      <c r="G94" s="39">
        <f ca="1">'Battery Design'!G56/'Battery Design'!G57*('Cost Input'!$J$15+'Cost Input'!$J$16*'Battery Design'!G77)</f>
        <v>52.25457233598604</v>
      </c>
      <c r="H94" s="39">
        <f ca="1">'Battery Design'!H56/'Battery Design'!H57*('Cost Input'!$J$15+'Cost Input'!$J$16*'Battery Design'!H77)</f>
        <v>46.120557158689465</v>
      </c>
      <c r="I94" s="39">
        <f ca="1">'Battery Design'!I56/'Battery Design'!I57*('Cost Input'!$J$15+'Cost Input'!$J$16*'Battery Design'!I77)</f>
        <v>45.999056989229047</v>
      </c>
      <c r="J94" s="39">
        <f ca="1">'Battery Design'!J56/'Battery Design'!J57*('Cost Input'!$J$15+'Cost Input'!$J$16*'Battery Design'!J77)</f>
        <v>45.999056989229047</v>
      </c>
    </row>
    <row r="95" spans="1:12">
      <c r="A95" s="7" t="s">
        <v>382</v>
      </c>
      <c r="B95" s="7"/>
      <c r="C95" s="7"/>
      <c r="F95" s="39">
        <f ca="1">'Cost Input'!$J$18*'Battery Design'!F120/1000+'Cost Input'!$J$19</f>
        <v>0.94746680501333769</v>
      </c>
      <c r="G95" s="39">
        <f ca="1">'Cost Input'!$J$18*'Battery Design'!G120/1000+'Cost Input'!$J$19</f>
        <v>0.94641626257149181</v>
      </c>
      <c r="H95" s="39">
        <f ca="1">'Cost Input'!$J$18*'Battery Design'!H120/1000+'Cost Input'!$J$19</f>
        <v>0.9448178374711802</v>
      </c>
      <c r="I95" s="39">
        <f ca="1">'Cost Input'!$J$18*'Battery Design'!I120/1000+'Cost Input'!$J$19</f>
        <v>0.84773240357037494</v>
      </c>
      <c r="J95" s="39">
        <f ca="1">'Cost Input'!$J$18*'Battery Design'!J120/1000+'Cost Input'!$J$19</f>
        <v>0.84773240357037494</v>
      </c>
    </row>
    <row r="96" spans="1:12">
      <c r="A96" s="7" t="s">
        <v>39</v>
      </c>
      <c r="B96" s="7"/>
      <c r="C96" s="7"/>
      <c r="F96" s="253">
        <f ca="1">'Cost Input'!$J$21*'Battery Design'!F128/1000+'Cost Input'!$J$22</f>
        <v>2.2420602702842061</v>
      </c>
      <c r="G96" s="253">
        <f ca="1">'Cost Input'!$J$21*'Battery Design'!G128/1000+'Cost Input'!$J$22</f>
        <v>2.278663661566747</v>
      </c>
      <c r="H96" s="253">
        <f ca="1">'Cost Input'!$J$21*'Battery Design'!H128/1000+'Cost Input'!$J$22</f>
        <v>1.7765104937179865</v>
      </c>
      <c r="I96" s="253">
        <f ca="1">'Cost Input'!$J$21*'Battery Design'!I128/1000+'Cost Input'!$J$22</f>
        <v>1.7677056289859192</v>
      </c>
      <c r="J96" s="253">
        <f ca="1">'Cost Input'!$J$21*'Battery Design'!J128/1000+'Cost Input'!$J$22</f>
        <v>1.7677056289859192</v>
      </c>
    </row>
    <row r="97" spans="1:10">
      <c r="A97" s="7" t="s">
        <v>492</v>
      </c>
      <c r="B97" s="7"/>
      <c r="C97" s="7"/>
      <c r="F97" s="39">
        <f ca="1">SUM(F92:F96)</f>
        <v>59.740744565584329</v>
      </c>
      <c r="G97" s="39">
        <f t="shared" ref="G97:J97" ca="1" si="39">SUM(G92:G96)</f>
        <v>72.745379812235598</v>
      </c>
      <c r="H97" s="39">
        <f t="shared" ca="1" si="39"/>
        <v>51.443514227875092</v>
      </c>
      <c r="I97" s="39">
        <f t="shared" ca="1" si="39"/>
        <v>51.190707186099374</v>
      </c>
      <c r="J97" s="39">
        <f t="shared" ca="1" si="39"/>
        <v>51.190707186099374</v>
      </c>
    </row>
    <row r="98" spans="1:10">
      <c r="A98" s="5" t="s">
        <v>493</v>
      </c>
      <c r="B98" s="7"/>
      <c r="C98" s="7"/>
      <c r="F98" s="39"/>
      <c r="G98" s="39"/>
      <c r="H98" s="39"/>
      <c r="I98" s="39"/>
      <c r="J98" s="39"/>
    </row>
    <row r="99" spans="1:10">
      <c r="A99" s="7" t="s">
        <v>517</v>
      </c>
      <c r="B99" s="7"/>
      <c r="C99" s="7"/>
      <c r="F99" s="39">
        <f ca="1">('Battery Design'!F60+1)*('Cost Input'!$J25*'Battery Design'!F153/1000*'Cost Input'!$J25+'Cost Input'!$J26)</f>
        <v>20.107507782000159</v>
      </c>
      <c r="G99" s="39">
        <f ca="1">('Battery Design'!G60+1)*('Cost Input'!$J25*'Battery Design'!G153/1000*'Cost Input'!$J25+'Cost Input'!$J26)</f>
        <v>20.048414769646314</v>
      </c>
      <c r="H99" s="39">
        <f ca="1">('Battery Design'!H60+1)*('Cost Input'!$J25*'Battery Design'!H153/1000*'Cost Input'!$J25+'Cost Input'!$J26)</f>
        <v>37.699395231312728</v>
      </c>
      <c r="I99" s="39">
        <f ca="1">('Battery Design'!I60+1)*('Cost Input'!$J25*'Battery Design'!I153/1000*'Cost Input'!$J25+'Cost Input'!$J26)</f>
        <v>14.497447700833579</v>
      </c>
      <c r="J99" s="39">
        <f ca="1">('Battery Design'!J60+1)*('Cost Input'!$J25*'Battery Design'!J153/1000*'Cost Input'!$J25+'Cost Input'!$J26)</f>
        <v>14.497447700833579</v>
      </c>
    </row>
    <row r="100" spans="1:10">
      <c r="A100" t="s">
        <v>527</v>
      </c>
      <c r="B100" s="7"/>
      <c r="C100" s="7"/>
      <c r="F100" s="39">
        <f ca="1">'Battery Design'!F154/1000*'Cost Input'!$J27</f>
        <v>4.9332366660567111</v>
      </c>
      <c r="G100" s="39">
        <f ca="1">'Battery Design'!G154/1000*'Cost Input'!$J27</f>
        <v>5.1660468976467246</v>
      </c>
      <c r="H100" s="39">
        <f ca="1">'Battery Design'!H154/1000*'Cost Input'!$J27</f>
        <v>5.4756906929622806</v>
      </c>
      <c r="I100" s="39">
        <f ca="1">'Battery Design'!I154/1000*'Cost Input'!$J27</f>
        <v>2.6917754064195671</v>
      </c>
      <c r="J100" s="39">
        <f ca="1">'Battery Design'!J154/1000*'Cost Input'!$J27</f>
        <v>2.6917754064195671</v>
      </c>
    </row>
    <row r="101" spans="1:10">
      <c r="A101" t="s">
        <v>526</v>
      </c>
      <c r="B101" s="7"/>
      <c r="C101" s="7"/>
      <c r="F101" s="39">
        <f ca="1">'Cost Input'!$J29+'Cost Input'!$J30*ROUNDUP('Battery Design'!F141,-2)</f>
        <v>21</v>
      </c>
      <c r="G101" s="39">
        <f ca="1">'Cost Input'!$J29+'Cost Input'!$J30*ROUNDUP('Battery Design'!G141,-2)</f>
        <v>21</v>
      </c>
      <c r="H101" s="39">
        <f ca="1">'Cost Input'!$J29+'Cost Input'!$J30*ROUNDUP('Battery Design'!H141,-2)</f>
        <v>21</v>
      </c>
      <c r="I101" s="39">
        <f ca="1">'Cost Input'!$J29+'Cost Input'!$J30*ROUNDUP('Battery Design'!I141,-2)</f>
        <v>19</v>
      </c>
      <c r="J101" s="39">
        <f ca="1">'Cost Input'!$J29+'Cost Input'!$J30*ROUNDUP('Battery Design'!J141,-2)</f>
        <v>19</v>
      </c>
    </row>
    <row r="102" spans="1:10">
      <c r="A102" t="s">
        <v>805</v>
      </c>
      <c r="B102" s="7"/>
      <c r="C102" s="7"/>
      <c r="F102" s="39">
        <f>IF(AND('Battery Design'!F59=1,'Battery Design'!F58&gt;1),'Cost Input'!$J32,0)</f>
        <v>0</v>
      </c>
      <c r="G102" s="39">
        <f>IF(AND('Battery Design'!G59=1,'Battery Design'!G58&gt;1),'Cost Input'!$J32,0)</f>
        <v>0</v>
      </c>
      <c r="H102" s="39">
        <f>IF(AND('Battery Design'!H59=1,'Battery Design'!H58&gt;1),'Cost Input'!$J32,0)</f>
        <v>0</v>
      </c>
      <c r="I102" s="39">
        <f>IF(AND('Battery Design'!I59=1,'Battery Design'!I58&gt;1),'Cost Input'!$J32,0)</f>
        <v>0</v>
      </c>
      <c r="J102" s="39">
        <f>IF(AND('Battery Design'!J59=1,'Battery Design'!J58&gt;1),'Cost Input'!$J32,0)</f>
        <v>0</v>
      </c>
    </row>
    <row r="103" spans="1:10">
      <c r="A103" t="s">
        <v>807</v>
      </c>
      <c r="B103" s="7"/>
      <c r="C103" s="7"/>
      <c r="F103" s="39">
        <f>IF('Battery Design'!F61&gt;1,'Cost Input'!$J32*'Battery Design'!F61,0)</f>
        <v>0</v>
      </c>
      <c r="G103" s="39">
        <f>IF('Battery Design'!G61&gt;1,'Cost Input'!$J32*'Battery Design'!G61,0)</f>
        <v>0</v>
      </c>
      <c r="H103" s="39">
        <f>IF('Battery Design'!H61&gt;1,'Cost Input'!$J32*'Battery Design'!H61,0)</f>
        <v>40</v>
      </c>
      <c r="I103" s="39">
        <f>IF('Battery Design'!I61&gt;1,'Cost Input'!$J32*'Battery Design'!I61,0)</f>
        <v>0</v>
      </c>
      <c r="J103" s="39">
        <f>IF('Battery Design'!J61&gt;1,'Cost Input'!$J32*'Battery Design'!J61,0)</f>
        <v>0</v>
      </c>
    </row>
    <row r="104" spans="1:10">
      <c r="A104" t="s">
        <v>806</v>
      </c>
      <c r="B104" s="7"/>
      <c r="C104" s="7"/>
      <c r="F104" s="39">
        <f>IF('Battery Design'!F62&gt;1,'Cost Input'!$J32*'Battery Design'!F62,0)</f>
        <v>0</v>
      </c>
      <c r="G104" s="39">
        <f>IF('Battery Design'!G62&gt;1,'Cost Input'!$J32*'Battery Design'!G62,0)</f>
        <v>0</v>
      </c>
      <c r="H104" s="39">
        <f>IF('Battery Design'!H62&gt;1,'Cost Input'!$J32*'Battery Design'!H62,0)</f>
        <v>0</v>
      </c>
      <c r="I104" s="39">
        <f>IF('Battery Design'!I62&gt;1,'Cost Input'!$J32*'Battery Design'!I62,0)</f>
        <v>40</v>
      </c>
      <c r="J104" s="39">
        <f>IF('Battery Design'!J62&gt;1,'Cost Input'!$J32*'Battery Design'!J62,0)</f>
        <v>40</v>
      </c>
    </row>
    <row r="105" spans="1:10">
      <c r="A105" s="7" t="s">
        <v>495</v>
      </c>
      <c r="B105" s="7"/>
      <c r="C105" s="7"/>
      <c r="F105" s="39">
        <f ca="1">'Cost Input'!$J34*'Battery Design'!F163+'Cost Input'!$J35</f>
        <v>196.47314018852637</v>
      </c>
      <c r="G105" s="39">
        <f ca="1">'Cost Input'!$J34*'Battery Design'!G163+'Cost Input'!$J35</f>
        <v>201.0565171828207</v>
      </c>
      <c r="H105" s="39">
        <f ca="1">'Cost Input'!$J34*'Battery Design'!H163+'Cost Input'!$J35</f>
        <v>214.07635374869719</v>
      </c>
      <c r="I105" s="39">
        <f ca="1">'Cost Input'!$J34*'Battery Design'!I163+'Cost Input'!$J35</f>
        <v>131.02296665158286</v>
      </c>
      <c r="J105" s="39">
        <f ca="1">'Cost Input'!$J34*'Battery Design'!J163+'Cost Input'!$J35</f>
        <v>131.02296665158286</v>
      </c>
    </row>
    <row r="106" spans="1:10">
      <c r="A106" s="321" t="s">
        <v>809</v>
      </c>
      <c r="B106" s="7"/>
      <c r="C106" s="7"/>
      <c r="F106" s="39">
        <f ca="1">SUM(F99:F105)</f>
        <v>242.51388463658324</v>
      </c>
      <c r="G106" s="39">
        <f t="shared" ref="G106:J106" ca="1" si="40">SUM(G99:G105)</f>
        <v>247.27097885011375</v>
      </c>
      <c r="H106" s="39">
        <f t="shared" ca="1" si="40"/>
        <v>318.2514396729722</v>
      </c>
      <c r="I106" s="39">
        <f t="shared" ca="1" si="40"/>
        <v>207.21218975883602</v>
      </c>
      <c r="J106" s="39">
        <f t="shared" ca="1" si="40"/>
        <v>207.21218975883602</v>
      </c>
    </row>
    <row r="107" spans="1:10">
      <c r="A107" s="321" t="s">
        <v>884</v>
      </c>
      <c r="B107" s="7"/>
      <c r="C107" s="7"/>
      <c r="F107" s="39">
        <f ca="1">F89*'Battery Design'!F64+F97*'Battery Design'!F60+F106</f>
        <v>4962.1791510960929</v>
      </c>
      <c r="G107" s="39">
        <f ca="1">G89*'Battery Design'!G64+G97*'Battery Design'!G60+G106</f>
        <v>5227.2695000809717</v>
      </c>
      <c r="H107" s="39">
        <f ca="1">H89*'Battery Design'!H64+H97*'Battery Design'!H60+H106</f>
        <v>5580.5016086211062</v>
      </c>
      <c r="I107" s="39">
        <f ca="1">I89*'Battery Design'!I64+I97*'Battery Design'!I60+I106</f>
        <v>2795.7036281362653</v>
      </c>
      <c r="J107" s="39">
        <f ca="1">J89*'Battery Design'!J64+J97*'Battery Design'!J60+J106</f>
        <v>2795.7036281362653</v>
      </c>
    </row>
    <row r="108" spans="1:10">
      <c r="A108" s="5" t="s">
        <v>563</v>
      </c>
      <c r="B108" s="7"/>
      <c r="C108" s="7"/>
      <c r="F108" s="39"/>
      <c r="G108" s="39"/>
      <c r="H108" s="39"/>
      <c r="I108" s="39"/>
      <c r="J108" s="39"/>
    </row>
    <row r="109" spans="1:10">
      <c r="A109" t="s">
        <v>533</v>
      </c>
      <c r="B109" s="7"/>
      <c r="C109" s="7"/>
      <c r="F109" s="39">
        <f>IF('Battery Design'!F52="microHEV",'Cost Input'!$H39,IF('Battery Design'!F52="HEV-HP",'Cost Input'!$I39,'Cost Input'!$J39))</f>
        <v>100</v>
      </c>
      <c r="G109" s="39">
        <f>IF('Battery Design'!G52="microHEV",'Cost Input'!$H39,IF('Battery Design'!G52="HEV-HP",'Cost Input'!$I39,'Cost Input'!$J39))</f>
        <v>100</v>
      </c>
      <c r="H109" s="39">
        <f>IF('Battery Design'!H52="microHEV",'Cost Input'!$H39,IF('Battery Design'!H52="HEV-HP",'Cost Input'!$I39,'Cost Input'!$J39))</f>
        <v>100</v>
      </c>
      <c r="I109" s="39">
        <f>IF('Battery Design'!I52="microHEV",'Cost Input'!$H39,IF('Battery Design'!I52="HEV-HP",'Cost Input'!$I39,'Cost Input'!$J39))</f>
        <v>100</v>
      </c>
      <c r="J109" s="39">
        <f>IF('Battery Design'!J52="microHEV",'Cost Input'!$H39,IF('Battery Design'!J52="HEV-HP",'Cost Input'!$I39,'Cost Input'!$J39))</f>
        <v>100</v>
      </c>
    </row>
    <row r="110" spans="1:10">
      <c r="A110" t="s">
        <v>534</v>
      </c>
      <c r="B110" s="7"/>
      <c r="C110" s="7"/>
      <c r="F110" s="39">
        <f>'Battery Design'!F60*'Battery Design'!F62*IF('Battery Design'!F52="microHEV",'Cost Input'!$H40,IF('Battery Design'!F52="HEV-HP",'Cost Input'!$I40,'Cost Input'!$J40))</f>
        <v>160</v>
      </c>
      <c r="G110" s="39">
        <f>'Battery Design'!G60*'Battery Design'!G62*IF('Battery Design'!G52="microHEV",'Cost Input'!$H40,IF('Battery Design'!G52="HEV-HP",'Cost Input'!$I40,'Cost Input'!$J40))</f>
        <v>160</v>
      </c>
      <c r="H110" s="39">
        <f>'Battery Design'!H60*'Battery Design'!H62*IF('Battery Design'!H52="microHEV",'Cost Input'!$H40,IF('Battery Design'!H52="HEV-HP",'Cost Input'!$I40,'Cost Input'!$J40))</f>
        <v>320</v>
      </c>
      <c r="I110" s="39">
        <f>'Battery Design'!I60*'Battery Design'!I62*IF('Battery Design'!I52="microHEV",'Cost Input'!$H40,IF('Battery Design'!I52="HEV-HP",'Cost Input'!$I40,'Cost Input'!$J40))</f>
        <v>320</v>
      </c>
      <c r="J110" s="39">
        <f>'Battery Design'!J60*'Battery Design'!J62*IF('Battery Design'!J52="microHEV",'Cost Input'!$H40,IF('Battery Design'!J52="HEV-HP",'Cost Input'!$I40,'Cost Input'!$J40))</f>
        <v>320</v>
      </c>
    </row>
    <row r="111" spans="1:10">
      <c r="A111" t="s">
        <v>535</v>
      </c>
      <c r="B111" s="7"/>
      <c r="C111" s="7"/>
      <c r="F111" s="39">
        <f>IF('Battery Design'!F52="microHEV",'Cost Input'!$H41,IF('Battery Design'!F52="HEV-HP",'Cost Input'!$I41,'Cost Input'!$J41))</f>
        <v>200</v>
      </c>
      <c r="G111" s="39">
        <f>IF('Battery Design'!G52="microHEV",'Cost Input'!$H41,IF('Battery Design'!G52="HEV-HP",'Cost Input'!$I41,'Cost Input'!$J41))</f>
        <v>200</v>
      </c>
      <c r="H111" s="39">
        <f>IF('Battery Design'!H52="microHEV",'Cost Input'!$H41,IF('Battery Design'!H52="HEV-HP",'Cost Input'!$I41,'Cost Input'!$J41))</f>
        <v>200</v>
      </c>
      <c r="I111" s="39">
        <f>IF('Battery Design'!I52="microHEV",'Cost Input'!$H41,IF('Battery Design'!I52="HEV-HP",'Cost Input'!$I41,'Cost Input'!$J41))</f>
        <v>200</v>
      </c>
      <c r="J111" s="39">
        <f>IF('Battery Design'!J52="microHEV",'Cost Input'!$H41,IF('Battery Design'!J52="HEV-HP",'Cost Input'!$I41,'Cost Input'!$J41))</f>
        <v>200</v>
      </c>
    </row>
    <row r="112" spans="1:10">
      <c r="A112" t="s">
        <v>530</v>
      </c>
      <c r="B112" s="7"/>
      <c r="C112" s="7"/>
      <c r="F112" s="387">
        <f>IF('Battery Design'!F52="microHEV",'Cost Input'!$H42,IF('Battery Design'!F52="HEV-HP",'Cost Input'!$I42,'Cost Input'!$J42)*'Battery Design'!F62)</f>
        <v>15</v>
      </c>
      <c r="G112" s="387">
        <f>IF('Battery Design'!G52="microHEV",'Cost Input'!$H42,IF('Battery Design'!G52="HEV-HP",'Cost Input'!$I42,'Cost Input'!$J42)*'Battery Design'!G62)</f>
        <v>15</v>
      </c>
      <c r="H112" s="387">
        <f>IF('Battery Design'!H52="microHEV",'Cost Input'!$H42,IF('Battery Design'!H52="HEV-HP",'Cost Input'!$I42,'Cost Input'!$J42)*'Battery Design'!H62)</f>
        <v>15</v>
      </c>
      <c r="I112" s="387">
        <f>IF('Battery Design'!I52="microHEV",'Cost Input'!$H42,IF('Battery Design'!I52="HEV-HP",'Cost Input'!$I42,'Cost Input'!$J42)*'Battery Design'!I62)</f>
        <v>30</v>
      </c>
      <c r="J112" s="387">
        <f>IF('Battery Design'!J52="microHEV",'Cost Input'!$H42,IF('Battery Design'!J52="HEV-HP",'Cost Input'!$I42,'Cost Input'!$J42)*'Battery Design'!J62)</f>
        <v>30</v>
      </c>
    </row>
    <row r="113" spans="1:10">
      <c r="A113" t="s">
        <v>813</v>
      </c>
      <c r="B113" s="7"/>
      <c r="C113" s="7"/>
      <c r="F113" s="253">
        <f>'Cost Input'!$J43*('Battery Design'!F61*'Battery Design'!F62-1)</f>
        <v>0</v>
      </c>
      <c r="G113" s="253">
        <f>'Cost Input'!$J43*('Battery Design'!G61*'Battery Design'!G62-1)</f>
        <v>0</v>
      </c>
      <c r="H113" s="253">
        <f>'Cost Input'!$J43*('Battery Design'!H61*'Battery Design'!H62-1)</f>
        <v>100</v>
      </c>
      <c r="I113" s="253">
        <f>'Cost Input'!$J43*('Battery Design'!I61*'Battery Design'!I62-1)</f>
        <v>100</v>
      </c>
      <c r="J113" s="253">
        <f>'Cost Input'!$J43*('Battery Design'!J61*'Battery Design'!J62-1)</f>
        <v>100</v>
      </c>
    </row>
    <row r="114" spans="1:10">
      <c r="A114" s="7" t="s">
        <v>536</v>
      </c>
      <c r="B114" s="7"/>
      <c r="C114" s="7"/>
      <c r="F114" s="39">
        <f>SUM(F109:F113)</f>
        <v>475</v>
      </c>
      <c r="G114" s="39">
        <f t="shared" ref="G114:J114" si="41">SUM(G109:G113)</f>
        <v>475</v>
      </c>
      <c r="H114" s="39">
        <f t="shared" si="41"/>
        <v>735</v>
      </c>
      <c r="I114" s="39">
        <f t="shared" si="41"/>
        <v>750</v>
      </c>
      <c r="J114" s="39">
        <f t="shared" si="41"/>
        <v>750</v>
      </c>
    </row>
    <row r="115" spans="1:10">
      <c r="A115" s="5" t="s">
        <v>564</v>
      </c>
      <c r="B115" s="7"/>
      <c r="C115" s="7"/>
      <c r="F115" s="39"/>
      <c r="G115" s="39"/>
      <c r="H115" s="39"/>
      <c r="I115" s="39"/>
      <c r="J115" s="39"/>
    </row>
    <row r="116" spans="1:10">
      <c r="A116" t="s">
        <v>565</v>
      </c>
      <c r="B116" s="7"/>
      <c r="C116" s="7"/>
      <c r="F116" s="39">
        <f>IF('Battery Design'!F52="microHEV",'Cost Input'!$H46,IF('Battery Design'!F52="HEV-HP",'Cost Input'!$I46,'Cost Input'!$J46+('Battery Design'!F62-1)*60))</f>
        <v>120</v>
      </c>
      <c r="G116" s="39">
        <f>IF('Battery Design'!G52="microHEV",'Cost Input'!$H46,IF('Battery Design'!G52="HEV-HP",'Cost Input'!$I46,'Cost Input'!$J46+('Battery Design'!G62-1)*60))</f>
        <v>120</v>
      </c>
      <c r="H116" s="39">
        <f>IF('Battery Design'!H52="microHEV",'Cost Input'!$H46,IF('Battery Design'!H52="HEV-HP",'Cost Input'!$I46,'Cost Input'!$J46+('Battery Design'!H62-1)*60))</f>
        <v>120</v>
      </c>
      <c r="I116" s="39">
        <f>IF('Battery Design'!I52="microHEV",'Cost Input'!$H46,IF('Battery Design'!I52="HEV-HP",'Cost Input'!$I46,'Cost Input'!$J46+('Battery Design'!I62-1)*60))</f>
        <v>180</v>
      </c>
      <c r="J116" s="39">
        <f>IF('Battery Design'!J52="microHEV",'Cost Input'!$H46,IF('Battery Design'!J52="HEV-HP",'Cost Input'!$I46,'Cost Input'!$J46+('Battery Design'!J62-1)*60))</f>
        <v>180</v>
      </c>
    </row>
    <row r="117" spans="1:10">
      <c r="A117" s="10" t="s">
        <v>537</v>
      </c>
      <c r="B117" s="7"/>
      <c r="C117" s="7"/>
      <c r="F117" s="39">
        <f ca="1">IF(Thermal!F67="CA",0,ROUND('Battery Design'!F171,-3)/1000*IF('Battery Design'!F52="microHEV",'Cost Input'!$H47,IF('Battery Design'!F52="HEV-HP",'Cost Input'!$I47,'Cost Input'!$J47)))</f>
        <v>320</v>
      </c>
      <c r="G117" s="39">
        <f ca="1">IF(Thermal!G67="CA",0,ROUND('Battery Design'!G171,-3)/1000*IF('Battery Design'!G52="microHEV",'Cost Input'!$H47,IF('Battery Design'!G52="HEV-HP",'Cost Input'!$I47,'Cost Input'!$J47)))</f>
        <v>360</v>
      </c>
      <c r="H117" s="39">
        <f ca="1">IF(Thermal!H67="CA",0,ROUND('Battery Design'!H171,-3)/1000*IF('Battery Design'!H52="microHEV",'Cost Input'!$H47,IF('Battery Design'!H52="HEV-HP",'Cost Input'!$I47,'Cost Input'!$J47)))</f>
        <v>320</v>
      </c>
      <c r="I117" s="39">
        <f ca="1">IF(Thermal!I67="CA",0,ROUND('Battery Design'!I171,-3)/1000*IF('Battery Design'!I52="microHEV",'Cost Input'!$H47,IF('Battery Design'!I52="HEV-HP",'Cost Input'!$I47,'Cost Input'!$J47)))</f>
        <v>320</v>
      </c>
      <c r="J117" s="39">
        <f ca="1">IF(Thermal!J67="CA",0,ROUND('Battery Design'!J171,-3)/1000*IF('Battery Design'!J52="microHEV",'Cost Input'!$H47,IF('Battery Design'!J52="HEV-HP",'Cost Input'!$I47,'Cost Input'!$J47)))</f>
        <v>320</v>
      </c>
    </row>
    <row r="118" spans="1:10">
      <c r="A118" t="s">
        <v>538</v>
      </c>
      <c r="B118" s="7"/>
      <c r="C118" s="7"/>
      <c r="F118" s="39">
        <f>Thermal!F190/1000*IF('Battery Design'!F52="microHEV",'Cost Input'!$H48,IF('Battery Design'!F52="HEV-HP",'Cost Input'!$I48,'Cost Input'!$J48))*'Battery Design'!F62</f>
        <v>60</v>
      </c>
      <c r="G118" s="39">
        <f>Thermal!G190/1000*IF('Battery Design'!G52="microHEV",'Cost Input'!$H48,IF('Battery Design'!G52="HEV-HP",'Cost Input'!$I48,'Cost Input'!$J48))*'Battery Design'!G62</f>
        <v>60</v>
      </c>
      <c r="H118" s="39">
        <f>Thermal!H190/1000*IF('Battery Design'!H52="microHEV",'Cost Input'!$H48,IF('Battery Design'!H52="HEV-HP",'Cost Input'!$I48,'Cost Input'!$J48))*'Battery Design'!H62</f>
        <v>60</v>
      </c>
      <c r="I118" s="39">
        <f>Thermal!I190/1000*IF('Battery Design'!I52="microHEV",'Cost Input'!$H48,IF('Battery Design'!I52="HEV-HP",'Cost Input'!$I48,'Cost Input'!$J48))*'Battery Design'!I62</f>
        <v>120</v>
      </c>
      <c r="J118" s="39">
        <f>Thermal!J190/1000*IF('Battery Design'!J52="microHEV",'Cost Input'!$H48,IF('Battery Design'!J52="HEV-HP",'Cost Input'!$I48,'Cost Input'!$J48))*'Battery Design'!J62</f>
        <v>120</v>
      </c>
    </row>
    <row r="119" spans="1:10">
      <c r="A119" t="s">
        <v>811</v>
      </c>
      <c r="B119" s="7"/>
      <c r="C119" s="7"/>
      <c r="F119" s="39">
        <f>IF('Battery Design'!F62&gt;1,('Battery Design'!F62-1)*'Cost Input'!$J49,0)</f>
        <v>0</v>
      </c>
      <c r="G119" s="39">
        <f>IF('Battery Design'!G62&gt;1,('Battery Design'!G62-1)*'Cost Input'!$J49,0)</f>
        <v>0</v>
      </c>
      <c r="H119" s="39">
        <f>IF('Battery Design'!H62&gt;1,('Battery Design'!H62-1)*'Cost Input'!$J49,0)</f>
        <v>0</v>
      </c>
      <c r="I119" s="39">
        <f>IF('Battery Design'!I62&gt;1,('Battery Design'!I62-1)*'Cost Input'!$J49,0)</f>
        <v>100</v>
      </c>
      <c r="J119" s="39">
        <f>IF('Battery Design'!J62&gt;1,('Battery Design'!J62-1)*'Cost Input'!$J49,0)</f>
        <v>100</v>
      </c>
    </row>
    <row r="120" spans="1:10">
      <c r="A120" s="7" t="s">
        <v>541</v>
      </c>
      <c r="B120" s="7"/>
      <c r="C120" s="7"/>
      <c r="F120" s="39">
        <f ca="1">SUM(F116:F118)</f>
        <v>500</v>
      </c>
      <c r="G120" s="39">
        <f t="shared" ref="G120:J120" ca="1" si="42">SUM(G116:G118)</f>
        <v>540</v>
      </c>
      <c r="H120" s="39">
        <f t="shared" ca="1" si="42"/>
        <v>500</v>
      </c>
      <c r="I120" s="39">
        <f t="shared" ca="1" si="42"/>
        <v>620</v>
      </c>
      <c r="J120" s="39">
        <f t="shared" ca="1" si="42"/>
        <v>620</v>
      </c>
    </row>
    <row r="121" spans="1:10">
      <c r="A121" s="7"/>
      <c r="B121" s="7"/>
      <c r="C121" s="7"/>
      <c r="F121" s="39"/>
      <c r="G121" s="39"/>
      <c r="H121" s="39"/>
      <c r="I121" s="39"/>
      <c r="J121" s="39"/>
    </row>
    <row r="122" spans="1:10" ht="15.75">
      <c r="A122" s="19" t="s">
        <v>64</v>
      </c>
      <c r="B122" s="19"/>
      <c r="C122" s="19"/>
      <c r="F122" s="83"/>
      <c r="G122" s="83"/>
      <c r="H122" s="83"/>
      <c r="I122" s="83"/>
      <c r="J122" s="83"/>
    </row>
    <row r="123" spans="1:10">
      <c r="A123" s="10"/>
      <c r="B123" s="10"/>
      <c r="C123" s="10"/>
      <c r="D123" s="72" t="s">
        <v>43</v>
      </c>
      <c r="E123" s="73"/>
      <c r="F123" s="8"/>
      <c r="G123" s="389"/>
      <c r="H123" s="389"/>
      <c r="I123" s="389"/>
      <c r="J123" s="389"/>
    </row>
    <row r="124" spans="1:10">
      <c r="A124" s="74" t="s">
        <v>135</v>
      </c>
      <c r="B124" s="61"/>
      <c r="C124" s="61"/>
      <c r="D124" s="75" t="s">
        <v>66</v>
      </c>
      <c r="E124" s="64" t="s">
        <v>45</v>
      </c>
      <c r="F124" s="68"/>
      <c r="G124" s="388"/>
      <c r="H124" s="388"/>
      <c r="I124" s="388"/>
      <c r="J124" s="388"/>
    </row>
    <row r="125" spans="1:10">
      <c r="A125" s="5" t="s">
        <v>239</v>
      </c>
      <c r="B125" s="5"/>
      <c r="C125" s="5"/>
      <c r="E125" s="76"/>
    </row>
    <row r="126" spans="1:10">
      <c r="A126" s="7" t="s">
        <v>136</v>
      </c>
      <c r="B126" s="7"/>
      <c r="C126" s="7"/>
      <c r="D126" s="14"/>
      <c r="E126" s="76"/>
      <c r="F126" s="128">
        <f ca="1">F7/'Cost Input'!$E8</f>
        <v>4.0595182473804883</v>
      </c>
      <c r="G126" s="128">
        <f ca="1">G7/'Cost Input'!$E8</f>
        <v>4.0595182473805052</v>
      </c>
      <c r="H126" s="128">
        <f ca="1">H7/'Cost Input'!$E8</f>
        <v>4.0595182473805043</v>
      </c>
      <c r="I126" s="128">
        <f ca="1">I7/'Cost Input'!$E8</f>
        <v>4.0595182473804838</v>
      </c>
      <c r="J126" s="128">
        <f ca="1">J7/'Cost Input'!$E8</f>
        <v>4.0595182473804838</v>
      </c>
    </row>
    <row r="127" spans="1:10">
      <c r="A127" s="7" t="s">
        <v>69</v>
      </c>
      <c r="B127" s="7"/>
      <c r="C127" s="7"/>
      <c r="D127" s="78">
        <f>'Cost Input'!D81</f>
        <v>14400</v>
      </c>
      <c r="E127" s="133">
        <f>'Cost Input'!E81</f>
        <v>0.4</v>
      </c>
      <c r="F127" s="76">
        <f t="shared" ref="F127:J129" ca="1" si="43">$D127*F$126^$E127</f>
        <v>25220.418639389012</v>
      </c>
      <c r="G127" s="76">
        <f t="shared" ca="1" si="43"/>
        <v>25220.418639389049</v>
      </c>
      <c r="H127" s="76">
        <f t="shared" ca="1" si="43"/>
        <v>25220.418639389045</v>
      </c>
      <c r="I127" s="76">
        <f t="shared" ca="1" si="43"/>
        <v>25220.418639388998</v>
      </c>
      <c r="J127" s="76">
        <f t="shared" ca="1" si="43"/>
        <v>25220.418639388998</v>
      </c>
    </row>
    <row r="128" spans="1:10">
      <c r="A128" s="7" t="s">
        <v>71</v>
      </c>
      <c r="B128" s="7"/>
      <c r="C128" s="7"/>
      <c r="D128" s="79">
        <f>'Cost Input'!D82</f>
        <v>3.6</v>
      </c>
      <c r="E128" s="133">
        <f>'Cost Input'!E82</f>
        <v>0.6</v>
      </c>
      <c r="F128" s="90">
        <f t="shared" ca="1" si="43"/>
        <v>8.3442479267783796</v>
      </c>
      <c r="G128" s="90">
        <f t="shared" ca="1" si="43"/>
        <v>8.3442479267784009</v>
      </c>
      <c r="H128" s="90">
        <f t="shared" ca="1" si="43"/>
        <v>8.3442479267783991</v>
      </c>
      <c r="I128" s="90">
        <f t="shared" ca="1" si="43"/>
        <v>8.3442479267783725</v>
      </c>
      <c r="J128" s="90">
        <f t="shared" ca="1" si="43"/>
        <v>8.3442479267783725</v>
      </c>
    </row>
    <row r="129" spans="1:10">
      <c r="A129" s="7" t="s">
        <v>72</v>
      </c>
      <c r="B129" s="7"/>
      <c r="C129" s="7"/>
      <c r="D129" s="78">
        <f>'Cost Input'!D83</f>
        <v>900</v>
      </c>
      <c r="E129" s="133">
        <f>'Cost Input'!E83</f>
        <v>0.5</v>
      </c>
      <c r="F129" s="76">
        <f t="shared" ca="1" si="43"/>
        <v>1813.3421575583016</v>
      </c>
      <c r="G129" s="76">
        <f t="shared" ca="1" si="43"/>
        <v>1813.3421575583052</v>
      </c>
      <c r="H129" s="76">
        <f t="shared" ca="1" si="43"/>
        <v>1813.3421575583052</v>
      </c>
      <c r="I129" s="76">
        <f t="shared" ca="1" si="43"/>
        <v>1813.3421575583002</v>
      </c>
      <c r="J129" s="76">
        <f t="shared" ca="1" si="43"/>
        <v>1813.3421575583002</v>
      </c>
    </row>
    <row r="130" spans="1:10">
      <c r="A130" s="5" t="s">
        <v>73</v>
      </c>
      <c r="B130" s="5"/>
      <c r="C130" s="5"/>
      <c r="D130" s="78"/>
      <c r="E130" s="133"/>
      <c r="F130" s="71"/>
      <c r="G130" s="71"/>
      <c r="H130" s="71"/>
      <c r="I130" s="71"/>
      <c r="J130" s="71"/>
    </row>
    <row r="131" spans="1:10">
      <c r="A131" s="7" t="s">
        <v>74</v>
      </c>
      <c r="B131" s="7"/>
      <c r="C131" s="7"/>
      <c r="D131" s="78"/>
      <c r="E131" s="133"/>
      <c r="F131" s="71"/>
      <c r="G131" s="71"/>
      <c r="H131" s="71"/>
      <c r="I131" s="71"/>
      <c r="J131" s="71"/>
    </row>
    <row r="132" spans="1:10">
      <c r="A132" s="7" t="s">
        <v>137</v>
      </c>
      <c r="B132" s="7"/>
      <c r="C132" s="7"/>
      <c r="D132" s="78"/>
      <c r="E132" s="133"/>
      <c r="F132" s="71"/>
      <c r="G132" s="71"/>
      <c r="H132" s="71"/>
      <c r="I132" s="71"/>
      <c r="J132" s="71"/>
    </row>
    <row r="133" spans="1:10">
      <c r="A133" s="7" t="s">
        <v>136</v>
      </c>
      <c r="B133" s="7"/>
      <c r="C133" s="7"/>
      <c r="D133" s="78"/>
      <c r="E133" s="133"/>
      <c r="F133" s="91">
        <f ca="1">F11/'Cost Input'!$E12</f>
        <v>3.6589119209907039</v>
      </c>
      <c r="G133" s="91">
        <f ca="1">G11/'Cost Input'!$E12</f>
        <v>3.7347268071576711</v>
      </c>
      <c r="H133" s="91">
        <f ca="1">H11/'Cost Input'!$E12</f>
        <v>3.730625315772647</v>
      </c>
      <c r="I133" s="91">
        <f ca="1">I11/'Cost Input'!$E12</f>
        <v>3.6565680696253255</v>
      </c>
      <c r="J133" s="91">
        <f ca="1">J11/'Cost Input'!$E12</f>
        <v>3.6565680696253255</v>
      </c>
    </row>
    <row r="134" spans="1:10">
      <c r="A134" s="7" t="s">
        <v>69</v>
      </c>
      <c r="B134" s="7"/>
      <c r="C134" s="7"/>
      <c r="D134" s="78">
        <f>'Cost Input'!D88</f>
        <v>14400</v>
      </c>
      <c r="E134" s="133">
        <f>'Cost Input'!E88</f>
        <v>0.5</v>
      </c>
      <c r="F134" s="76">
        <f t="shared" ref="F134:J136" ca="1" si="44">$D134*F$133^$E134</f>
        <v>27544.726826320722</v>
      </c>
      <c r="G134" s="76">
        <f t="shared" ca="1" si="44"/>
        <v>27828.635445027026</v>
      </c>
      <c r="H134" s="76">
        <f t="shared" ca="1" si="44"/>
        <v>27813.350489982615</v>
      </c>
      <c r="I134" s="76">
        <f t="shared" ca="1" si="44"/>
        <v>27535.903016198827</v>
      </c>
      <c r="J134" s="76">
        <f t="shared" ca="1" si="44"/>
        <v>27535.903016198827</v>
      </c>
    </row>
    <row r="135" spans="1:10">
      <c r="A135" s="7" t="s">
        <v>71</v>
      </c>
      <c r="B135" s="7"/>
      <c r="C135" s="7"/>
      <c r="D135" s="79">
        <f>'Cost Input'!D89</f>
        <v>2</v>
      </c>
      <c r="E135" s="133">
        <f>'Cost Input'!E89</f>
        <v>0.7</v>
      </c>
      <c r="F135" s="90">
        <f t="shared" ca="1" si="44"/>
        <v>4.9587973930859111</v>
      </c>
      <c r="G135" s="90">
        <f t="shared" ca="1" si="44"/>
        <v>5.030500342809872</v>
      </c>
      <c r="H135" s="90">
        <f t="shared" ca="1" si="44"/>
        <v>5.0266325450510392</v>
      </c>
      <c r="I135" s="90">
        <f t="shared" ca="1" si="44"/>
        <v>4.9565736006083112</v>
      </c>
      <c r="J135" s="90">
        <f t="shared" ca="1" si="44"/>
        <v>4.9565736006083112</v>
      </c>
    </row>
    <row r="136" spans="1:10">
      <c r="A136" s="7" t="s">
        <v>72</v>
      </c>
      <c r="B136" s="7"/>
      <c r="C136" s="7"/>
      <c r="D136" s="78">
        <f>'Cost Input'!D90</f>
        <v>600</v>
      </c>
      <c r="E136" s="133">
        <f>'Cost Input'!E90</f>
        <v>0.6</v>
      </c>
      <c r="F136" s="76">
        <f t="shared" ca="1" si="44"/>
        <v>1306.6594792620167</v>
      </c>
      <c r="G136" s="76">
        <f t="shared" ca="1" si="44"/>
        <v>1322.8376702478438</v>
      </c>
      <c r="H136" s="76">
        <f t="shared" ca="1" si="44"/>
        <v>1321.9658314412757</v>
      </c>
      <c r="I136" s="76">
        <f t="shared" ca="1" si="44"/>
        <v>1306.1571974641963</v>
      </c>
      <c r="J136" s="76">
        <f t="shared" ca="1" si="44"/>
        <v>1306.1571974641963</v>
      </c>
    </row>
    <row r="137" spans="1:10">
      <c r="A137" s="7" t="s">
        <v>138</v>
      </c>
      <c r="B137" s="7"/>
      <c r="C137" s="7"/>
      <c r="D137" s="78"/>
      <c r="E137" s="133"/>
      <c r="F137" s="71"/>
      <c r="G137" s="71"/>
      <c r="H137" s="71"/>
      <c r="I137" s="71"/>
      <c r="J137" s="71"/>
    </row>
    <row r="138" spans="1:10">
      <c r="A138" s="7" t="s">
        <v>136</v>
      </c>
      <c r="B138" s="7"/>
      <c r="C138" s="7"/>
      <c r="D138" s="78"/>
      <c r="E138" s="133"/>
      <c r="F138" s="91">
        <f ca="1">F12/'Cost Input'!$E13</f>
        <v>3.5230895443738444</v>
      </c>
      <c r="G138" s="91">
        <f ca="1">G12/'Cost Input'!$E13</f>
        <v>3.5942797762272147</v>
      </c>
      <c r="H138" s="91">
        <f ca="1">H12/'Cost Input'!$E13</f>
        <v>3.61147538176315</v>
      </c>
      <c r="I138" s="91">
        <f ca="1">I12/'Cost Input'!$E13</f>
        <v>3.5407733094675962</v>
      </c>
      <c r="J138" s="91">
        <f ca="1">J12/'Cost Input'!$E13</f>
        <v>3.5407733094675962</v>
      </c>
    </row>
    <row r="139" spans="1:10">
      <c r="A139" s="7" t="s">
        <v>69</v>
      </c>
      <c r="B139" s="7"/>
      <c r="C139" s="7"/>
      <c r="D139" s="78">
        <f>'Cost Input'!D93</f>
        <v>14400</v>
      </c>
      <c r="E139" s="133">
        <f>'Cost Input'!E93</f>
        <v>0.5</v>
      </c>
      <c r="F139" s="76">
        <f t="shared" ref="F139:J141" ca="1" si="45">$D139*F$138^$E139</f>
        <v>27028.648651409865</v>
      </c>
      <c r="G139" s="76">
        <f t="shared" ca="1" si="45"/>
        <v>27300.363631249955</v>
      </c>
      <c r="H139" s="76">
        <f t="shared" ca="1" si="45"/>
        <v>27365.590349239807</v>
      </c>
      <c r="I139" s="76">
        <f t="shared" ca="1" si="45"/>
        <v>27096.397425694817</v>
      </c>
      <c r="J139" s="76">
        <f t="shared" ca="1" si="45"/>
        <v>27096.397425694817</v>
      </c>
    </row>
    <row r="140" spans="1:10">
      <c r="A140" s="7" t="s">
        <v>71</v>
      </c>
      <c r="B140" s="7"/>
      <c r="C140" s="7"/>
      <c r="D140" s="79">
        <f>'Cost Input'!D94</f>
        <v>2</v>
      </c>
      <c r="E140" s="133">
        <f>'Cost Input'!E94</f>
        <v>0.7</v>
      </c>
      <c r="F140" s="90">
        <f t="shared" ca="1" si="45"/>
        <v>4.8292153538153819</v>
      </c>
      <c r="G140" s="90">
        <f t="shared" ca="1" si="45"/>
        <v>4.8973180671712075</v>
      </c>
      <c r="H140" s="90">
        <f t="shared" ca="1" si="45"/>
        <v>4.9137070054123022</v>
      </c>
      <c r="I140" s="90">
        <f t="shared" ca="1" si="45"/>
        <v>4.84617041146939</v>
      </c>
      <c r="J140" s="90">
        <f t="shared" ca="1" si="45"/>
        <v>4.84617041146939</v>
      </c>
    </row>
    <row r="141" spans="1:10">
      <c r="A141" s="7" t="s">
        <v>72</v>
      </c>
      <c r="B141" s="7"/>
      <c r="C141" s="7"/>
      <c r="D141" s="78">
        <f>'Cost Input'!D95</f>
        <v>600</v>
      </c>
      <c r="E141" s="133">
        <f>'Cost Input'!E95</f>
        <v>0.6</v>
      </c>
      <c r="F141" s="76">
        <f t="shared" ca="1" si="45"/>
        <v>1277.3369027994825</v>
      </c>
      <c r="G141" s="76">
        <f t="shared" ca="1" si="45"/>
        <v>1292.7614051501546</v>
      </c>
      <c r="H141" s="76">
        <f t="shared" ca="1" si="45"/>
        <v>1296.4687279602185</v>
      </c>
      <c r="I141" s="76">
        <f t="shared" ca="1" si="45"/>
        <v>1281.1799222875447</v>
      </c>
      <c r="J141" s="76">
        <f t="shared" ca="1" si="45"/>
        <v>1281.1799222875447</v>
      </c>
    </row>
    <row r="142" spans="1:10">
      <c r="A142" s="7" t="s">
        <v>81</v>
      </c>
      <c r="B142" s="7"/>
      <c r="C142" s="7"/>
      <c r="D142" s="78"/>
      <c r="E142" s="133"/>
      <c r="F142" s="71"/>
      <c r="G142" s="71"/>
      <c r="H142" s="71"/>
      <c r="I142" s="71"/>
      <c r="J142" s="71"/>
    </row>
    <row r="143" spans="1:10">
      <c r="A143" s="7" t="s">
        <v>139</v>
      </c>
      <c r="B143" s="7"/>
      <c r="C143" s="7"/>
      <c r="D143" s="78"/>
      <c r="E143" s="133"/>
      <c r="F143" s="71"/>
      <c r="G143" s="71"/>
      <c r="H143" s="71"/>
      <c r="I143" s="71"/>
      <c r="J143" s="71"/>
    </row>
    <row r="144" spans="1:10">
      <c r="A144" s="7" t="s">
        <v>136</v>
      </c>
      <c r="B144" s="7"/>
      <c r="C144" s="7"/>
      <c r="D144" s="78"/>
      <c r="E144" s="133"/>
      <c r="F144" s="91">
        <f ca="1">F10/'Cost Input'!$E11</f>
        <v>3.4937073410832573</v>
      </c>
      <c r="G144" s="91">
        <f ca="1">G10/'Cost Input'!$E11</f>
        <v>3.5660990876145719</v>
      </c>
      <c r="H144" s="91">
        <f ca="1">H10/'Cost Input'!$E11</f>
        <v>3.5621827838415725</v>
      </c>
      <c r="I144" s="91">
        <f ca="1">I10/'Cost Input'!$E11</f>
        <v>3.491469317622109</v>
      </c>
      <c r="J144" s="91">
        <f ca="1">J10/'Cost Input'!$E11</f>
        <v>3.491469317622109</v>
      </c>
    </row>
    <row r="145" spans="1:10" ht="14.25">
      <c r="A145" s="321" t="s">
        <v>913</v>
      </c>
      <c r="B145" s="7"/>
      <c r="C145" s="7"/>
      <c r="D145" s="405">
        <f>'Cost Input'!D99</f>
        <v>0.28127792478399444</v>
      </c>
      <c r="E145" s="79"/>
      <c r="F145" s="91">
        <f ca="1">F51/F10</f>
        <v>0.29457852407997714</v>
      </c>
      <c r="G145" s="91">
        <f t="shared" ref="G145:J145" ca="1" si="46">G51/G10</f>
        <v>0.29457852407998231</v>
      </c>
      <c r="H145" s="91">
        <f t="shared" ca="1" si="46"/>
        <v>0.29457852407998214</v>
      </c>
      <c r="I145" s="91">
        <f t="shared" ca="1" si="46"/>
        <v>0.29457852407997215</v>
      </c>
      <c r="J145" s="91">
        <f t="shared" ca="1" si="46"/>
        <v>0.29457852407997215</v>
      </c>
    </row>
    <row r="146" spans="1:10">
      <c r="A146" s="7" t="s">
        <v>69</v>
      </c>
      <c r="B146" s="7"/>
      <c r="C146" s="7"/>
      <c r="D146" s="78">
        <f>'Cost Input'!D100</f>
        <v>28800</v>
      </c>
      <c r="E146" s="133">
        <f>'Cost Input'!E100</f>
        <v>0.5</v>
      </c>
      <c r="F146" s="76">
        <f ca="1">$D146*F$144^$E146</f>
        <v>53831.409204925119</v>
      </c>
      <c r="G146" s="76">
        <f t="shared" ref="G146:J146" ca="1" si="47">$D146*G$144^$E146</f>
        <v>54386.25954440175</v>
      </c>
      <c r="H146" s="76">
        <f t="shared" ca="1" si="47"/>
        <v>54356.387740812526</v>
      </c>
      <c r="I146" s="76">
        <f t="shared" ca="1" si="47"/>
        <v>53814.164592683977</v>
      </c>
      <c r="J146" s="76">
        <f t="shared" ca="1" si="47"/>
        <v>53814.164592683977</v>
      </c>
    </row>
    <row r="147" spans="1:10">
      <c r="A147" s="7" t="s">
        <v>71</v>
      </c>
      <c r="B147" s="7"/>
      <c r="C147" s="7"/>
      <c r="D147" s="79">
        <f>'Cost Input'!D101</f>
        <v>8</v>
      </c>
      <c r="E147" s="133">
        <f>'Cost Input'!E101</f>
        <v>0.8</v>
      </c>
      <c r="F147" s="90">
        <f ca="1">$D147*F$144^$E147*(F145/$D145)^0.2</f>
        <v>21.9650548179917</v>
      </c>
      <c r="G147" s="90">
        <f t="shared" ref="G147:J147" ca="1" si="48">$D147*G$144^$E147*(G145/$D145)^0.2</f>
        <v>22.328410020003531</v>
      </c>
      <c r="H147" s="90">
        <f t="shared" ca="1" si="48"/>
        <v>22.308790947912826</v>
      </c>
      <c r="I147" s="90">
        <f t="shared" ca="1" si="48"/>
        <v>21.953797674096514</v>
      </c>
      <c r="J147" s="90">
        <f t="shared" ca="1" si="48"/>
        <v>21.953797674096514</v>
      </c>
    </row>
    <row r="148" spans="1:10">
      <c r="A148" s="7" t="s">
        <v>72</v>
      </c>
      <c r="B148" s="7"/>
      <c r="C148" s="7"/>
      <c r="D148" s="78">
        <f>'Cost Input'!D102</f>
        <v>750</v>
      </c>
      <c r="E148" s="133">
        <f>'Cost Input'!E102</f>
        <v>0.8</v>
      </c>
      <c r="F148" s="76">
        <f ca="1">$D148*F$144^$E148</f>
        <v>2040.2833306243776</v>
      </c>
      <c r="G148" s="76">
        <f t="shared" ref="G148:I148" ca="1" si="49">$D148*G$144^$E148</f>
        <v>2074.0345581038096</v>
      </c>
      <c r="H148" s="76">
        <f t="shared" ca="1" si="49"/>
        <v>2072.2121877031586</v>
      </c>
      <c r="I148" s="76">
        <f t="shared" ca="1" si="49"/>
        <v>2039.2376804664352</v>
      </c>
      <c r="J148" s="76">
        <f ca="1">$D148*J$144^$E148</f>
        <v>2039.2376804664352</v>
      </c>
    </row>
    <row r="149" spans="1:10">
      <c r="A149" s="7" t="s">
        <v>140</v>
      </c>
      <c r="B149" s="7"/>
      <c r="C149" s="7"/>
      <c r="D149" s="78"/>
      <c r="E149" s="133"/>
      <c r="F149" s="71"/>
      <c r="G149" s="71"/>
      <c r="H149" s="71"/>
      <c r="I149" s="71"/>
      <c r="J149" s="71"/>
    </row>
    <row r="150" spans="1:10">
      <c r="A150" s="7" t="s">
        <v>136</v>
      </c>
      <c r="B150" s="7"/>
      <c r="C150" s="7"/>
      <c r="D150" s="78"/>
      <c r="E150" s="133"/>
      <c r="F150" s="91">
        <f ca="1">F144</f>
        <v>3.4937073410832573</v>
      </c>
      <c r="G150" s="91">
        <f t="shared" ref="G150:J150" ca="1" si="50">G144</f>
        <v>3.5660990876145719</v>
      </c>
      <c r="H150" s="91">
        <f t="shared" ca="1" si="50"/>
        <v>3.5621827838415725</v>
      </c>
      <c r="I150" s="91">
        <f t="shared" ca="1" si="50"/>
        <v>3.491469317622109</v>
      </c>
      <c r="J150" s="91">
        <f t="shared" ca="1" si="50"/>
        <v>3.491469317622109</v>
      </c>
    </row>
    <row r="151" spans="1:10" ht="14.25">
      <c r="A151" s="321" t="s">
        <v>913</v>
      </c>
      <c r="B151" s="7"/>
      <c r="C151" s="7"/>
      <c r="D151" s="405">
        <f>'Cost Input'!D105</f>
        <v>0.18602721768598535</v>
      </c>
      <c r="E151" s="79"/>
      <c r="F151" s="406">
        <f ca="1">F52/F10</f>
        <v>0.18711602585747356</v>
      </c>
      <c r="G151" s="406">
        <f t="shared" ref="G151:J151" ca="1" si="51">G52/G10</f>
        <v>0.18702182852355737</v>
      </c>
      <c r="H151" s="406">
        <f t="shared" ca="1" si="51"/>
        <v>0.18812316825566</v>
      </c>
      <c r="I151" s="406">
        <f t="shared" ca="1" si="51"/>
        <v>0.18817577736866115</v>
      </c>
      <c r="J151" s="406">
        <f t="shared" ca="1" si="51"/>
        <v>0.18817577736866115</v>
      </c>
    </row>
    <row r="152" spans="1:10">
      <c r="A152" s="7" t="s">
        <v>69</v>
      </c>
      <c r="B152" s="7"/>
      <c r="C152" s="7"/>
      <c r="D152" s="78">
        <f>'Cost Input'!D106</f>
        <v>28800</v>
      </c>
      <c r="E152" s="133">
        <f>'Cost Input'!E106</f>
        <v>0.5</v>
      </c>
      <c r="F152" s="76">
        <f ca="1">$D152*F$150^$E152</f>
        <v>53831.409204925119</v>
      </c>
      <c r="G152" s="76">
        <f t="shared" ref="G152:J152" ca="1" si="52">$D152*G$150^$E152</f>
        <v>54386.25954440175</v>
      </c>
      <c r="H152" s="76">
        <f t="shared" ca="1" si="52"/>
        <v>54356.387740812526</v>
      </c>
      <c r="I152" s="76">
        <f t="shared" ca="1" si="52"/>
        <v>53814.164592683977</v>
      </c>
      <c r="J152" s="76">
        <f t="shared" ca="1" si="52"/>
        <v>53814.164592683977</v>
      </c>
    </row>
    <row r="153" spans="1:10">
      <c r="A153" s="7" t="s">
        <v>71</v>
      </c>
      <c r="B153" s="7"/>
      <c r="C153" s="7"/>
      <c r="D153" s="79">
        <f>'Cost Input'!D107</f>
        <v>8</v>
      </c>
      <c r="E153" s="133">
        <f>'Cost Input'!E107</f>
        <v>0.8</v>
      </c>
      <c r="F153" s="90">
        <f ca="1">$D153*F$144^$E153*(F151/$D151)^0.2</f>
        <v>21.788438339070733</v>
      </c>
      <c r="G153" s="90">
        <f t="shared" ref="G153:J153" ca="1" si="53">$D153*G$144^$E153*(G151/$D151)^0.2</f>
        <v>22.146641405163475</v>
      </c>
      <c r="H153" s="90">
        <f t="shared" ca="1" si="53"/>
        <v>22.15318151730564</v>
      </c>
      <c r="I153" s="90">
        <f t="shared" ca="1" si="53"/>
        <v>21.801883596563023</v>
      </c>
      <c r="J153" s="90">
        <f t="shared" ca="1" si="53"/>
        <v>21.801883596563023</v>
      </c>
    </row>
    <row r="154" spans="1:10">
      <c r="A154" s="7" t="s">
        <v>72</v>
      </c>
      <c r="B154" s="7"/>
      <c r="C154" s="7"/>
      <c r="D154" s="78">
        <f>'Cost Input'!D108</f>
        <v>750</v>
      </c>
      <c r="E154" s="133">
        <f>'Cost Input'!E108</f>
        <v>0.8</v>
      </c>
      <c r="F154" s="76">
        <f ca="1">$D154*F$150^$E154</f>
        <v>2040.2833306243776</v>
      </c>
      <c r="G154" s="76">
        <f t="shared" ref="G154:J154" ca="1" si="54">$D154*G$150^$E154</f>
        <v>2074.0345581038096</v>
      </c>
      <c r="H154" s="76">
        <f t="shared" ca="1" si="54"/>
        <v>2072.2121877031586</v>
      </c>
      <c r="I154" s="76">
        <f t="shared" ca="1" si="54"/>
        <v>2039.2376804664352</v>
      </c>
      <c r="J154" s="76">
        <f t="shared" ca="1" si="54"/>
        <v>2039.2376804664352</v>
      </c>
    </row>
    <row r="155" spans="1:10">
      <c r="A155" t="s">
        <v>309</v>
      </c>
      <c r="B155" s="7"/>
      <c r="C155" s="7"/>
      <c r="D155" s="78"/>
      <c r="E155" s="133"/>
      <c r="F155" s="76"/>
      <c r="G155" s="76"/>
      <c r="H155" s="76"/>
      <c r="I155" s="76"/>
      <c r="J155" s="76"/>
    </row>
    <row r="156" spans="1:10">
      <c r="A156" s="7" t="s">
        <v>136</v>
      </c>
      <c r="B156" s="7"/>
      <c r="C156" s="7"/>
      <c r="D156" s="78"/>
      <c r="E156" s="133"/>
      <c r="F156" s="91">
        <f ca="1">F13/'Cost Input'!$E14</f>
        <v>3.6589119209907297</v>
      </c>
      <c r="G156" s="91">
        <f ca="1">G13/'Cost Input'!$E14</f>
        <v>3.7347268071577457</v>
      </c>
      <c r="H156" s="91">
        <f ca="1">H13/'Cost Input'!$E14</f>
        <v>3.7306253157727194</v>
      </c>
      <c r="I156" s="91">
        <f ca="1">I13/'Cost Input'!$E14</f>
        <v>3.6565680696253264</v>
      </c>
      <c r="J156" s="91">
        <f ca="1">J13/'Cost Input'!$E14</f>
        <v>3.6565680696253264</v>
      </c>
    </row>
    <row r="157" spans="1:10">
      <c r="A157" s="7" t="s">
        <v>69</v>
      </c>
      <c r="B157" s="7"/>
      <c r="C157" s="7"/>
      <c r="D157" s="78">
        <f>'Cost Input'!D111</f>
        <v>14400</v>
      </c>
      <c r="E157" s="133">
        <f>'Cost Input'!E111</f>
        <v>0.4</v>
      </c>
      <c r="F157" s="76">
        <f t="shared" ref="F157:J159" ca="1" si="55">$D157*F$156^$E157</f>
        <v>24193.754760968299</v>
      </c>
      <c r="G157" s="76">
        <f t="shared" ca="1" si="55"/>
        <v>24393.045601579273</v>
      </c>
      <c r="H157" s="76">
        <f t="shared" ca="1" si="55"/>
        <v>24382.326654490204</v>
      </c>
      <c r="I157" s="76">
        <f t="shared" ca="1" si="55"/>
        <v>24187.554287414798</v>
      </c>
      <c r="J157" s="76">
        <f t="shared" ca="1" si="55"/>
        <v>24187.554287414798</v>
      </c>
    </row>
    <row r="158" spans="1:10">
      <c r="A158" s="7" t="s">
        <v>71</v>
      </c>
      <c r="B158" s="7"/>
      <c r="C158" s="7"/>
      <c r="D158" s="78">
        <f>'Cost Input'!D112</f>
        <v>3</v>
      </c>
      <c r="E158" s="133">
        <f>'Cost Input'!E112</f>
        <v>0.6</v>
      </c>
      <c r="F158" s="90">
        <f t="shared" ca="1" si="55"/>
        <v>6.5332973963101102</v>
      </c>
      <c r="G158" s="90">
        <f t="shared" ca="1" si="55"/>
        <v>6.6141883512392976</v>
      </c>
      <c r="H158" s="90">
        <f t="shared" ca="1" si="55"/>
        <v>6.6098291572064554</v>
      </c>
      <c r="I158" s="90">
        <f t="shared" ca="1" si="55"/>
        <v>6.530785987320983</v>
      </c>
      <c r="J158" s="90">
        <f t="shared" ca="1" si="55"/>
        <v>6.530785987320983</v>
      </c>
    </row>
    <row r="159" spans="1:10">
      <c r="A159" s="7" t="s">
        <v>72</v>
      </c>
      <c r="B159" s="7"/>
      <c r="C159" s="7"/>
      <c r="D159" s="78">
        <f>'Cost Input'!D113</f>
        <v>225</v>
      </c>
      <c r="E159" s="133">
        <f>'Cost Input'!E113</f>
        <v>0.6</v>
      </c>
      <c r="F159" s="76">
        <f t="shared" ca="1" si="55"/>
        <v>489.99730472325825</v>
      </c>
      <c r="G159" s="76">
        <f t="shared" ca="1" si="55"/>
        <v>496.0641263429473</v>
      </c>
      <c r="H159" s="76">
        <f t="shared" ca="1" si="55"/>
        <v>495.73718679048415</v>
      </c>
      <c r="I159" s="76">
        <f t="shared" ca="1" si="55"/>
        <v>489.8089490490737</v>
      </c>
      <c r="J159" s="76">
        <f t="shared" ca="1" si="55"/>
        <v>489.8089490490737</v>
      </c>
    </row>
    <row r="160" spans="1:10">
      <c r="A160" s="7" t="s">
        <v>244</v>
      </c>
      <c r="B160" s="7"/>
      <c r="C160" s="7"/>
      <c r="D160" s="78"/>
      <c r="E160" s="133"/>
      <c r="F160" s="71"/>
      <c r="G160" s="71"/>
      <c r="H160" s="71"/>
      <c r="I160" s="71"/>
      <c r="J160" s="71"/>
    </row>
    <row r="161" spans="1:10">
      <c r="A161" s="7" t="s">
        <v>139</v>
      </c>
      <c r="B161" s="7"/>
      <c r="C161" s="7"/>
      <c r="D161" s="78"/>
      <c r="E161" s="133"/>
      <c r="F161" s="71"/>
      <c r="G161" s="71"/>
      <c r="H161" s="71"/>
      <c r="I161" s="71"/>
      <c r="J161" s="71"/>
    </row>
    <row r="162" spans="1:10">
      <c r="A162" s="7" t="s">
        <v>136</v>
      </c>
      <c r="B162" s="7"/>
      <c r="C162" s="7"/>
      <c r="D162" s="78"/>
      <c r="E162" s="133"/>
      <c r="F162" s="91">
        <f ca="1">F144</f>
        <v>3.4937073410832573</v>
      </c>
      <c r="G162" s="91">
        <f t="shared" ref="G162:J162" ca="1" si="56">G144</f>
        <v>3.5660990876145719</v>
      </c>
      <c r="H162" s="91">
        <f t="shared" ca="1" si="56"/>
        <v>3.5621827838415725</v>
      </c>
      <c r="I162" s="91">
        <f t="shared" ca="1" si="56"/>
        <v>3.491469317622109</v>
      </c>
      <c r="J162" s="91">
        <f t="shared" ca="1" si="56"/>
        <v>3.491469317622109</v>
      </c>
    </row>
    <row r="163" spans="1:10">
      <c r="A163" s="7" t="s">
        <v>69</v>
      </c>
      <c r="B163" s="7"/>
      <c r="C163" s="7"/>
      <c r="D163" s="78">
        <f>'Cost Input'!D117</f>
        <v>14400</v>
      </c>
      <c r="E163" s="133">
        <f>'Cost Input'!E117</f>
        <v>0.5</v>
      </c>
      <c r="F163" s="76">
        <f t="shared" ref="F163:J165" ca="1" si="57">$D163*F$162^$E163</f>
        <v>26915.70460246256</v>
      </c>
      <c r="G163" s="76">
        <f t="shared" ca="1" si="57"/>
        <v>27193.129772200875</v>
      </c>
      <c r="H163" s="76">
        <f t="shared" ca="1" si="57"/>
        <v>27178.193870406263</v>
      </c>
      <c r="I163" s="76">
        <f t="shared" ca="1" si="57"/>
        <v>26907.082296341989</v>
      </c>
      <c r="J163" s="76">
        <f t="shared" ca="1" si="57"/>
        <v>26907.082296341989</v>
      </c>
    </row>
    <row r="164" spans="1:10">
      <c r="A164" s="7" t="s">
        <v>71</v>
      </c>
      <c r="B164" s="7"/>
      <c r="C164" s="7"/>
      <c r="D164" s="79">
        <f>'Cost Input'!D118</f>
        <v>1</v>
      </c>
      <c r="E164" s="133">
        <f>'Cost Input'!E118</f>
        <v>0.7</v>
      </c>
      <c r="F164" s="90">
        <f t="shared" ca="1" si="57"/>
        <v>2.4004936733895779</v>
      </c>
      <c r="G164" s="90">
        <f t="shared" ca="1" si="57"/>
        <v>2.4352042016752522</v>
      </c>
      <c r="H164" s="90">
        <f t="shared" ca="1" si="57"/>
        <v>2.4333318476922128</v>
      </c>
      <c r="I164" s="90">
        <f t="shared" ca="1" si="57"/>
        <v>2.3994171624232825</v>
      </c>
      <c r="J164" s="90">
        <f t="shared" ca="1" si="57"/>
        <v>2.3994171624232825</v>
      </c>
    </row>
    <row r="165" spans="1:10">
      <c r="A165" s="7" t="s">
        <v>72</v>
      </c>
      <c r="B165" s="7"/>
      <c r="C165" s="7"/>
      <c r="D165" s="78">
        <f>'Cost Input'!D119</f>
        <v>225</v>
      </c>
      <c r="E165" s="133">
        <f>'Cost Input'!E119</f>
        <v>0.6</v>
      </c>
      <c r="F165" s="76">
        <f t="shared" ca="1" si="57"/>
        <v>476.60043189914137</v>
      </c>
      <c r="G165" s="76">
        <f t="shared" ca="1" si="57"/>
        <v>482.50138232544691</v>
      </c>
      <c r="H165" s="76">
        <f t="shared" ca="1" si="57"/>
        <v>482.18338153155105</v>
      </c>
      <c r="I165" s="76">
        <f t="shared" ca="1" si="57"/>
        <v>476.41722600229497</v>
      </c>
      <c r="J165" s="76">
        <f t="shared" ca="1" si="57"/>
        <v>476.41722600229497</v>
      </c>
    </row>
    <row r="166" spans="1:10">
      <c r="A166" s="7" t="s">
        <v>140</v>
      </c>
      <c r="B166" s="7"/>
      <c r="C166" s="7"/>
      <c r="D166" s="78"/>
      <c r="E166" s="133"/>
    </row>
    <row r="167" spans="1:10">
      <c r="A167" s="7" t="s">
        <v>136</v>
      </c>
      <c r="B167" s="7"/>
      <c r="C167" s="7"/>
      <c r="D167" s="78"/>
      <c r="E167" s="133"/>
      <c r="F167" s="92">
        <f ca="1">F150</f>
        <v>3.4937073410832573</v>
      </c>
      <c r="G167" s="92">
        <f t="shared" ref="G167:J167" ca="1" si="58">G150</f>
        <v>3.5660990876145719</v>
      </c>
      <c r="H167" s="92">
        <f t="shared" ca="1" si="58"/>
        <v>3.5621827838415725</v>
      </c>
      <c r="I167" s="92">
        <f t="shared" ca="1" si="58"/>
        <v>3.491469317622109</v>
      </c>
      <c r="J167" s="92">
        <f t="shared" ca="1" si="58"/>
        <v>3.491469317622109</v>
      </c>
    </row>
    <row r="168" spans="1:10">
      <c r="A168" s="7" t="s">
        <v>69</v>
      </c>
      <c r="B168" s="7"/>
      <c r="C168" s="7"/>
      <c r="D168" s="78">
        <f>'Cost Input'!D122</f>
        <v>7200</v>
      </c>
      <c r="E168" s="133">
        <f>'Cost Input'!E122</f>
        <v>0.5</v>
      </c>
      <c r="F168" s="76">
        <f t="shared" ref="F168:J170" ca="1" si="59">$D168*F$167^$E168</f>
        <v>13457.85230123128</v>
      </c>
      <c r="G168" s="76">
        <f t="shared" ca="1" si="59"/>
        <v>13596.564886100437</v>
      </c>
      <c r="H168" s="76">
        <f t="shared" ca="1" si="59"/>
        <v>13589.096935203132</v>
      </c>
      <c r="I168" s="76">
        <f t="shared" ca="1" si="59"/>
        <v>13453.541148170994</v>
      </c>
      <c r="J168" s="76">
        <f t="shared" ca="1" si="59"/>
        <v>13453.541148170994</v>
      </c>
    </row>
    <row r="169" spans="1:10">
      <c r="A169" s="7" t="s">
        <v>71</v>
      </c>
      <c r="B169" s="7"/>
      <c r="C169" s="7"/>
      <c r="D169" s="79">
        <f>'Cost Input'!D123</f>
        <v>1</v>
      </c>
      <c r="E169" s="133">
        <f>'Cost Input'!E123</f>
        <v>0.7</v>
      </c>
      <c r="F169" s="90">
        <f t="shared" ca="1" si="59"/>
        <v>2.4004936733895779</v>
      </c>
      <c r="G169" s="90">
        <f t="shared" ca="1" si="59"/>
        <v>2.4352042016752522</v>
      </c>
      <c r="H169" s="90">
        <f t="shared" ca="1" si="59"/>
        <v>2.4333318476922128</v>
      </c>
      <c r="I169" s="90">
        <f t="shared" ca="1" si="59"/>
        <v>2.3994171624232825</v>
      </c>
      <c r="J169" s="90">
        <f t="shared" ca="1" si="59"/>
        <v>2.3994171624232825</v>
      </c>
    </row>
    <row r="170" spans="1:10">
      <c r="A170" s="7" t="s">
        <v>72</v>
      </c>
      <c r="B170" s="7"/>
      <c r="C170" s="7"/>
      <c r="D170" s="78">
        <f>'Cost Input'!D124</f>
        <v>225</v>
      </c>
      <c r="E170" s="133">
        <f>'Cost Input'!E124</f>
        <v>0.6</v>
      </c>
      <c r="F170" s="76">
        <f t="shared" ca="1" si="59"/>
        <v>476.60043189914137</v>
      </c>
      <c r="G170" s="76">
        <f t="shared" ca="1" si="59"/>
        <v>482.50138232544691</v>
      </c>
      <c r="H170" s="76">
        <f t="shared" ca="1" si="59"/>
        <v>482.18338153155105</v>
      </c>
      <c r="I170" s="76">
        <f t="shared" ca="1" si="59"/>
        <v>476.41722600229497</v>
      </c>
      <c r="J170" s="76">
        <f t="shared" ca="1" si="59"/>
        <v>476.41722600229497</v>
      </c>
    </row>
    <row r="171" spans="1:10">
      <c r="A171" s="7" t="s">
        <v>249</v>
      </c>
      <c r="B171" s="7"/>
      <c r="C171" s="7"/>
      <c r="D171" s="10"/>
      <c r="E171" s="77"/>
      <c r="F171" s="71"/>
      <c r="G171" s="71"/>
      <c r="H171" s="71"/>
      <c r="I171" s="71"/>
      <c r="J171" s="71"/>
    </row>
    <row r="172" spans="1:10">
      <c r="A172" s="7" t="s">
        <v>136</v>
      </c>
      <c r="B172" s="7"/>
      <c r="C172" s="7"/>
      <c r="D172" s="10"/>
      <c r="E172" s="77"/>
      <c r="F172" s="93">
        <f ca="1">F162</f>
        <v>3.4937073410832573</v>
      </c>
      <c r="G172" s="93">
        <f t="shared" ref="G172:J172" ca="1" si="60">G162</f>
        <v>3.5660990876145719</v>
      </c>
      <c r="H172" s="93">
        <f t="shared" ca="1" si="60"/>
        <v>3.5621827838415725</v>
      </c>
      <c r="I172" s="93">
        <f t="shared" ca="1" si="60"/>
        <v>3.491469317622109</v>
      </c>
      <c r="J172" s="93">
        <f t="shared" ca="1" si="60"/>
        <v>3.491469317622109</v>
      </c>
    </row>
    <row r="173" spans="1:10">
      <c r="A173" s="7" t="s">
        <v>69</v>
      </c>
      <c r="B173" s="7"/>
      <c r="C173" s="7"/>
      <c r="D173" s="76">
        <f>'Cost Input'!D127</f>
        <v>28800</v>
      </c>
      <c r="E173" s="90">
        <f>'Cost Input'!E127</f>
        <v>0.7</v>
      </c>
      <c r="F173" s="76">
        <f t="shared" ref="F173:J175" ca="1" si="61">$D173*F$172^$E173</f>
        <v>69134.217793619842</v>
      </c>
      <c r="G173" s="76">
        <f t="shared" ca="1" si="61"/>
        <v>70133.881008247263</v>
      </c>
      <c r="H173" s="76">
        <f t="shared" ca="1" si="61"/>
        <v>70079.95721353573</v>
      </c>
      <c r="I173" s="76">
        <f t="shared" ca="1" si="61"/>
        <v>69103.214277790539</v>
      </c>
      <c r="J173" s="76">
        <f t="shared" ca="1" si="61"/>
        <v>69103.214277790539</v>
      </c>
    </row>
    <row r="174" spans="1:10">
      <c r="A174" s="7" t="s">
        <v>71</v>
      </c>
      <c r="B174" s="7"/>
      <c r="C174" s="7"/>
      <c r="D174" s="90">
        <f>'Cost Input'!D128</f>
        <v>1.5</v>
      </c>
      <c r="E174" s="90">
        <f>'Cost Input'!E128</f>
        <v>0.7</v>
      </c>
      <c r="F174" s="90">
        <f t="shared" ca="1" si="61"/>
        <v>3.6007405100843668</v>
      </c>
      <c r="G174" s="90">
        <f t="shared" ca="1" si="61"/>
        <v>3.6528063025128783</v>
      </c>
      <c r="H174" s="90">
        <f t="shared" ca="1" si="61"/>
        <v>3.6499977715383194</v>
      </c>
      <c r="I174" s="90">
        <f t="shared" ca="1" si="61"/>
        <v>3.5991257436349238</v>
      </c>
      <c r="J174" s="90">
        <f t="shared" ca="1" si="61"/>
        <v>3.5991257436349238</v>
      </c>
    </row>
    <row r="175" spans="1:10">
      <c r="A175" s="7" t="s">
        <v>72</v>
      </c>
      <c r="B175" s="7"/>
      <c r="C175" s="7"/>
      <c r="D175" s="76">
        <f>'Cost Input'!D129</f>
        <v>900</v>
      </c>
      <c r="E175" s="90">
        <f>'Cost Input'!E129</f>
        <v>0.6</v>
      </c>
      <c r="F175" s="76">
        <f t="shared" ca="1" si="61"/>
        <v>1906.4017275965655</v>
      </c>
      <c r="G175" s="76">
        <f t="shared" ca="1" si="61"/>
        <v>1930.0055293017876</v>
      </c>
      <c r="H175" s="76">
        <f t="shared" ca="1" si="61"/>
        <v>1928.7335261262042</v>
      </c>
      <c r="I175" s="76">
        <f t="shared" ca="1" si="61"/>
        <v>1905.6689040091799</v>
      </c>
      <c r="J175" s="76">
        <f t="shared" ca="1" si="61"/>
        <v>1905.6689040091799</v>
      </c>
    </row>
    <row r="176" spans="1:10">
      <c r="A176" s="7" t="s">
        <v>141</v>
      </c>
      <c r="B176" s="7"/>
      <c r="C176" s="7"/>
      <c r="D176" s="76"/>
      <c r="E176" s="90"/>
      <c r="F176" s="71"/>
      <c r="G176" s="71"/>
      <c r="H176" s="71"/>
      <c r="I176" s="71"/>
      <c r="J176" s="71"/>
    </row>
    <row r="177" spans="1:10">
      <c r="A177" s="7" t="s">
        <v>136</v>
      </c>
      <c r="B177" s="7"/>
      <c r="C177" s="7"/>
      <c r="D177" s="76"/>
      <c r="E177" s="90"/>
      <c r="F177" s="91">
        <f ca="1">F172</f>
        <v>3.4937073410832573</v>
      </c>
      <c r="G177" s="91">
        <f t="shared" ref="G177:J177" ca="1" si="62">G172</f>
        <v>3.5660990876145719</v>
      </c>
      <c r="H177" s="91">
        <f t="shared" ca="1" si="62"/>
        <v>3.5621827838415725</v>
      </c>
      <c r="I177" s="91">
        <f t="shared" ca="1" si="62"/>
        <v>3.491469317622109</v>
      </c>
      <c r="J177" s="91">
        <f t="shared" ca="1" si="62"/>
        <v>3.491469317622109</v>
      </c>
    </row>
    <row r="178" spans="1:10">
      <c r="A178" s="7" t="s">
        <v>69</v>
      </c>
      <c r="B178" s="7"/>
      <c r="C178" s="7"/>
      <c r="D178" s="76">
        <f>'Cost Input'!D132</f>
        <v>28800</v>
      </c>
      <c r="E178" s="90">
        <f>'Cost Input'!E132</f>
        <v>0.5</v>
      </c>
      <c r="F178" s="76">
        <f t="shared" ref="F178:J180" ca="1" si="63">$D178*F$177^$E178</f>
        <v>53831.409204925119</v>
      </c>
      <c r="G178" s="76">
        <f t="shared" ca="1" si="63"/>
        <v>54386.25954440175</v>
      </c>
      <c r="H178" s="76">
        <f t="shared" ca="1" si="63"/>
        <v>54356.387740812526</v>
      </c>
      <c r="I178" s="76">
        <f t="shared" ca="1" si="63"/>
        <v>53814.164592683977</v>
      </c>
      <c r="J178" s="76">
        <f t="shared" ca="1" si="63"/>
        <v>53814.164592683977</v>
      </c>
    </row>
    <row r="179" spans="1:10">
      <c r="A179" s="7" t="s">
        <v>71</v>
      </c>
      <c r="B179" s="7"/>
      <c r="C179" s="7"/>
      <c r="D179" s="90">
        <f>'Cost Input'!D133</f>
        <v>2</v>
      </c>
      <c r="E179" s="90">
        <f>'Cost Input'!E133</f>
        <v>0.7</v>
      </c>
      <c r="F179" s="90">
        <f t="shared" ca="1" si="63"/>
        <v>4.8009873467791557</v>
      </c>
      <c r="G179" s="90">
        <f t="shared" ca="1" si="63"/>
        <v>4.8704084033505044</v>
      </c>
      <c r="H179" s="90">
        <f t="shared" ca="1" si="63"/>
        <v>4.8666636953844256</v>
      </c>
      <c r="I179" s="90">
        <f t="shared" ca="1" si="63"/>
        <v>4.798834324846565</v>
      </c>
      <c r="J179" s="90">
        <f t="shared" ca="1" si="63"/>
        <v>4.798834324846565</v>
      </c>
    </row>
    <row r="180" spans="1:10">
      <c r="A180" s="7" t="s">
        <v>72</v>
      </c>
      <c r="B180" s="7"/>
      <c r="C180" s="7"/>
      <c r="D180" s="76">
        <f>'Cost Input'!D134</f>
        <v>300</v>
      </c>
      <c r="E180" s="90">
        <f>'Cost Input'!E134</f>
        <v>0.6</v>
      </c>
      <c r="F180" s="76">
        <f t="shared" ca="1" si="63"/>
        <v>635.46724253218849</v>
      </c>
      <c r="G180" s="76">
        <f t="shared" ca="1" si="63"/>
        <v>643.33517643392918</v>
      </c>
      <c r="H180" s="76">
        <f t="shared" ca="1" si="63"/>
        <v>642.9111753754014</v>
      </c>
      <c r="I180" s="76">
        <f t="shared" ca="1" si="63"/>
        <v>635.22296800305992</v>
      </c>
      <c r="J180" s="76">
        <f t="shared" ca="1" si="63"/>
        <v>635.22296800305992</v>
      </c>
    </row>
    <row r="181" spans="1:10">
      <c r="A181" s="5" t="s">
        <v>335</v>
      </c>
      <c r="B181" s="7"/>
      <c r="C181" s="7"/>
      <c r="D181" s="76"/>
      <c r="E181" s="90"/>
      <c r="F181" s="76"/>
      <c r="G181" s="76"/>
      <c r="H181" s="76"/>
      <c r="I181" s="76"/>
      <c r="J181" s="76"/>
    </row>
    <row r="182" spans="1:10">
      <c r="A182" s="7" t="s">
        <v>136</v>
      </c>
      <c r="B182" s="7"/>
      <c r="C182" s="7"/>
      <c r="D182" s="76"/>
      <c r="E182" s="90"/>
      <c r="F182" s="91">
        <f ca="1">F177</f>
        <v>3.4937073410832573</v>
      </c>
      <c r="G182" s="91">
        <f t="shared" ref="G182:J182" ca="1" si="64">G177</f>
        <v>3.5660990876145719</v>
      </c>
      <c r="H182" s="91">
        <f t="shared" ca="1" si="64"/>
        <v>3.5621827838415725</v>
      </c>
      <c r="I182" s="91">
        <f t="shared" ca="1" si="64"/>
        <v>3.491469317622109</v>
      </c>
      <c r="J182" s="91">
        <f t="shared" ca="1" si="64"/>
        <v>3.491469317622109</v>
      </c>
    </row>
    <row r="183" spans="1:10">
      <c r="A183" s="7" t="s">
        <v>69</v>
      </c>
      <c r="B183" s="7"/>
      <c r="C183" s="7"/>
      <c r="D183" s="76">
        <f>'Cost Input'!D137</f>
        <v>14400</v>
      </c>
      <c r="E183" s="90">
        <f>'Cost Input'!E137</f>
        <v>0.5</v>
      </c>
      <c r="F183" s="76">
        <f t="shared" ref="F183:J185" ca="1" si="65">$D183*F$182^$E183</f>
        <v>26915.70460246256</v>
      </c>
      <c r="G183" s="76">
        <f t="shared" ca="1" si="65"/>
        <v>27193.129772200875</v>
      </c>
      <c r="H183" s="76">
        <f t="shared" ca="1" si="65"/>
        <v>27178.193870406263</v>
      </c>
      <c r="I183" s="76">
        <f t="shared" ca="1" si="65"/>
        <v>26907.082296341989</v>
      </c>
      <c r="J183" s="76">
        <f t="shared" ca="1" si="65"/>
        <v>26907.082296341989</v>
      </c>
    </row>
    <row r="184" spans="1:10">
      <c r="A184" s="7" t="s">
        <v>71</v>
      </c>
      <c r="B184" s="7"/>
      <c r="C184" s="7"/>
      <c r="D184" s="90">
        <f>'Cost Input'!D138</f>
        <v>1.6</v>
      </c>
      <c r="E184" s="90">
        <f>'Cost Input'!E138</f>
        <v>0.7</v>
      </c>
      <c r="F184" s="90">
        <f t="shared" ca="1" si="65"/>
        <v>3.8407898774233247</v>
      </c>
      <c r="G184" s="90">
        <f t="shared" ca="1" si="65"/>
        <v>3.8963267226804037</v>
      </c>
      <c r="H184" s="90">
        <f t="shared" ca="1" si="65"/>
        <v>3.8933309563075404</v>
      </c>
      <c r="I184" s="90">
        <f t="shared" ca="1" si="65"/>
        <v>3.8390674598772523</v>
      </c>
      <c r="J184" s="90">
        <f t="shared" ca="1" si="65"/>
        <v>3.8390674598772523</v>
      </c>
    </row>
    <row r="185" spans="1:10">
      <c r="A185" s="7" t="s">
        <v>72</v>
      </c>
      <c r="B185" s="7"/>
      <c r="C185" s="7"/>
      <c r="D185" s="76">
        <f>'Cost Input'!D139</f>
        <v>300</v>
      </c>
      <c r="E185" s="90">
        <f>'Cost Input'!E139</f>
        <v>0.6</v>
      </c>
      <c r="F185" s="76">
        <f t="shared" ca="1" si="65"/>
        <v>635.46724253218849</v>
      </c>
      <c r="G185" s="76">
        <f t="shared" ca="1" si="65"/>
        <v>643.33517643392918</v>
      </c>
      <c r="H185" s="76">
        <f t="shared" ca="1" si="65"/>
        <v>642.9111753754014</v>
      </c>
      <c r="I185" s="76">
        <f t="shared" ca="1" si="65"/>
        <v>635.22296800305992</v>
      </c>
      <c r="J185" s="76">
        <f t="shared" ca="1" si="65"/>
        <v>635.22296800305992</v>
      </c>
    </row>
    <row r="186" spans="1:10">
      <c r="A186" s="5" t="s">
        <v>336</v>
      </c>
      <c r="B186" s="7"/>
      <c r="C186" s="7"/>
      <c r="D186" s="76"/>
      <c r="E186" s="90"/>
      <c r="F186" s="76"/>
      <c r="G186" s="76"/>
      <c r="H186" s="76"/>
      <c r="I186" s="76"/>
      <c r="J186" s="76"/>
    </row>
    <row r="187" spans="1:10">
      <c r="A187" s="7" t="s">
        <v>136</v>
      </c>
      <c r="B187" s="7"/>
      <c r="C187" s="7"/>
      <c r="D187" s="76"/>
      <c r="E187" s="90"/>
      <c r="F187" s="91">
        <f ca="1">F126</f>
        <v>4.0595182473804883</v>
      </c>
      <c r="G187" s="91">
        <f t="shared" ref="G187:J187" ca="1" si="66">G126</f>
        <v>4.0595182473805052</v>
      </c>
      <c r="H187" s="91">
        <f t="shared" ca="1" si="66"/>
        <v>4.0595182473805043</v>
      </c>
      <c r="I187" s="91">
        <f t="shared" ca="1" si="66"/>
        <v>4.0595182473804838</v>
      </c>
      <c r="J187" s="91">
        <f t="shared" ca="1" si="66"/>
        <v>4.0595182473804838</v>
      </c>
    </row>
    <row r="188" spans="1:10">
      <c r="A188" s="7" t="s">
        <v>69</v>
      </c>
      <c r="B188" s="7"/>
      <c r="C188" s="7"/>
      <c r="D188" s="76">
        <f>'Cost Input'!D142</f>
        <v>28800</v>
      </c>
      <c r="E188" s="90">
        <f>'Cost Input'!E142</f>
        <v>0.5</v>
      </c>
      <c r="F188" s="76">
        <f t="shared" ref="F188:J190" ca="1" si="67">$D188*F$187^$E188</f>
        <v>58026.94904186565</v>
      </c>
      <c r="G188" s="76">
        <f t="shared" ca="1" si="67"/>
        <v>58026.949041865766</v>
      </c>
      <c r="H188" s="76">
        <f t="shared" ca="1" si="67"/>
        <v>58026.949041865766</v>
      </c>
      <c r="I188" s="76">
        <f t="shared" ca="1" si="67"/>
        <v>58026.949041865606</v>
      </c>
      <c r="J188" s="76">
        <f t="shared" ca="1" si="67"/>
        <v>58026.949041865606</v>
      </c>
    </row>
    <row r="189" spans="1:10">
      <c r="A189" s="7" t="s">
        <v>71</v>
      </c>
      <c r="B189" s="7"/>
      <c r="C189" s="7"/>
      <c r="D189" s="90">
        <f>'Cost Input'!D143</f>
        <v>1.5</v>
      </c>
      <c r="E189" s="90">
        <f>'Cost Input'!E143</f>
        <v>0.7</v>
      </c>
      <c r="F189" s="90">
        <f t="shared" ca="1" si="67"/>
        <v>3.9996630653635741</v>
      </c>
      <c r="G189" s="90">
        <f t="shared" ca="1" si="67"/>
        <v>3.9996630653635852</v>
      </c>
      <c r="H189" s="90">
        <f t="shared" ca="1" si="67"/>
        <v>3.9996630653635847</v>
      </c>
      <c r="I189" s="90">
        <f t="shared" ca="1" si="67"/>
        <v>3.9996630653635705</v>
      </c>
      <c r="J189" s="90">
        <f t="shared" ca="1" si="67"/>
        <v>3.9996630653635705</v>
      </c>
    </row>
    <row r="190" spans="1:10">
      <c r="A190" s="7" t="s">
        <v>72</v>
      </c>
      <c r="B190" s="7"/>
      <c r="C190" s="7"/>
      <c r="D190" s="76">
        <f>'Cost Input'!D144</f>
        <v>300</v>
      </c>
      <c r="E190" s="90">
        <f>'Cost Input'!E144</f>
        <v>0.6</v>
      </c>
      <c r="F190" s="76">
        <f t="shared" ca="1" si="67"/>
        <v>695.35399389819827</v>
      </c>
      <c r="G190" s="76">
        <f t="shared" ca="1" si="67"/>
        <v>695.35399389819997</v>
      </c>
      <c r="H190" s="76">
        <f t="shared" ca="1" si="67"/>
        <v>695.35399389819986</v>
      </c>
      <c r="I190" s="76">
        <f t="shared" ca="1" si="67"/>
        <v>695.3539938981977</v>
      </c>
      <c r="J190" s="76">
        <f t="shared" ca="1" si="67"/>
        <v>695.3539938981977</v>
      </c>
    </row>
    <row r="191" spans="1:10">
      <c r="A191" s="5" t="s">
        <v>329</v>
      </c>
      <c r="B191" s="7"/>
      <c r="C191" s="7"/>
      <c r="D191" s="76"/>
      <c r="E191" s="90"/>
      <c r="F191" s="76"/>
      <c r="G191" s="76"/>
      <c r="H191" s="76"/>
      <c r="I191" s="76"/>
      <c r="J191" s="76"/>
    </row>
    <row r="192" spans="1:10">
      <c r="A192" s="7" t="s">
        <v>313</v>
      </c>
      <c r="B192" s="7"/>
      <c r="C192" s="7"/>
      <c r="D192" s="76"/>
      <c r="E192" s="90"/>
      <c r="F192" s="71"/>
      <c r="G192" s="71"/>
      <c r="H192" s="71"/>
      <c r="I192" s="71"/>
      <c r="J192" s="71"/>
    </row>
    <row r="193" spans="1:10">
      <c r="A193" s="7" t="s">
        <v>136</v>
      </c>
      <c r="C193" s="7"/>
      <c r="D193" s="76"/>
      <c r="E193" s="90"/>
      <c r="F193" s="91">
        <f>F9/'Cost Input'!$E10</f>
        <v>2.1333333333333329</v>
      </c>
      <c r="G193" s="91">
        <f>G9/'Cost Input'!$E10</f>
        <v>4.2666666666666657</v>
      </c>
      <c r="H193" s="91">
        <f>H9/'Cost Input'!$E10</f>
        <v>4.2666666666666657</v>
      </c>
      <c r="I193" s="91">
        <f>I9/'Cost Input'!$E10</f>
        <v>4.2666666666666657</v>
      </c>
      <c r="J193" s="91">
        <f>J9/'Cost Input'!$E10</f>
        <v>4.2666666666666657</v>
      </c>
    </row>
    <row r="194" spans="1:10">
      <c r="A194" s="7" t="s">
        <v>251</v>
      </c>
      <c r="B194" s="7"/>
      <c r="C194" s="7"/>
      <c r="D194" s="76">
        <f>'Cost Input'!I82</f>
        <v>40</v>
      </c>
      <c r="E194" s="90">
        <f>'Cost Input'!J82</f>
        <v>0.3</v>
      </c>
      <c r="F194" s="199">
        <f ca="1">'Battery Design'!F78</f>
        <v>75.036279629692174</v>
      </c>
      <c r="G194" s="199">
        <f ca="1">'Battery Design'!G78</f>
        <v>38.295538549956383</v>
      </c>
      <c r="H194" s="199">
        <f ca="1">'Battery Design'!H78</f>
        <v>38.253482241809159</v>
      </c>
      <c r="I194" s="199">
        <f ca="1">'Battery Design'!I78</f>
        <v>37.494106182681563</v>
      </c>
      <c r="J194" s="199">
        <f ca="1">'Battery Design'!J78</f>
        <v>37.494106182681563</v>
      </c>
    </row>
    <row r="195" spans="1:10">
      <c r="A195" s="7" t="s">
        <v>69</v>
      </c>
      <c r="B195" s="7"/>
      <c r="C195" s="7"/>
      <c r="D195" s="76">
        <f>'Cost Input'!I83</f>
        <v>36000</v>
      </c>
      <c r="E195" s="90">
        <f>'Cost Input'!J83</f>
        <v>0.7</v>
      </c>
      <c r="F195" s="76">
        <f>$D195*F$193^$E195</f>
        <v>61184.80838152943</v>
      </c>
      <c r="G195" s="76">
        <f t="shared" ref="G195:J195" si="68">$D195*G$193^$E195</f>
        <v>99395.014456988734</v>
      </c>
      <c r="H195" s="76">
        <f t="shared" si="68"/>
        <v>99395.014456988734</v>
      </c>
      <c r="I195" s="76">
        <f t="shared" si="68"/>
        <v>99395.014456988734</v>
      </c>
      <c r="J195" s="76">
        <f t="shared" si="68"/>
        <v>99395.014456988734</v>
      </c>
    </row>
    <row r="196" spans="1:10">
      <c r="A196" s="7" t="s">
        <v>71</v>
      </c>
      <c r="B196" s="7"/>
      <c r="C196" s="7"/>
      <c r="D196" s="90">
        <f>'Cost Input'!I84</f>
        <v>4</v>
      </c>
      <c r="E196" s="90">
        <f>'Cost Input'!J84</f>
        <v>0.8</v>
      </c>
      <c r="F196" s="90">
        <f ca="1">$D196*F$193^$E196*(F194/$D194)^$E194</f>
        <v>8.8566678413451587</v>
      </c>
      <c r="G196" s="90">
        <f t="shared" ref="G196:J196" ca="1" si="69">$D196*G$193^$E196*(G194/$D194)^$E194</f>
        <v>12.602520724243263</v>
      </c>
      <c r="H196" s="90">
        <f t="shared" ca="1" si="69"/>
        <v>12.598367086262973</v>
      </c>
      <c r="I196" s="90">
        <f t="shared" ca="1" si="69"/>
        <v>12.522812190952616</v>
      </c>
      <c r="J196" s="90">
        <f t="shared" ca="1" si="69"/>
        <v>12.522812190952616</v>
      </c>
    </row>
    <row r="197" spans="1:10">
      <c r="A197" s="7" t="s">
        <v>72</v>
      </c>
      <c r="B197" s="7"/>
      <c r="C197" s="7"/>
      <c r="D197" s="76">
        <f>'Cost Input'!I85</f>
        <v>600</v>
      </c>
      <c r="E197" s="90">
        <f>'Cost Input'!J85</f>
        <v>0.8</v>
      </c>
      <c r="F197" s="76">
        <f>$D197*F$193^$E197</f>
        <v>1100.0140336559864</v>
      </c>
      <c r="G197" s="76">
        <f t="shared" ref="G197:J197" si="70">$D197*G$193^$E197</f>
        <v>1915.2356732657213</v>
      </c>
      <c r="H197" s="76">
        <f t="shared" si="70"/>
        <v>1915.2356732657213</v>
      </c>
      <c r="I197" s="76">
        <f t="shared" si="70"/>
        <v>1915.2356732657213</v>
      </c>
      <c r="J197" s="76">
        <f t="shared" si="70"/>
        <v>1915.2356732657213</v>
      </c>
    </row>
    <row r="198" spans="1:10">
      <c r="A198" s="7" t="s">
        <v>142</v>
      </c>
      <c r="B198" s="7"/>
      <c r="C198" s="7"/>
      <c r="D198" s="76"/>
      <c r="E198" s="90"/>
      <c r="F198" s="71"/>
      <c r="G198" s="71"/>
      <c r="H198" s="71"/>
      <c r="I198" s="71"/>
      <c r="J198" s="71"/>
    </row>
    <row r="199" spans="1:10">
      <c r="A199" s="7" t="s">
        <v>136</v>
      </c>
      <c r="B199" s="7"/>
      <c r="C199" s="7"/>
      <c r="D199" s="76"/>
      <c r="E199" s="90"/>
      <c r="F199" s="91">
        <f>F193</f>
        <v>2.1333333333333329</v>
      </c>
      <c r="G199" s="91">
        <f t="shared" ref="G199:J199" si="71">G193</f>
        <v>4.2666666666666657</v>
      </c>
      <c r="H199" s="91">
        <f t="shared" si="71"/>
        <v>4.2666666666666657</v>
      </c>
      <c r="I199" s="91">
        <f t="shared" si="71"/>
        <v>4.2666666666666657</v>
      </c>
      <c r="J199" s="91">
        <f t="shared" si="71"/>
        <v>4.2666666666666657</v>
      </c>
    </row>
    <row r="200" spans="1:10">
      <c r="A200" s="7" t="s">
        <v>69</v>
      </c>
      <c r="B200" s="7"/>
      <c r="C200" s="7"/>
      <c r="D200" s="76">
        <f>'Cost Input'!I88</f>
        <v>36000</v>
      </c>
      <c r="E200" s="90">
        <f>'Cost Input'!J88</f>
        <v>0.7</v>
      </c>
      <c r="F200" s="76">
        <f t="shared" ref="F200:J202" si="72">$D200*F$199^$E200</f>
        <v>61184.80838152943</v>
      </c>
      <c r="G200" s="76">
        <f t="shared" si="72"/>
        <v>99395.014456988734</v>
      </c>
      <c r="H200" s="76">
        <f t="shared" si="72"/>
        <v>99395.014456988734</v>
      </c>
      <c r="I200" s="76">
        <f t="shared" si="72"/>
        <v>99395.014456988734</v>
      </c>
      <c r="J200" s="76">
        <f t="shared" si="72"/>
        <v>99395.014456988734</v>
      </c>
    </row>
    <row r="201" spans="1:10">
      <c r="A201" s="7" t="s">
        <v>71</v>
      </c>
      <c r="B201" s="7"/>
      <c r="C201" s="7"/>
      <c r="D201" s="90">
        <f>'Cost Input'!I89</f>
        <v>4</v>
      </c>
      <c r="E201" s="90">
        <f>'Cost Input'!J89</f>
        <v>0.8</v>
      </c>
      <c r="F201" s="90">
        <f t="shared" si="72"/>
        <v>7.3334268910399087</v>
      </c>
      <c r="G201" s="90">
        <f t="shared" si="72"/>
        <v>12.768237821771475</v>
      </c>
      <c r="H201" s="90">
        <f t="shared" si="72"/>
        <v>12.768237821771475</v>
      </c>
      <c r="I201" s="90">
        <f t="shared" si="72"/>
        <v>12.768237821771475</v>
      </c>
      <c r="J201" s="90">
        <f t="shared" si="72"/>
        <v>12.768237821771475</v>
      </c>
    </row>
    <row r="202" spans="1:10">
      <c r="A202" s="7" t="s">
        <v>72</v>
      </c>
      <c r="B202" s="7"/>
      <c r="C202" s="7"/>
      <c r="D202" s="76">
        <f>'Cost Input'!I90</f>
        <v>600</v>
      </c>
      <c r="E202" s="90">
        <f>'Cost Input'!J90</f>
        <v>0.8</v>
      </c>
      <c r="F202" s="76">
        <f t="shared" si="72"/>
        <v>1100.0140336559864</v>
      </c>
      <c r="G202" s="76">
        <f t="shared" si="72"/>
        <v>1915.2356732657213</v>
      </c>
      <c r="H202" s="76">
        <f t="shared" si="72"/>
        <v>1915.2356732657213</v>
      </c>
      <c r="I202" s="76">
        <f t="shared" si="72"/>
        <v>1915.2356732657213</v>
      </c>
      <c r="J202" s="76">
        <f t="shared" si="72"/>
        <v>1915.2356732657213</v>
      </c>
    </row>
    <row r="203" spans="1:10">
      <c r="A203" s="7" t="s">
        <v>250</v>
      </c>
      <c r="B203" s="7"/>
      <c r="C203" s="7"/>
      <c r="D203" s="76"/>
      <c r="E203" s="90"/>
      <c r="F203" s="71"/>
      <c r="G203" s="71"/>
      <c r="H203" s="71"/>
      <c r="I203" s="71"/>
      <c r="J203" s="71"/>
    </row>
    <row r="204" spans="1:10">
      <c r="A204" s="7" t="s">
        <v>136</v>
      </c>
      <c r="B204" s="7"/>
      <c r="C204" s="7"/>
      <c r="D204" s="76"/>
      <c r="E204" s="90"/>
      <c r="F204" s="91">
        <f>F199</f>
        <v>2.1333333333333329</v>
      </c>
      <c r="G204" s="91">
        <f t="shared" ref="G204:J204" si="73">G199</f>
        <v>4.2666666666666657</v>
      </c>
      <c r="H204" s="91">
        <f t="shared" si="73"/>
        <v>4.2666666666666657</v>
      </c>
      <c r="I204" s="91">
        <f t="shared" si="73"/>
        <v>4.2666666666666657</v>
      </c>
      <c r="J204" s="91">
        <f t="shared" si="73"/>
        <v>4.2666666666666657</v>
      </c>
    </row>
    <row r="205" spans="1:10">
      <c r="A205" s="7" t="s">
        <v>69</v>
      </c>
      <c r="B205" s="7"/>
      <c r="C205" s="7"/>
      <c r="D205" s="76">
        <f>'Cost Input'!I93</f>
        <v>21600</v>
      </c>
      <c r="E205" s="90">
        <f>'Cost Input'!J93</f>
        <v>0.5</v>
      </c>
      <c r="F205" s="76">
        <f t="shared" ref="F205:J207" si="74">$D205*F$204^$E205</f>
        <v>31548.819312297564</v>
      </c>
      <c r="G205" s="76">
        <f t="shared" si="74"/>
        <v>44616.768148309435</v>
      </c>
      <c r="H205" s="76">
        <f t="shared" si="74"/>
        <v>44616.768148309435</v>
      </c>
      <c r="I205" s="76">
        <f t="shared" si="74"/>
        <v>44616.768148309435</v>
      </c>
      <c r="J205" s="76">
        <f t="shared" si="74"/>
        <v>44616.768148309435</v>
      </c>
    </row>
    <row r="206" spans="1:10">
      <c r="A206" s="7" t="s">
        <v>71</v>
      </c>
      <c r="B206" s="7"/>
      <c r="C206" s="7"/>
      <c r="D206" s="90">
        <f>'Cost Input'!I94</f>
        <v>3</v>
      </c>
      <c r="E206" s="90">
        <f>'Cost Input'!J94</f>
        <v>0.7</v>
      </c>
      <c r="F206" s="90">
        <f t="shared" si="74"/>
        <v>5.0987340317941197</v>
      </c>
      <c r="G206" s="90">
        <f t="shared" si="74"/>
        <v>8.2829178714157283</v>
      </c>
      <c r="H206" s="90">
        <f t="shared" si="74"/>
        <v>8.2829178714157283</v>
      </c>
      <c r="I206" s="90">
        <f t="shared" si="74"/>
        <v>8.2829178714157283</v>
      </c>
      <c r="J206" s="90">
        <f t="shared" si="74"/>
        <v>8.2829178714157283</v>
      </c>
    </row>
    <row r="207" spans="1:10">
      <c r="A207" s="7" t="s">
        <v>72</v>
      </c>
      <c r="B207" s="7"/>
      <c r="C207" s="7"/>
      <c r="D207" s="76">
        <f>'Cost Input'!I95</f>
        <v>600</v>
      </c>
      <c r="E207" s="90">
        <f>'Cost Input'!J95</f>
        <v>0.6</v>
      </c>
      <c r="F207" s="76">
        <f t="shared" si="74"/>
        <v>945.33662050008854</v>
      </c>
      <c r="G207" s="76">
        <f t="shared" si="74"/>
        <v>1432.8623766209375</v>
      </c>
      <c r="H207" s="76">
        <f t="shared" si="74"/>
        <v>1432.8623766209375</v>
      </c>
      <c r="I207" s="76">
        <f t="shared" si="74"/>
        <v>1432.8623766209375</v>
      </c>
      <c r="J207" s="76">
        <f t="shared" si="74"/>
        <v>1432.8623766209375</v>
      </c>
    </row>
    <row r="208" spans="1:10">
      <c r="A208" s="7" t="s">
        <v>143</v>
      </c>
      <c r="B208" s="7"/>
      <c r="C208" s="7"/>
      <c r="D208" s="76"/>
      <c r="E208" s="90"/>
      <c r="F208" s="71"/>
      <c r="G208" s="71"/>
      <c r="H208" s="71"/>
      <c r="I208" s="71"/>
      <c r="J208" s="71"/>
    </row>
    <row r="209" spans="1:10">
      <c r="A209" s="7" t="s">
        <v>136</v>
      </c>
      <c r="B209" s="7"/>
      <c r="C209" s="7"/>
      <c r="D209" s="76"/>
      <c r="E209" s="90"/>
      <c r="F209" s="91">
        <f>F204</f>
        <v>2.1333333333333329</v>
      </c>
      <c r="G209" s="91">
        <f t="shared" ref="G209:J209" si="75">G204</f>
        <v>4.2666666666666657</v>
      </c>
      <c r="H209" s="91">
        <f t="shared" si="75"/>
        <v>4.2666666666666657</v>
      </c>
      <c r="I209" s="91">
        <f t="shared" si="75"/>
        <v>4.2666666666666657</v>
      </c>
      <c r="J209" s="91">
        <f t="shared" si="75"/>
        <v>4.2666666666666657</v>
      </c>
    </row>
    <row r="210" spans="1:10">
      <c r="A210" s="7" t="s">
        <v>69</v>
      </c>
      <c r="B210" s="7"/>
      <c r="C210" s="7"/>
      <c r="D210" s="76">
        <f>'Cost Input'!I98</f>
        <v>36000</v>
      </c>
      <c r="E210" s="90">
        <f>'Cost Input'!J98</f>
        <v>0.5</v>
      </c>
      <c r="F210" s="76">
        <f t="shared" ref="F210:J212" si="76">$D210*F$209^$E210</f>
        <v>52581.365520495943</v>
      </c>
      <c r="G210" s="76">
        <f t="shared" si="76"/>
        <v>74361.280247182396</v>
      </c>
      <c r="H210" s="76">
        <f t="shared" si="76"/>
        <v>74361.280247182396</v>
      </c>
      <c r="I210" s="76">
        <f t="shared" si="76"/>
        <v>74361.280247182396</v>
      </c>
      <c r="J210" s="76">
        <f t="shared" si="76"/>
        <v>74361.280247182396</v>
      </c>
    </row>
    <row r="211" spans="1:10">
      <c r="A211" s="7" t="s">
        <v>71</v>
      </c>
      <c r="B211" s="7"/>
      <c r="C211" s="7"/>
      <c r="D211" s="90">
        <f>'Cost Input'!I99</f>
        <v>5</v>
      </c>
      <c r="E211" s="90">
        <f>'Cost Input'!J99</f>
        <v>0.7</v>
      </c>
      <c r="F211" s="90">
        <f t="shared" si="76"/>
        <v>8.4978900529901988</v>
      </c>
      <c r="G211" s="90">
        <f t="shared" si="76"/>
        <v>13.804863119026214</v>
      </c>
      <c r="H211" s="90">
        <f t="shared" si="76"/>
        <v>13.804863119026214</v>
      </c>
      <c r="I211" s="90">
        <f t="shared" si="76"/>
        <v>13.804863119026214</v>
      </c>
      <c r="J211" s="90">
        <f t="shared" si="76"/>
        <v>13.804863119026214</v>
      </c>
    </row>
    <row r="212" spans="1:10">
      <c r="A212" s="7" t="s">
        <v>72</v>
      </c>
      <c r="B212" s="7"/>
      <c r="C212" s="7"/>
      <c r="D212" s="76">
        <f>'Cost Input'!I100</f>
        <v>900</v>
      </c>
      <c r="E212" s="90">
        <f>'Cost Input'!J100</f>
        <v>0.6</v>
      </c>
      <c r="F212" s="76">
        <f t="shared" si="76"/>
        <v>1418.0049307501329</v>
      </c>
      <c r="G212" s="76">
        <f t="shared" si="76"/>
        <v>2149.2935649314063</v>
      </c>
      <c r="H212" s="76">
        <f t="shared" si="76"/>
        <v>2149.2935649314063</v>
      </c>
      <c r="I212" s="76">
        <f t="shared" si="76"/>
        <v>2149.2935649314063</v>
      </c>
      <c r="J212" s="76">
        <f t="shared" si="76"/>
        <v>2149.2935649314063</v>
      </c>
    </row>
    <row r="213" spans="1:10">
      <c r="A213" s="7" t="s">
        <v>339</v>
      </c>
      <c r="B213" s="7"/>
      <c r="C213" s="7"/>
      <c r="D213" s="76"/>
      <c r="E213" s="90"/>
      <c r="F213" s="76"/>
      <c r="G213" s="76"/>
      <c r="H213" s="76"/>
      <c r="I213" s="76"/>
      <c r="J213" s="76"/>
    </row>
    <row r="214" spans="1:10">
      <c r="A214" s="7" t="s">
        <v>136</v>
      </c>
      <c r="B214" s="7"/>
      <c r="C214" s="7"/>
      <c r="D214" s="76"/>
      <c r="E214" s="90"/>
      <c r="F214" s="91">
        <f ca="1">F14/'Cost Input'!$E16</f>
        <v>1.732945620364793</v>
      </c>
      <c r="G214" s="91">
        <f ca="1">G14/'Cost Input'!$E16</f>
        <v>2.6853208215059041</v>
      </c>
      <c r="H214" s="91">
        <f ca="1">H14/'Cost Input'!$E16</f>
        <v>2.6851794878197284</v>
      </c>
      <c r="I214" s="91">
        <f ca="1">I14/'Cost Input'!$E16</f>
        <v>2.6826167520289483</v>
      </c>
      <c r="J214" s="91">
        <f ca="1">J14/'Cost Input'!$E16</f>
        <v>2.6826167520289483</v>
      </c>
    </row>
    <row r="215" spans="1:10">
      <c r="A215" s="7" t="s">
        <v>69</v>
      </c>
      <c r="B215" s="7"/>
      <c r="C215" s="7"/>
      <c r="D215" s="76">
        <f>'Cost Input'!I103</f>
        <v>14400</v>
      </c>
      <c r="E215" s="90">
        <f>'Cost Input'!J103</f>
        <v>0.4</v>
      </c>
      <c r="F215" s="76">
        <f t="shared" ref="F215:J217" ca="1" si="77">$D215*F$214^$E215</f>
        <v>17942.231919449485</v>
      </c>
      <c r="G215" s="76">
        <f t="shared" ca="1" si="77"/>
        <v>21377.699292691559</v>
      </c>
      <c r="H215" s="76">
        <f t="shared" ca="1" si="77"/>
        <v>21377.249225537333</v>
      </c>
      <c r="I215" s="76">
        <f t="shared" ca="1" si="77"/>
        <v>21369.085907477795</v>
      </c>
      <c r="J215" s="76">
        <f t="shared" ca="1" si="77"/>
        <v>21369.085907477795</v>
      </c>
    </row>
    <row r="216" spans="1:10">
      <c r="A216" s="7" t="s">
        <v>71</v>
      </c>
      <c r="B216" s="7"/>
      <c r="C216" s="7"/>
      <c r="D216" s="76">
        <f>'Cost Input'!I104</f>
        <v>20</v>
      </c>
      <c r="E216" s="90">
        <f>'Cost Input'!J104</f>
        <v>0.6</v>
      </c>
      <c r="F216" s="90">
        <f t="shared" ca="1" si="77"/>
        <v>27.816402156971659</v>
      </c>
      <c r="G216" s="90">
        <f t="shared" ca="1" si="77"/>
        <v>36.176596274702717</v>
      </c>
      <c r="H216" s="90">
        <f t="shared" ca="1" si="77"/>
        <v>36.175453835672052</v>
      </c>
      <c r="I216" s="90">
        <f t="shared" ca="1" si="77"/>
        <v>36.15473436390554</v>
      </c>
      <c r="J216" s="90">
        <f t="shared" ca="1" si="77"/>
        <v>36.15473436390554</v>
      </c>
    </row>
    <row r="217" spans="1:10">
      <c r="A217" s="7" t="s">
        <v>72</v>
      </c>
      <c r="B217" s="7"/>
      <c r="C217" s="7"/>
      <c r="D217" s="76">
        <f>'Cost Input'!I105</f>
        <v>100</v>
      </c>
      <c r="E217" s="90">
        <f>'Cost Input'!J105</f>
        <v>0.4</v>
      </c>
      <c r="F217" s="76">
        <f t="shared" ca="1" si="77"/>
        <v>124.59883277395475</v>
      </c>
      <c r="G217" s="76">
        <f t="shared" ca="1" si="77"/>
        <v>148.45624508813583</v>
      </c>
      <c r="H217" s="76">
        <f t="shared" ca="1" si="77"/>
        <v>148.45311962178701</v>
      </c>
      <c r="I217" s="76">
        <f t="shared" ca="1" si="77"/>
        <v>148.39642991304027</v>
      </c>
      <c r="J217" s="76">
        <f t="shared" ca="1" si="77"/>
        <v>148.39642991304027</v>
      </c>
    </row>
    <row r="218" spans="1:10">
      <c r="A218" s="5" t="s">
        <v>144</v>
      </c>
      <c r="B218" s="5"/>
      <c r="C218" s="5"/>
      <c r="D218" s="76"/>
      <c r="E218" s="90"/>
      <c r="F218" s="71"/>
      <c r="G218" s="71"/>
      <c r="H218" s="71"/>
      <c r="I218" s="71"/>
      <c r="J218" s="71"/>
    </row>
    <row r="219" spans="1:10">
      <c r="A219" s="7" t="s">
        <v>136</v>
      </c>
      <c r="B219" s="7"/>
      <c r="C219" s="7"/>
      <c r="D219" s="76"/>
      <c r="E219" s="90"/>
      <c r="F219" s="91">
        <f>F209</f>
        <v>2.1333333333333329</v>
      </c>
      <c r="G219" s="91">
        <f t="shared" ref="G219:J219" si="78">G209</f>
        <v>4.2666666666666657</v>
      </c>
      <c r="H219" s="91">
        <f t="shared" si="78"/>
        <v>4.2666666666666657</v>
      </c>
      <c r="I219" s="91">
        <f t="shared" si="78"/>
        <v>4.2666666666666657</v>
      </c>
      <c r="J219" s="91">
        <f t="shared" si="78"/>
        <v>4.2666666666666657</v>
      </c>
    </row>
    <row r="220" spans="1:10">
      <c r="A220" s="7" t="s">
        <v>251</v>
      </c>
      <c r="B220" s="7"/>
      <c r="C220" s="7"/>
      <c r="D220" s="76">
        <f>'Cost Input'!I108</f>
        <v>40</v>
      </c>
      <c r="E220" s="90">
        <f>'Cost Input'!J108</f>
        <v>0.3</v>
      </c>
      <c r="F220" s="90">
        <f ca="1">'Battery Design'!F78</f>
        <v>75.036279629692174</v>
      </c>
      <c r="G220" s="90">
        <f ca="1">'Battery Design'!G78</f>
        <v>38.295538549956383</v>
      </c>
      <c r="H220" s="90">
        <f ca="1">'Battery Design'!H78</f>
        <v>38.253482241809159</v>
      </c>
      <c r="I220" s="90">
        <f ca="1">'Battery Design'!I78</f>
        <v>37.494106182681563</v>
      </c>
      <c r="J220" s="90">
        <f ca="1">'Battery Design'!J78</f>
        <v>37.494106182681563</v>
      </c>
    </row>
    <row r="221" spans="1:10">
      <c r="A221" s="7" t="s">
        <v>69</v>
      </c>
      <c r="B221" s="7"/>
      <c r="C221" s="7"/>
      <c r="D221" s="76">
        <f>'Cost Input'!I109</f>
        <v>57600</v>
      </c>
      <c r="E221" s="90">
        <f>'Cost Input'!J109</f>
        <v>0.7</v>
      </c>
      <c r="F221" s="76">
        <f>$D221*F$219^$E221</f>
        <v>97895.6934104471</v>
      </c>
      <c r="G221" s="76">
        <f t="shared" ref="G221:J221" si="79">$D221*G$219^$E221</f>
        <v>159032.02313118198</v>
      </c>
      <c r="H221" s="76">
        <f t="shared" si="79"/>
        <v>159032.02313118198</v>
      </c>
      <c r="I221" s="76">
        <f t="shared" si="79"/>
        <v>159032.02313118198</v>
      </c>
      <c r="J221" s="76">
        <f t="shared" si="79"/>
        <v>159032.02313118198</v>
      </c>
    </row>
    <row r="222" spans="1:10">
      <c r="A222" s="7" t="s">
        <v>71</v>
      </c>
      <c r="B222" s="7"/>
      <c r="C222" s="7"/>
      <c r="D222" s="76">
        <f>'Cost Input'!I110</f>
        <v>30</v>
      </c>
      <c r="E222" s="90">
        <f>'Cost Input'!J110</f>
        <v>0.8</v>
      </c>
      <c r="F222" s="90">
        <f ca="1">$D222*F$219^$E222*(F220/$D220)^$E220</f>
        <v>66.425008810088684</v>
      </c>
      <c r="G222" s="90">
        <f t="shared" ref="G222:J222" ca="1" si="80">$D222*G$219^$E222*(G220/$D220)^$E220</f>
        <v>94.518905431824479</v>
      </c>
      <c r="H222" s="90">
        <f t="shared" ca="1" si="80"/>
        <v>94.487753146972295</v>
      </c>
      <c r="I222" s="90">
        <f t="shared" ca="1" si="80"/>
        <v>93.921091432144621</v>
      </c>
      <c r="J222" s="90">
        <f t="shared" ca="1" si="80"/>
        <v>93.921091432144621</v>
      </c>
    </row>
    <row r="223" spans="1:10">
      <c r="A223" s="7" t="s">
        <v>72</v>
      </c>
      <c r="B223" s="7"/>
      <c r="C223" s="7"/>
      <c r="D223" s="76">
        <f>'Cost Input'!I111</f>
        <v>2200</v>
      </c>
      <c r="E223" s="90">
        <f>'Cost Input'!J111</f>
        <v>0.8</v>
      </c>
      <c r="F223" s="90">
        <f ca="1">$D223*F$219^$E223*(F220/$D220)^$E220</f>
        <v>4871.1673127398371</v>
      </c>
      <c r="G223" s="90">
        <f t="shared" ref="G223:J223" ca="1" si="81">$D223*G$219^$E223*(G220/$D220)^$E220</f>
        <v>6931.3863983337951</v>
      </c>
      <c r="H223" s="90">
        <f t="shared" ca="1" si="81"/>
        <v>6929.1018974446351</v>
      </c>
      <c r="I223" s="90">
        <f t="shared" ca="1" si="81"/>
        <v>6887.5467050239386</v>
      </c>
      <c r="J223" s="90">
        <f t="shared" ca="1" si="81"/>
        <v>6887.5467050239386</v>
      </c>
    </row>
    <row r="224" spans="1:10">
      <c r="A224" s="5" t="s">
        <v>705</v>
      </c>
      <c r="B224" s="7"/>
      <c r="C224" s="7"/>
      <c r="D224" s="76"/>
      <c r="E224" s="90"/>
      <c r="F224" s="90"/>
      <c r="G224" s="90"/>
      <c r="H224" s="90"/>
      <c r="I224" s="90"/>
      <c r="J224" s="90"/>
    </row>
    <row r="225" spans="1:10">
      <c r="A225" s="7" t="s">
        <v>136</v>
      </c>
      <c r="B225" s="7"/>
      <c r="C225" s="7"/>
      <c r="D225" s="76"/>
      <c r="E225" s="90"/>
      <c r="F225" s="91">
        <f>F219</f>
        <v>2.1333333333333329</v>
      </c>
      <c r="G225" s="91">
        <f t="shared" ref="G225:J225" si="82">G219</f>
        <v>4.2666666666666657</v>
      </c>
      <c r="H225" s="91">
        <f t="shared" si="82"/>
        <v>4.2666666666666657</v>
      </c>
      <c r="I225" s="91">
        <f t="shared" si="82"/>
        <v>4.2666666666666657</v>
      </c>
      <c r="J225" s="91">
        <f t="shared" si="82"/>
        <v>4.2666666666666657</v>
      </c>
    </row>
    <row r="226" spans="1:10">
      <c r="A226" s="7" t="s">
        <v>69</v>
      </c>
      <c r="B226" s="7"/>
      <c r="C226" s="7"/>
      <c r="D226" s="76">
        <f>'Cost Input'!I114</f>
        <v>14400</v>
      </c>
      <c r="E226" s="90">
        <f>'Cost Input'!J114</f>
        <v>0.5</v>
      </c>
      <c r="F226" s="76">
        <f t="shared" ref="F226:J228" si="83">$D226*F$225^$E226</f>
        <v>21032.546208198379</v>
      </c>
      <c r="G226" s="76">
        <f t="shared" si="83"/>
        <v>29744.512098872958</v>
      </c>
      <c r="H226" s="76">
        <f t="shared" si="83"/>
        <v>29744.512098872958</v>
      </c>
      <c r="I226" s="76">
        <f t="shared" si="83"/>
        <v>29744.512098872958</v>
      </c>
      <c r="J226" s="76">
        <f t="shared" si="83"/>
        <v>29744.512098872958</v>
      </c>
    </row>
    <row r="227" spans="1:10">
      <c r="A227" s="7" t="s">
        <v>71</v>
      </c>
      <c r="B227" s="7"/>
      <c r="C227" s="7"/>
      <c r="D227" s="90">
        <f>'Cost Input'!I115</f>
        <v>2</v>
      </c>
      <c r="E227" s="90">
        <f>'Cost Input'!J115</f>
        <v>0.7</v>
      </c>
      <c r="F227" s="90">
        <f t="shared" si="83"/>
        <v>3.3991560211960796</v>
      </c>
      <c r="G227" s="90">
        <f t="shared" si="83"/>
        <v>5.5219452476104856</v>
      </c>
      <c r="H227" s="90">
        <f t="shared" si="83"/>
        <v>5.5219452476104856</v>
      </c>
      <c r="I227" s="90">
        <f t="shared" si="83"/>
        <v>5.5219452476104856</v>
      </c>
      <c r="J227" s="90">
        <f t="shared" si="83"/>
        <v>5.5219452476104856</v>
      </c>
    </row>
    <row r="228" spans="1:10">
      <c r="A228" s="7" t="s">
        <v>72</v>
      </c>
      <c r="B228" s="7"/>
      <c r="C228" s="7"/>
      <c r="D228" s="76">
        <f>'Cost Input'!I116</f>
        <v>450</v>
      </c>
      <c r="E228" s="90">
        <f>'Cost Input'!J116</f>
        <v>0.6</v>
      </c>
      <c r="F228" s="76">
        <f t="shared" si="83"/>
        <v>709.00246537506644</v>
      </c>
      <c r="G228" s="76">
        <f t="shared" si="83"/>
        <v>1074.6467824657032</v>
      </c>
      <c r="H228" s="76">
        <f t="shared" si="83"/>
        <v>1074.6467824657032</v>
      </c>
      <c r="I228" s="76">
        <f t="shared" si="83"/>
        <v>1074.6467824657032</v>
      </c>
      <c r="J228" s="76">
        <f t="shared" si="83"/>
        <v>1074.6467824657032</v>
      </c>
    </row>
    <row r="229" spans="1:10">
      <c r="A229" s="5" t="s">
        <v>706</v>
      </c>
      <c r="B229" s="7"/>
      <c r="C229" s="7"/>
      <c r="D229" s="76"/>
      <c r="E229" s="90"/>
      <c r="F229" s="90"/>
      <c r="G229" s="90"/>
      <c r="H229" s="90"/>
      <c r="I229" s="90"/>
      <c r="J229" s="90"/>
    </row>
    <row r="230" spans="1:10">
      <c r="A230" s="7" t="s">
        <v>136</v>
      </c>
      <c r="B230" s="7"/>
      <c r="C230" s="7"/>
      <c r="D230" s="76"/>
      <c r="E230" s="90"/>
      <c r="F230" s="91">
        <f>F225</f>
        <v>2.1333333333333329</v>
      </c>
      <c r="G230" s="91">
        <f t="shared" ref="G230:J230" si="84">G225</f>
        <v>4.2666666666666657</v>
      </c>
      <c r="H230" s="91">
        <f t="shared" si="84"/>
        <v>4.2666666666666657</v>
      </c>
      <c r="I230" s="91">
        <f t="shared" si="84"/>
        <v>4.2666666666666657</v>
      </c>
      <c r="J230" s="91">
        <f t="shared" si="84"/>
        <v>4.2666666666666657</v>
      </c>
    </row>
    <row r="231" spans="1:10">
      <c r="A231" s="7" t="s">
        <v>69</v>
      </c>
      <c r="B231" s="7"/>
      <c r="C231" s="7"/>
      <c r="D231" s="76">
        <f>'Cost Input'!I119</f>
        <v>21600</v>
      </c>
      <c r="E231" s="90">
        <f>'Cost Input'!J119</f>
        <v>0.4</v>
      </c>
      <c r="F231" s="76">
        <f t="shared" ref="F231:J233" si="85">$D231*F$230^$E231</f>
        <v>29246.724817847469</v>
      </c>
      <c r="G231" s="76">
        <f t="shared" si="85"/>
        <v>38591.28476134767</v>
      </c>
      <c r="H231" s="76">
        <f t="shared" si="85"/>
        <v>38591.28476134767</v>
      </c>
      <c r="I231" s="76">
        <f t="shared" si="85"/>
        <v>38591.28476134767</v>
      </c>
      <c r="J231" s="76">
        <f t="shared" si="85"/>
        <v>38591.28476134767</v>
      </c>
    </row>
    <row r="232" spans="1:10">
      <c r="A232" s="7" t="s">
        <v>71</v>
      </c>
      <c r="B232" s="7"/>
      <c r="C232" s="7"/>
      <c r="D232" s="199">
        <f>'Cost Input'!I120</f>
        <v>4.75</v>
      </c>
      <c r="E232" s="90">
        <f>'Cost Input'!J120</f>
        <v>0.7</v>
      </c>
      <c r="F232" s="199">
        <f t="shared" si="85"/>
        <v>8.0729955503406892</v>
      </c>
      <c r="G232" s="199">
        <f t="shared" si="85"/>
        <v>13.114619963074903</v>
      </c>
      <c r="H232" s="199">
        <f t="shared" si="85"/>
        <v>13.114619963074903</v>
      </c>
      <c r="I232" s="199">
        <f t="shared" si="85"/>
        <v>13.114619963074903</v>
      </c>
      <c r="J232" s="199">
        <f t="shared" si="85"/>
        <v>13.114619963074903</v>
      </c>
    </row>
    <row r="233" spans="1:10">
      <c r="A233" s="7" t="s">
        <v>72</v>
      </c>
      <c r="B233" s="7"/>
      <c r="C233" s="7"/>
      <c r="D233" s="76">
        <f>'Cost Input'!I121</f>
        <v>900</v>
      </c>
      <c r="E233" s="90">
        <f>'Cost Input'!J121</f>
        <v>0.6</v>
      </c>
      <c r="F233" s="76">
        <f t="shared" si="85"/>
        <v>1418.0049307501329</v>
      </c>
      <c r="G233" s="76">
        <f t="shared" si="85"/>
        <v>2149.2935649314063</v>
      </c>
      <c r="H233" s="76">
        <f t="shared" si="85"/>
        <v>2149.2935649314063</v>
      </c>
      <c r="I233" s="76">
        <f t="shared" si="85"/>
        <v>2149.2935649314063</v>
      </c>
      <c r="J233" s="76">
        <f t="shared" si="85"/>
        <v>2149.2935649314063</v>
      </c>
    </row>
    <row r="234" spans="1:10">
      <c r="A234" s="5" t="s">
        <v>145</v>
      </c>
      <c r="B234" s="5"/>
      <c r="C234" s="5"/>
      <c r="D234" s="76"/>
      <c r="E234" s="90"/>
      <c r="F234" s="71"/>
      <c r="G234" s="71"/>
      <c r="H234" s="71"/>
      <c r="I234" s="71"/>
      <c r="J234" s="71"/>
    </row>
    <row r="235" spans="1:10">
      <c r="A235" s="7" t="s">
        <v>136</v>
      </c>
      <c r="B235" s="7"/>
      <c r="C235" s="7"/>
      <c r="D235" s="76"/>
      <c r="E235" s="90"/>
      <c r="F235" s="93">
        <f>F219</f>
        <v>2.1333333333333329</v>
      </c>
      <c r="G235" s="93">
        <f t="shared" ref="G235:J235" si="86">G219</f>
        <v>4.2666666666666657</v>
      </c>
      <c r="H235" s="93">
        <f t="shared" si="86"/>
        <v>4.2666666666666657</v>
      </c>
      <c r="I235" s="93">
        <f t="shared" si="86"/>
        <v>4.2666666666666657</v>
      </c>
      <c r="J235" s="93">
        <f t="shared" si="86"/>
        <v>4.2666666666666657</v>
      </c>
    </row>
    <row r="236" spans="1:10">
      <c r="A236" s="7" t="s">
        <v>69</v>
      </c>
      <c r="B236" s="7"/>
      <c r="C236" s="7"/>
      <c r="D236" s="76">
        <f>'Cost Input'!I124</f>
        <v>43200</v>
      </c>
      <c r="E236" s="90">
        <f>'Cost Input'!J124</f>
        <v>0.5</v>
      </c>
      <c r="F236" s="76">
        <f t="shared" ref="F236:J238" si="87">$D236*F$235^$E236</f>
        <v>63097.638624595129</v>
      </c>
      <c r="G236" s="76">
        <f t="shared" si="87"/>
        <v>89233.53629661887</v>
      </c>
      <c r="H236" s="76">
        <f t="shared" si="87"/>
        <v>89233.53629661887</v>
      </c>
      <c r="I236" s="76">
        <f t="shared" si="87"/>
        <v>89233.53629661887</v>
      </c>
      <c r="J236" s="76">
        <f t="shared" si="87"/>
        <v>89233.53629661887</v>
      </c>
    </row>
    <row r="237" spans="1:10">
      <c r="A237" s="7" t="s">
        <v>71</v>
      </c>
      <c r="B237" s="7"/>
      <c r="C237" s="7"/>
      <c r="D237" s="90">
        <f>'Cost Input'!I125</f>
        <v>6</v>
      </c>
      <c r="E237" s="90">
        <f>'Cost Input'!J125</f>
        <v>0.7</v>
      </c>
      <c r="F237" s="90">
        <f t="shared" si="87"/>
        <v>10.197468063588239</v>
      </c>
      <c r="G237" s="90">
        <f t="shared" si="87"/>
        <v>16.565835742831457</v>
      </c>
      <c r="H237" s="90">
        <f t="shared" si="87"/>
        <v>16.565835742831457</v>
      </c>
      <c r="I237" s="90">
        <f t="shared" si="87"/>
        <v>16.565835742831457</v>
      </c>
      <c r="J237" s="90">
        <f t="shared" si="87"/>
        <v>16.565835742831457</v>
      </c>
    </row>
    <row r="238" spans="1:10">
      <c r="A238" s="7" t="s">
        <v>72</v>
      </c>
      <c r="B238" s="7"/>
      <c r="C238" s="7"/>
      <c r="D238" s="76">
        <f>'Cost Input'!I126</f>
        <v>600</v>
      </c>
      <c r="E238" s="90">
        <f>'Cost Input'!J126</f>
        <v>0.6</v>
      </c>
      <c r="F238" s="76">
        <f t="shared" si="87"/>
        <v>945.33662050008854</v>
      </c>
      <c r="G238" s="76">
        <f t="shared" si="87"/>
        <v>1432.8623766209375</v>
      </c>
      <c r="H238" s="76">
        <f t="shared" si="87"/>
        <v>1432.8623766209375</v>
      </c>
      <c r="I238" s="76">
        <f t="shared" si="87"/>
        <v>1432.8623766209375</v>
      </c>
      <c r="J238" s="76">
        <f t="shared" si="87"/>
        <v>1432.8623766209375</v>
      </c>
    </row>
    <row r="239" spans="1:10">
      <c r="A239" s="344" t="s">
        <v>398</v>
      </c>
      <c r="B239" s="5"/>
      <c r="C239" s="5"/>
      <c r="D239" s="76"/>
      <c r="E239" s="90"/>
      <c r="F239" s="71"/>
      <c r="G239" s="71"/>
      <c r="H239" s="71"/>
      <c r="I239" s="71"/>
      <c r="J239" s="71"/>
    </row>
    <row r="240" spans="1:10">
      <c r="A240" s="7" t="s">
        <v>136</v>
      </c>
      <c r="B240" s="7"/>
      <c r="C240" s="7"/>
      <c r="D240" s="76"/>
      <c r="E240" s="90"/>
      <c r="F240" s="93">
        <f>F235</f>
        <v>2.1333333333333329</v>
      </c>
      <c r="G240" s="93">
        <f t="shared" ref="G240:J240" si="88">G235</f>
        <v>4.2666666666666657</v>
      </c>
      <c r="H240" s="93">
        <f t="shared" si="88"/>
        <v>4.2666666666666657</v>
      </c>
      <c r="I240" s="93">
        <f t="shared" si="88"/>
        <v>4.2666666666666657</v>
      </c>
      <c r="J240" s="93">
        <f t="shared" si="88"/>
        <v>4.2666666666666657</v>
      </c>
    </row>
    <row r="241" spans="1:10">
      <c r="A241" s="7" t="s">
        <v>389</v>
      </c>
      <c r="B241" s="7"/>
      <c r="C241" s="7"/>
      <c r="D241" s="76">
        <f>'Cost Input'!I129</f>
        <v>4</v>
      </c>
      <c r="E241" s="90">
        <f>'Cost Input'!J129</f>
        <v>0.3</v>
      </c>
      <c r="F241" s="77">
        <f>'Battery Design'!F60</f>
        <v>8</v>
      </c>
      <c r="G241" s="77">
        <f>'Battery Design'!G60</f>
        <v>8</v>
      </c>
      <c r="H241" s="77">
        <f>'Battery Design'!H60</f>
        <v>16</v>
      </c>
      <c r="I241" s="77">
        <f>'Battery Design'!I60</f>
        <v>8</v>
      </c>
      <c r="J241" s="77">
        <f>'Battery Design'!J60</f>
        <v>8</v>
      </c>
    </row>
    <row r="242" spans="1:10">
      <c r="A242" s="7" t="s">
        <v>69</v>
      </c>
      <c r="B242" s="7"/>
      <c r="C242" s="7"/>
      <c r="D242" s="76">
        <f>'Cost Input'!I130</f>
        <v>43200</v>
      </c>
      <c r="E242" s="90">
        <f>'Cost Input'!J130</f>
        <v>0.5</v>
      </c>
      <c r="F242" s="76">
        <f>$D242*F$240^$E242</f>
        <v>63097.638624595129</v>
      </c>
      <c r="G242" s="76">
        <f t="shared" ref="G242:J242" si="89">$D242*G$240^$E242</f>
        <v>89233.53629661887</v>
      </c>
      <c r="H242" s="76">
        <f t="shared" si="89"/>
        <v>89233.53629661887</v>
      </c>
      <c r="I242" s="76">
        <f t="shared" si="89"/>
        <v>89233.53629661887</v>
      </c>
      <c r="J242" s="76">
        <f t="shared" si="89"/>
        <v>89233.53629661887</v>
      </c>
    </row>
    <row r="243" spans="1:10">
      <c r="A243" s="7" t="s">
        <v>71</v>
      </c>
      <c r="B243" s="7"/>
      <c r="C243" s="7"/>
      <c r="D243" s="90">
        <f>'Cost Input'!I131</f>
        <v>6</v>
      </c>
      <c r="E243" s="90">
        <f>'Cost Input'!J131</f>
        <v>0.7</v>
      </c>
      <c r="F243" s="90">
        <f>$D243*F$240^$E243*(F241/$D241)^$E241</f>
        <v>12.554555836749863</v>
      </c>
      <c r="G243" s="90">
        <f t="shared" ref="G243:J243" si="90">$D243*G$240^$E243*(G241/$D241)^$E241</f>
        <v>20.394936127176479</v>
      </c>
      <c r="H243" s="90">
        <f t="shared" si="90"/>
        <v>25.109111673499722</v>
      </c>
      <c r="I243" s="90">
        <f t="shared" si="90"/>
        <v>20.394936127176479</v>
      </c>
      <c r="J243" s="90">
        <f t="shared" si="90"/>
        <v>20.394936127176479</v>
      </c>
    </row>
    <row r="244" spans="1:10">
      <c r="A244" s="7" t="s">
        <v>72</v>
      </c>
      <c r="B244" s="7"/>
      <c r="C244" s="7"/>
      <c r="D244" s="76">
        <f>'Cost Input'!I132</f>
        <v>900</v>
      </c>
      <c r="E244" s="90">
        <f>'Cost Input'!J132</f>
        <v>0.6</v>
      </c>
      <c r="F244" s="76">
        <f>$D244*F$240^$E244</f>
        <v>1418.0049307501329</v>
      </c>
      <c r="G244" s="76">
        <f t="shared" ref="G244:J244" si="91">$D244*G$240^$E244</f>
        <v>2149.2935649314063</v>
      </c>
      <c r="H244" s="76">
        <f t="shared" si="91"/>
        <v>2149.2935649314063</v>
      </c>
      <c r="I244" s="76">
        <f t="shared" si="91"/>
        <v>2149.2935649314063</v>
      </c>
      <c r="J244" s="76">
        <f t="shared" si="91"/>
        <v>2149.2935649314063</v>
      </c>
    </row>
    <row r="245" spans="1:10">
      <c r="A245" s="5" t="s">
        <v>146</v>
      </c>
      <c r="B245" s="5"/>
      <c r="C245" s="5"/>
      <c r="D245" s="76"/>
      <c r="E245" s="90"/>
    </row>
    <row r="246" spans="1:10">
      <c r="A246" s="7" t="s">
        <v>136</v>
      </c>
      <c r="B246" s="7"/>
      <c r="C246" s="7"/>
      <c r="D246" s="76"/>
      <c r="E246" s="90"/>
      <c r="F246" s="59">
        <f>(1-'Cost Input'!$J4/100)/'Cost Input'!$J4*100*F9/(100-'Cost Input'!$J4)*'Cost Input'!$J4/'Cost Input'!$E10</f>
        <v>2.1333333333333346</v>
      </c>
      <c r="G246" s="59">
        <f>(1-'Cost Input'!$J4/100)/'Cost Input'!$J4*100*G9/(100-'Cost Input'!$J4)*'Cost Input'!$J4/'Cost Input'!$E10</f>
        <v>4.2666666666666693</v>
      </c>
      <c r="H246" s="59">
        <f>(1-'Cost Input'!$J4/100)/'Cost Input'!$J4*100*H9/(100-'Cost Input'!$J4)*'Cost Input'!$J4/'Cost Input'!$E10</f>
        <v>4.2666666666666693</v>
      </c>
      <c r="I246" s="59">
        <f>(1-'Cost Input'!$J4/100)/'Cost Input'!$J4*100*I9/(100-'Cost Input'!$J4)*'Cost Input'!$J4/'Cost Input'!$E10</f>
        <v>4.2666666666666693</v>
      </c>
      <c r="J246" s="59">
        <f>(1-'Cost Input'!$J4/100)/'Cost Input'!$J4*100*J9/(100-'Cost Input'!$J4)*'Cost Input'!$J4/'Cost Input'!$E10</f>
        <v>4.2666666666666693</v>
      </c>
    </row>
    <row r="247" spans="1:10">
      <c r="A247" s="7" t="s">
        <v>69</v>
      </c>
      <c r="B247" s="7"/>
      <c r="C247" s="7"/>
      <c r="D247" s="76">
        <f>'Cost Input'!I135</f>
        <v>36000</v>
      </c>
      <c r="E247" s="90">
        <f>'Cost Input'!J135</f>
        <v>0.7</v>
      </c>
      <c r="F247" s="76">
        <f t="shared" ref="F247:J249" si="92">$D247*F$246^$E247</f>
        <v>61184.808381529474</v>
      </c>
      <c r="G247" s="76">
        <f t="shared" si="92"/>
        <v>99395.014456988793</v>
      </c>
      <c r="H247" s="76">
        <f t="shared" si="92"/>
        <v>99395.014456988793</v>
      </c>
      <c r="I247" s="76">
        <f t="shared" si="92"/>
        <v>99395.014456988793</v>
      </c>
      <c r="J247" s="76">
        <f t="shared" si="92"/>
        <v>99395.014456988793</v>
      </c>
    </row>
    <row r="248" spans="1:10">
      <c r="A248" s="7" t="s">
        <v>71</v>
      </c>
      <c r="B248" s="7"/>
      <c r="C248" s="7"/>
      <c r="D248" s="90">
        <f>'Cost Input'!I136</f>
        <v>2.5</v>
      </c>
      <c r="E248" s="90">
        <f>'Cost Input'!J136</f>
        <v>0.7</v>
      </c>
      <c r="F248" s="90">
        <f t="shared" si="92"/>
        <v>4.2489450264951021</v>
      </c>
      <c r="G248" s="90">
        <f t="shared" si="92"/>
        <v>6.9024315595131105</v>
      </c>
      <c r="H248" s="90">
        <f t="shared" si="92"/>
        <v>6.9024315595131105</v>
      </c>
      <c r="I248" s="90">
        <f t="shared" si="92"/>
        <v>6.9024315595131105</v>
      </c>
      <c r="J248" s="90">
        <f t="shared" si="92"/>
        <v>6.9024315595131105</v>
      </c>
    </row>
    <row r="249" spans="1:10">
      <c r="A249" s="7" t="s">
        <v>72</v>
      </c>
      <c r="B249" s="7"/>
      <c r="C249" s="7"/>
      <c r="D249" s="76">
        <f>'Cost Input'!I137</f>
        <v>600</v>
      </c>
      <c r="E249" s="90">
        <f>'Cost Input'!J137</f>
        <v>0.6</v>
      </c>
      <c r="F249" s="76">
        <f t="shared" si="92"/>
        <v>945.33662050008911</v>
      </c>
      <c r="G249" s="76">
        <f t="shared" si="92"/>
        <v>1432.8623766209382</v>
      </c>
      <c r="H249" s="76">
        <f t="shared" si="92"/>
        <v>1432.8623766209382</v>
      </c>
      <c r="I249" s="76">
        <f t="shared" si="92"/>
        <v>1432.8623766209382</v>
      </c>
      <c r="J249" s="76">
        <f t="shared" si="92"/>
        <v>1432.8623766209382</v>
      </c>
    </row>
    <row r="250" spans="1:10">
      <c r="A250" s="5" t="s">
        <v>147</v>
      </c>
      <c r="B250" s="5"/>
      <c r="C250" s="5"/>
      <c r="D250" s="76"/>
      <c r="E250" s="90"/>
      <c r="F250" s="59"/>
      <c r="G250" s="59"/>
      <c r="H250" s="59"/>
      <c r="I250" s="59"/>
      <c r="J250" s="59"/>
    </row>
    <row r="251" spans="1:10">
      <c r="A251" s="7" t="s">
        <v>136</v>
      </c>
      <c r="B251" s="7"/>
      <c r="C251" s="7"/>
      <c r="D251" s="76"/>
      <c r="E251" s="90"/>
      <c r="F251" s="59">
        <f ca="1">F126</f>
        <v>4.0595182473804883</v>
      </c>
      <c r="G251" s="59">
        <f t="shared" ref="G251:J251" ca="1" si="93">G126</f>
        <v>4.0595182473805052</v>
      </c>
      <c r="H251" s="59">
        <f t="shared" ca="1" si="93"/>
        <v>4.0595182473805043</v>
      </c>
      <c r="I251" s="59">
        <f t="shared" ca="1" si="93"/>
        <v>4.0595182473804838</v>
      </c>
      <c r="J251" s="59">
        <f t="shared" ca="1" si="93"/>
        <v>4.0595182473804838</v>
      </c>
    </row>
    <row r="252" spans="1:10">
      <c r="A252" s="7" t="s">
        <v>69</v>
      </c>
      <c r="B252" s="7"/>
      <c r="C252" s="7"/>
      <c r="D252" s="76">
        <f>'Cost Input'!I140</f>
        <v>28800</v>
      </c>
      <c r="E252" s="90">
        <f>'Cost Input'!J140</f>
        <v>0.5</v>
      </c>
      <c r="F252" s="76">
        <f t="shared" ref="F252:J254" ca="1" si="94">$D252*F$251^$E252</f>
        <v>58026.94904186565</v>
      </c>
      <c r="G252" s="76">
        <f t="shared" ca="1" si="94"/>
        <v>58026.949041865766</v>
      </c>
      <c r="H252" s="76">
        <f t="shared" ca="1" si="94"/>
        <v>58026.949041865766</v>
      </c>
      <c r="I252" s="76">
        <f t="shared" ca="1" si="94"/>
        <v>58026.949041865606</v>
      </c>
      <c r="J252" s="76">
        <f t="shared" ca="1" si="94"/>
        <v>58026.949041865606</v>
      </c>
    </row>
    <row r="253" spans="1:10">
      <c r="A253" s="7" t="s">
        <v>71</v>
      </c>
      <c r="B253" s="7"/>
      <c r="C253" s="7"/>
      <c r="D253" s="90">
        <f>'Cost Input'!I141</f>
        <v>5</v>
      </c>
      <c r="E253" s="90">
        <f>'Cost Input'!J141</f>
        <v>0.7</v>
      </c>
      <c r="F253" s="90">
        <f t="shared" ca="1" si="94"/>
        <v>13.332210217878579</v>
      </c>
      <c r="G253" s="90">
        <f t="shared" ca="1" si="94"/>
        <v>13.332210217878618</v>
      </c>
      <c r="H253" s="90">
        <f t="shared" ca="1" si="94"/>
        <v>13.332210217878615</v>
      </c>
      <c r="I253" s="90">
        <f t="shared" ca="1" si="94"/>
        <v>13.332210217878568</v>
      </c>
      <c r="J253" s="90">
        <f t="shared" ca="1" si="94"/>
        <v>13.332210217878568</v>
      </c>
    </row>
    <row r="254" spans="1:10">
      <c r="A254" s="7" t="s">
        <v>72</v>
      </c>
      <c r="B254" s="7"/>
      <c r="C254" s="7"/>
      <c r="D254" s="76">
        <f>'Cost Input'!I142</f>
        <v>900</v>
      </c>
      <c r="E254" s="90">
        <f>'Cost Input'!J142</f>
        <v>0.6</v>
      </c>
      <c r="F254" s="76">
        <f t="shared" ca="1" si="94"/>
        <v>2086.0619816945946</v>
      </c>
      <c r="G254" s="76">
        <f t="shared" ca="1" si="94"/>
        <v>2086.0619816946</v>
      </c>
      <c r="H254" s="76">
        <f t="shared" ca="1" si="94"/>
        <v>2086.0619816945996</v>
      </c>
      <c r="I254" s="76">
        <f t="shared" ca="1" si="94"/>
        <v>2086.0619816945932</v>
      </c>
      <c r="J254" s="76">
        <f t="shared" ca="1" si="94"/>
        <v>2086.0619816945932</v>
      </c>
    </row>
    <row r="255" spans="1:10">
      <c r="A255" s="5" t="s">
        <v>400</v>
      </c>
    </row>
    <row r="256" spans="1:10">
      <c r="A256" s="7" t="s">
        <v>69</v>
      </c>
      <c r="F256" s="100">
        <f t="shared" ref="F256:F258" ca="1" si="95">F127+F134+F139+F146+F152+F157+F163+F168+F173+F178+F183+F188+F195+F200+F205+F210+F215+F221+F226+F231+F236+F242+F247+F252</f>
        <v>1077956.2374588854</v>
      </c>
      <c r="G256" s="100">
        <f t="shared" ref="G256:J256" ca="1" si="96">G127+G134+G139+G146+G152+G157+G163+G168+G173+G178+G183+G188+G195+G200+G205+G210+G215+G221+G226+G231+G236+G242+G247+G252</f>
        <v>1366447.5291167216</v>
      </c>
      <c r="H256" s="100">
        <f t="shared" ca="1" si="96"/>
        <v>1366305.4229054579</v>
      </c>
      <c r="I256" s="100">
        <f t="shared" ca="1" si="96"/>
        <v>1362274.6555077021</v>
      </c>
      <c r="J256" s="100">
        <f t="shared" ca="1" si="96"/>
        <v>1362274.6555077021</v>
      </c>
    </row>
    <row r="257" spans="1:10">
      <c r="A257" s="7" t="s">
        <v>71</v>
      </c>
      <c r="D257" s="40"/>
      <c r="F257" s="40">
        <f t="shared" ca="1" si="95"/>
        <v>265.29567987396007</v>
      </c>
      <c r="G257" s="40">
        <f t="shared" ref="G257:J257" ca="1" si="97">G128+G135+G140+G147+G153+G158+G164+G169+G174+G179+G184+G189+G196+G201+G206+G211+G216+G222+G227+G232+G237+G243+G248+G253</f>
        <v>344.63693911149261</v>
      </c>
      <c r="H257" s="40">
        <f t="shared" ca="1" si="97"/>
        <v>349.29645556917399</v>
      </c>
      <c r="I257" s="40">
        <f t="shared" ca="1" si="97"/>
        <v>342.75561977270667</v>
      </c>
      <c r="J257" s="40">
        <f t="shared" ca="1" si="97"/>
        <v>342.75561977270667</v>
      </c>
    </row>
    <row r="258" spans="1:10">
      <c r="A258" s="7" t="s">
        <v>72</v>
      </c>
      <c r="F258" s="100">
        <f t="shared" ca="1" si="95"/>
        <v>30874.676889595325</v>
      </c>
      <c r="G258" s="100">
        <f t="shared" ref="G258:J258" ca="1" si="98">G129+G136+G141+G148+G154+G159+G165+G170+G175+G180+G185+G190+G197+G202+G207+G212+G217+G223+G228+G233+G238+G244+G249+G254</f>
        <v>38767.597694996315</v>
      </c>
      <c r="H258" s="100">
        <f t="shared" ca="1" si="98"/>
        <v>38761.417865410105</v>
      </c>
      <c r="I258" s="100">
        <f t="shared" ca="1" si="98"/>
        <v>38566.857943495816</v>
      </c>
      <c r="J258" s="100">
        <f t="shared" ca="1" si="98"/>
        <v>38566.857943495816</v>
      </c>
    </row>
    <row r="260" spans="1:10">
      <c r="A260" s="5" t="s">
        <v>406</v>
      </c>
    </row>
    <row r="261" spans="1:10">
      <c r="A261" s="7" t="s">
        <v>69</v>
      </c>
      <c r="F261" s="132">
        <f ca="1">F256-2/3*F242</f>
        <v>1035891.1450424887</v>
      </c>
      <c r="G261" s="132">
        <f t="shared" ref="G261:J261" ca="1" si="99">G256-2/3*G242</f>
        <v>1306958.5049189758</v>
      </c>
      <c r="H261" s="132">
        <f t="shared" ca="1" si="99"/>
        <v>1306816.3987077121</v>
      </c>
      <c r="I261" s="132">
        <f t="shared" ca="1" si="99"/>
        <v>1302785.6313099563</v>
      </c>
      <c r="J261" s="132">
        <f t="shared" ca="1" si="99"/>
        <v>1302785.6313099563</v>
      </c>
    </row>
    <row r="262" spans="1:10">
      <c r="A262" s="7" t="s">
        <v>71</v>
      </c>
      <c r="D262" s="136"/>
      <c r="F262" s="136">
        <f t="shared" ref="F262:F263" ca="1" si="100">F257-0.5*F243</f>
        <v>259.01840195558515</v>
      </c>
      <c r="G262" s="136">
        <f t="shared" ref="G262:J262" ca="1" si="101">G257-0.5*G243</f>
        <v>334.43947104790436</v>
      </c>
      <c r="H262" s="136">
        <f t="shared" ca="1" si="101"/>
        <v>336.74189973242414</v>
      </c>
      <c r="I262" s="136">
        <f t="shared" ca="1" si="101"/>
        <v>332.55815170911842</v>
      </c>
      <c r="J262" s="136">
        <f t="shared" ca="1" si="101"/>
        <v>332.55815170911842</v>
      </c>
    </row>
    <row r="263" spans="1:10">
      <c r="A263" s="7" t="s">
        <v>72</v>
      </c>
      <c r="F263" s="132">
        <f t="shared" ca="1" si="100"/>
        <v>30165.674424220259</v>
      </c>
      <c r="G263" s="132">
        <f t="shared" ref="G263:J263" ca="1" si="102">G258-0.5*G244</f>
        <v>37692.950912530614</v>
      </c>
      <c r="H263" s="132">
        <f t="shared" ca="1" si="102"/>
        <v>37686.771082944404</v>
      </c>
      <c r="I263" s="132">
        <f t="shared" ca="1" si="102"/>
        <v>37492.211161030114</v>
      </c>
      <c r="J263" s="132">
        <f t="shared" ca="1" si="102"/>
        <v>37492.211161030114</v>
      </c>
    </row>
    <row r="265" spans="1:10">
      <c r="A265" s="349" t="s">
        <v>469</v>
      </c>
      <c r="B265" s="349"/>
      <c r="C265" s="349"/>
      <c r="D265" s="349"/>
      <c r="E265" s="349"/>
      <c r="F265" s="349"/>
      <c r="G265" s="349"/>
      <c r="H265" s="349"/>
      <c r="I265" s="349"/>
      <c r="J265" s="349"/>
    </row>
    <row r="266" spans="1:10">
      <c r="A266" s="102"/>
      <c r="C266" t="s">
        <v>470</v>
      </c>
      <c r="D266" s="8"/>
      <c r="E266" s="8"/>
      <c r="F266" s="3">
        <f>'Battery Design'!F64</f>
        <v>128</v>
      </c>
      <c r="G266" s="328">
        <f>'Battery Design'!G64</f>
        <v>256</v>
      </c>
      <c r="H266" s="328">
        <f>'Battery Design'!H64</f>
        <v>256</v>
      </c>
      <c r="I266" s="328">
        <f>'Battery Design'!I64</f>
        <v>128</v>
      </c>
      <c r="J266" s="328">
        <f>'Battery Design'!J64</f>
        <v>128</v>
      </c>
    </row>
    <row r="267" spans="1:10">
      <c r="A267" s="102"/>
      <c r="C267" t="s">
        <v>471</v>
      </c>
      <c r="D267" s="8"/>
      <c r="E267" s="8"/>
      <c r="F267" s="4">
        <f>'Battery Design'!F60</f>
        <v>8</v>
      </c>
      <c r="G267" s="4">
        <f>'Battery Design'!G60</f>
        <v>8</v>
      </c>
      <c r="H267" s="4">
        <f>'Battery Design'!H60</f>
        <v>16</v>
      </c>
      <c r="I267" s="4">
        <f>'Battery Design'!I60</f>
        <v>8</v>
      </c>
      <c r="J267" s="4">
        <f>'Battery Design'!J60</f>
        <v>8</v>
      </c>
    </row>
    <row r="268" spans="1:10">
      <c r="A268" s="7" t="s">
        <v>316</v>
      </c>
      <c r="D268" s="3"/>
      <c r="E268" s="3"/>
      <c r="F268" s="38">
        <f ca="1">F$266*F73</f>
        <v>1703.0174105612721</v>
      </c>
      <c r="G268" s="38">
        <f t="shared" ref="G268:J268" ca="1" si="103">G$266*G73</f>
        <v>1736.5233509266841</v>
      </c>
      <c r="H268" s="38">
        <f t="shared" ca="1" si="103"/>
        <v>1734.7115973571329</v>
      </c>
      <c r="I268" s="38">
        <f t="shared" ca="1" si="103"/>
        <v>850.99050485348357</v>
      </c>
      <c r="J268" s="38">
        <f t="shared" ca="1" si="103"/>
        <v>850.99050485348357</v>
      </c>
    </row>
    <row r="269" spans="1:10">
      <c r="A269" s="7" t="s">
        <v>317</v>
      </c>
      <c r="D269" s="3"/>
      <c r="E269" s="3"/>
      <c r="F269" s="38">
        <f ca="1">F266*F78</f>
        <v>757.94834038610406</v>
      </c>
      <c r="G269" s="38">
        <f t="shared" ref="G269:J269" ca="1" si="104">G266*G78</f>
        <v>772.49093930050822</v>
      </c>
      <c r="H269" s="38">
        <f t="shared" ca="1" si="104"/>
        <v>776.00145350354342</v>
      </c>
      <c r="I269" s="38">
        <f t="shared" ca="1" si="104"/>
        <v>380.78105250466649</v>
      </c>
      <c r="J269" s="38">
        <f t="shared" ca="1" si="104"/>
        <v>380.78105250466649</v>
      </c>
    </row>
    <row r="270" spans="1:10">
      <c r="A270" s="7" t="s">
        <v>318</v>
      </c>
      <c r="D270" s="3"/>
      <c r="E270" s="3"/>
      <c r="F270" s="38">
        <f ca="1">F266*(F74+F75+F76+F79+F80)</f>
        <v>87.639140805297515</v>
      </c>
      <c r="G270" s="38">
        <f t="shared" ref="G270:J270" ca="1" si="105">G266*(G74+G75+G76+G79+G80)</f>
        <v>89.44358742751082</v>
      </c>
      <c r="H270" s="38">
        <f t="shared" ca="1" si="105"/>
        <v>89.479549651484191</v>
      </c>
      <c r="I270" s="38">
        <f t="shared" ca="1" si="105"/>
        <v>43.854779702813182</v>
      </c>
      <c r="J270" s="38">
        <f t="shared" ca="1" si="105"/>
        <v>43.854779702813182</v>
      </c>
    </row>
    <row r="271" spans="1:10">
      <c r="A271" s="7" t="s">
        <v>319</v>
      </c>
      <c r="D271" s="3"/>
      <c r="E271" s="3"/>
      <c r="F271" s="38">
        <f ca="1">F266*F81</f>
        <v>134.41655837456659</v>
      </c>
      <c r="G271" s="38">
        <f t="shared" ref="G271:J271" ca="1" si="106">G266*G81</f>
        <v>134.87100651835658</v>
      </c>
      <c r="H271" s="38">
        <f t="shared" ca="1" si="106"/>
        <v>144.28299932019013</v>
      </c>
      <c r="I271" s="38">
        <f t="shared" ca="1" si="106"/>
        <v>70.781531693847754</v>
      </c>
      <c r="J271" s="38">
        <f t="shared" ca="1" si="106"/>
        <v>70.781531693847754</v>
      </c>
    </row>
    <row r="272" spans="1:10">
      <c r="A272" s="7" t="s">
        <v>320</v>
      </c>
      <c r="D272" s="3"/>
      <c r="E272" s="3"/>
      <c r="F272" s="38">
        <f ca="1">F266*F82</f>
        <v>321.23216990217054</v>
      </c>
      <c r="G272" s="38">
        <f t="shared" ref="G272:J272" ca="1" si="107">G266*G82</f>
        <v>334.80891322149785</v>
      </c>
      <c r="H272" s="38">
        <f t="shared" ca="1" si="107"/>
        <v>346.38167724463767</v>
      </c>
      <c r="I272" s="38">
        <f t="shared" ca="1" si="107"/>
        <v>169.96980519427225</v>
      </c>
      <c r="J272" s="38">
        <f t="shared" ca="1" si="107"/>
        <v>169.96980519427225</v>
      </c>
    </row>
    <row r="273" spans="1:10">
      <c r="A273" s="7" t="s">
        <v>128</v>
      </c>
      <c r="D273" s="3"/>
      <c r="E273" s="3"/>
      <c r="F273" s="38">
        <f ca="1">F266*F83</f>
        <v>615.60271770134489</v>
      </c>
      <c r="G273" s="38">
        <f t="shared" ref="G273:J273" ca="1" si="108">G266*G83</f>
        <v>627.65656857772876</v>
      </c>
      <c r="H273" s="38">
        <f t="shared" ca="1" si="108"/>
        <v>637.79016628076124</v>
      </c>
      <c r="I273" s="38">
        <f t="shared" ca="1" si="108"/>
        <v>312.77056095093576</v>
      </c>
      <c r="J273" s="38">
        <f t="shared" ca="1" si="108"/>
        <v>312.77056095093576</v>
      </c>
    </row>
    <row r="274" spans="1:10">
      <c r="A274" s="7" t="s">
        <v>129</v>
      </c>
      <c r="D274" s="3"/>
      <c r="E274" s="3"/>
      <c r="F274" s="38">
        <f ca="1">F266*F84</f>
        <v>506.39388207539963</v>
      </c>
      <c r="G274" s="38">
        <f t="shared" ref="G274:J274" ca="1" si="109">G266*G84</f>
        <v>517.4782305369215</v>
      </c>
      <c r="H274" s="38">
        <f t="shared" ca="1" si="109"/>
        <v>518.71647645713415</v>
      </c>
      <c r="I274" s="38">
        <f t="shared" ca="1" si="109"/>
        <v>254.26505957961245</v>
      </c>
      <c r="J274" s="38">
        <f t="shared" ca="1" si="109"/>
        <v>254.26505957961245</v>
      </c>
    </row>
    <row r="275" spans="1:10">
      <c r="A275" s="47" t="s">
        <v>321</v>
      </c>
      <c r="D275" s="3"/>
      <c r="E275" s="3"/>
      <c r="F275" s="38">
        <f ca="1">F266*(F85+F86+F87)</f>
        <v>115.48909012867975</v>
      </c>
      <c r="G275" s="38">
        <f t="shared" ref="G275:J275" ca="1" si="110">G266*(G85+G86+G87)</f>
        <v>184.76288622376674</v>
      </c>
      <c r="H275" s="38">
        <f t="shared" ca="1" si="110"/>
        <v>191.79002148724865</v>
      </c>
      <c r="I275" s="38">
        <f t="shared" ca="1" si="110"/>
        <v>95.552486409003095</v>
      </c>
      <c r="J275" s="38">
        <f t="shared" ca="1" si="110"/>
        <v>95.552486409003095</v>
      </c>
    </row>
    <row r="276" spans="1:10">
      <c r="A276" s="102" t="s">
        <v>322</v>
      </c>
      <c r="D276" s="3"/>
      <c r="E276" s="4"/>
      <c r="F276" s="38">
        <f ca="1">F267*F97</f>
        <v>477.92595652467463</v>
      </c>
      <c r="G276" s="38">
        <f t="shared" ref="G276:J276" ca="1" si="111">G267*G97</f>
        <v>581.96303849788478</v>
      </c>
      <c r="H276" s="38">
        <f t="shared" ca="1" si="111"/>
        <v>823.09622764600147</v>
      </c>
      <c r="I276" s="38">
        <f t="shared" ca="1" si="111"/>
        <v>409.52565748879499</v>
      </c>
      <c r="J276" s="38">
        <f t="shared" ca="1" si="111"/>
        <v>409.52565748879499</v>
      </c>
    </row>
    <row r="277" spans="1:10">
      <c r="A277" s="7" t="s">
        <v>494</v>
      </c>
      <c r="F277" s="254">
        <f ca="1">F106</f>
        <v>242.51388463658324</v>
      </c>
      <c r="G277" s="254">
        <f t="shared" ref="G277:J277" ca="1" si="112">G106</f>
        <v>247.27097885011375</v>
      </c>
      <c r="H277" s="254">
        <f t="shared" ca="1" si="112"/>
        <v>318.2514396729722</v>
      </c>
      <c r="I277" s="254">
        <f t="shared" ca="1" si="112"/>
        <v>207.21218975883602</v>
      </c>
      <c r="J277" s="254">
        <f t="shared" ca="1" si="112"/>
        <v>207.21218975883602</v>
      </c>
    </row>
    <row r="278" spans="1:10">
      <c r="A278" s="7" t="s">
        <v>549</v>
      </c>
      <c r="E278" s="5"/>
      <c r="F278" s="38">
        <f ca="1">SUM(F268:F277)</f>
        <v>4962.1791510960929</v>
      </c>
      <c r="G278" s="38">
        <f t="shared" ref="G278:J278" ca="1" si="113">SUM(G268:G277)</f>
        <v>5227.2695000809726</v>
      </c>
      <c r="H278" s="38">
        <f t="shared" ca="1" si="113"/>
        <v>5580.5016086211062</v>
      </c>
      <c r="I278" s="38">
        <f t="shared" ca="1" si="113"/>
        <v>2795.7036281362653</v>
      </c>
      <c r="J278" s="38">
        <f t="shared" ca="1" si="113"/>
        <v>2795.7036281362653</v>
      </c>
    </row>
    <row r="279" spans="1:10">
      <c r="A279" s="7" t="s">
        <v>522</v>
      </c>
      <c r="E279" s="5"/>
      <c r="F279" s="38">
        <f>F114</f>
        <v>475</v>
      </c>
      <c r="G279" s="38">
        <f t="shared" ref="G279:J279" si="114">G114</f>
        <v>475</v>
      </c>
      <c r="H279" s="38">
        <f t="shared" si="114"/>
        <v>735</v>
      </c>
      <c r="I279" s="38">
        <f t="shared" si="114"/>
        <v>750</v>
      </c>
      <c r="J279" s="38">
        <f t="shared" si="114"/>
        <v>750</v>
      </c>
    </row>
    <row r="280" spans="1:10">
      <c r="A280" s="7" t="s">
        <v>585</v>
      </c>
      <c r="E280" s="5"/>
      <c r="F280" s="39">
        <f ca="1">F120</f>
        <v>500</v>
      </c>
      <c r="G280" s="39">
        <f t="shared" ref="G280:J280" ca="1" si="115">G120</f>
        <v>540</v>
      </c>
      <c r="H280" s="39">
        <f t="shared" ca="1" si="115"/>
        <v>500</v>
      </c>
      <c r="I280" s="39">
        <f t="shared" ca="1" si="115"/>
        <v>620</v>
      </c>
      <c r="J280" s="39">
        <f t="shared" ca="1" si="115"/>
        <v>620</v>
      </c>
    </row>
    <row r="281" spans="1:10">
      <c r="A281" s="5" t="s">
        <v>556</v>
      </c>
      <c r="E281" s="5"/>
      <c r="F281" s="39"/>
      <c r="G281" s="39"/>
      <c r="H281" s="39"/>
      <c r="I281" s="39"/>
      <c r="J281" s="39"/>
    </row>
    <row r="282" spans="1:10">
      <c r="A282" s="7" t="s">
        <v>550</v>
      </c>
      <c r="E282" s="5"/>
      <c r="F282" s="258">
        <f ca="1">F134+F139+F146+F152+F157+F163+F168+F173+F178+F183</f>
        <v>376684.83715325047</v>
      </c>
      <c r="G282" s="258">
        <f t="shared" ref="G282:J282" ca="1" si="116">G134+G139+G146+G152+G157+G163+G168+G173+G178+G183</f>
        <v>380797.52874981106</v>
      </c>
      <c r="H282" s="258">
        <f t="shared" ca="1" si="116"/>
        <v>380655.87260570156</v>
      </c>
      <c r="I282" s="258">
        <f t="shared" ca="1" si="116"/>
        <v>376633.26852600585</v>
      </c>
      <c r="J282" s="258">
        <f t="shared" ca="1" si="116"/>
        <v>376633.26852600585</v>
      </c>
    </row>
    <row r="283" spans="1:10">
      <c r="A283" s="7" t="s">
        <v>551</v>
      </c>
      <c r="E283" s="5"/>
      <c r="F283" s="258">
        <f ca="1">F195+F200+F205+F210+F215</f>
        <v>224442.03351530188</v>
      </c>
      <c r="G283" s="258">
        <f t="shared" ref="G283:J283" ca="1" si="117">G195+G200+G205+G210+G215</f>
        <v>339145.77660216083</v>
      </c>
      <c r="H283" s="258">
        <f t="shared" ca="1" si="117"/>
        <v>339145.32653500664</v>
      </c>
      <c r="I283" s="258">
        <f t="shared" ca="1" si="117"/>
        <v>339137.16321694705</v>
      </c>
      <c r="J283" s="258">
        <f t="shared" ca="1" si="117"/>
        <v>339137.16321694705</v>
      </c>
    </row>
    <row r="284" spans="1:10">
      <c r="A284" s="7" t="s">
        <v>552</v>
      </c>
      <c r="E284" s="5"/>
      <c r="F284" s="258">
        <f>F221+F226+F231</f>
        <v>148174.96443649294</v>
      </c>
      <c r="G284" s="258">
        <f t="shared" ref="G284:J284" si="118">G221+G226+G231</f>
        <v>227367.81999140259</v>
      </c>
      <c r="H284" s="258">
        <f t="shared" si="118"/>
        <v>227367.81999140259</v>
      </c>
      <c r="I284" s="258">
        <f t="shared" si="118"/>
        <v>227367.81999140259</v>
      </c>
      <c r="J284" s="258">
        <f t="shared" si="118"/>
        <v>227367.81999140259</v>
      </c>
    </row>
    <row r="285" spans="1:10">
      <c r="A285" s="7" t="s">
        <v>553</v>
      </c>
      <c r="E285" s="5"/>
      <c r="F285" s="258">
        <f>F236+F242</f>
        <v>126195.27724919026</v>
      </c>
      <c r="G285" s="258">
        <f t="shared" ref="G285:J285" si="119">G236+G242</f>
        <v>178467.07259323774</v>
      </c>
      <c r="H285" s="258">
        <f t="shared" si="119"/>
        <v>178467.07259323774</v>
      </c>
      <c r="I285" s="258">
        <f t="shared" si="119"/>
        <v>178467.07259323774</v>
      </c>
      <c r="J285" s="258">
        <f t="shared" si="119"/>
        <v>178467.07259323774</v>
      </c>
    </row>
    <row r="286" spans="1:10">
      <c r="A286" s="7" t="s">
        <v>558</v>
      </c>
      <c r="E286" s="5"/>
      <c r="F286" s="258">
        <f>F247</f>
        <v>61184.808381529474</v>
      </c>
      <c r="G286" s="258">
        <f t="shared" ref="G286:J286" si="120">G247</f>
        <v>99395.014456988793</v>
      </c>
      <c r="H286" s="258">
        <f t="shared" si="120"/>
        <v>99395.014456988793</v>
      </c>
      <c r="I286" s="258">
        <f t="shared" si="120"/>
        <v>99395.014456988793</v>
      </c>
      <c r="J286" s="258">
        <f t="shared" si="120"/>
        <v>99395.014456988793</v>
      </c>
    </row>
    <row r="287" spans="1:10">
      <c r="A287" s="7" t="s">
        <v>554</v>
      </c>
      <c r="E287" s="5"/>
      <c r="F287" s="258">
        <f ca="1">F127+F252</f>
        <v>83247.367681254662</v>
      </c>
      <c r="G287" s="258">
        <f t="shared" ref="G287:J287" ca="1" si="121">G127+G252</f>
        <v>83247.367681254807</v>
      </c>
      <c r="H287" s="258">
        <f t="shared" ca="1" si="121"/>
        <v>83247.367681254807</v>
      </c>
      <c r="I287" s="258">
        <f t="shared" ca="1" si="121"/>
        <v>83247.367681254604</v>
      </c>
      <c r="J287" s="258">
        <f t="shared" ca="1" si="121"/>
        <v>83247.367681254604</v>
      </c>
    </row>
    <row r="288" spans="1:10">
      <c r="A288" s="7" t="s">
        <v>555</v>
      </c>
      <c r="E288" s="5"/>
      <c r="F288" s="258">
        <f ca="1">F188</f>
        <v>58026.94904186565</v>
      </c>
      <c r="G288" s="258">
        <f t="shared" ref="G288:J288" ca="1" si="122">G188</f>
        <v>58026.949041865766</v>
      </c>
      <c r="H288" s="258">
        <f t="shared" ca="1" si="122"/>
        <v>58026.949041865766</v>
      </c>
      <c r="I288" s="258">
        <f t="shared" ca="1" si="122"/>
        <v>58026.949041865606</v>
      </c>
      <c r="J288" s="258">
        <f t="shared" ca="1" si="122"/>
        <v>58026.949041865606</v>
      </c>
    </row>
    <row r="289" spans="1:10">
      <c r="A289" s="96" t="s">
        <v>13</v>
      </c>
      <c r="E289" s="5"/>
      <c r="F289" s="258">
        <f ca="1">SUM(F282:F288)</f>
        <v>1077956.2374588852</v>
      </c>
      <c r="G289" s="258">
        <f t="shared" ref="G289:J289" ca="1" si="123">SUM(G282:G288)</f>
        <v>1366447.5291167216</v>
      </c>
      <c r="H289" s="258">
        <f t="shared" ca="1" si="123"/>
        <v>1366305.4229054579</v>
      </c>
      <c r="I289" s="258">
        <f t="shared" ca="1" si="123"/>
        <v>1362274.6555077021</v>
      </c>
      <c r="J289" s="258">
        <f t="shared" ca="1" si="123"/>
        <v>1362274.6555077021</v>
      </c>
    </row>
    <row r="290" spans="1:10">
      <c r="A290" s="7"/>
      <c r="E290" s="5"/>
      <c r="F290" s="39"/>
      <c r="G290" s="39"/>
      <c r="H290" s="39"/>
      <c r="I290" s="39"/>
      <c r="J290" s="39"/>
    </row>
    <row r="291" spans="1:10">
      <c r="A291" s="7"/>
      <c r="E291" s="5"/>
      <c r="F291" s="39"/>
      <c r="G291" s="39"/>
      <c r="H291" s="39"/>
      <c r="I291" s="39"/>
      <c r="J291" s="39"/>
    </row>
    <row r="292" spans="1:10">
      <c r="A292" s="7"/>
      <c r="E292" s="5"/>
      <c r="F292" s="39"/>
      <c r="G292" s="39"/>
      <c r="H292" s="39"/>
      <c r="I292" s="39"/>
      <c r="J292" s="39"/>
    </row>
    <row r="293" spans="1:10">
      <c r="A293" s="7"/>
      <c r="E293" s="5"/>
      <c r="F293" s="39"/>
      <c r="G293" s="39"/>
      <c r="H293" s="39"/>
      <c r="I293" s="39"/>
      <c r="J293" s="39"/>
    </row>
    <row r="294" spans="1:10">
      <c r="A294" s="7"/>
      <c r="E294" s="5"/>
      <c r="F294" s="39"/>
      <c r="G294" s="39"/>
      <c r="H294" s="39"/>
      <c r="I294" s="39"/>
      <c r="J294" s="39"/>
    </row>
    <row r="295" spans="1:10">
      <c r="A295" s="7"/>
      <c r="E295" s="5"/>
      <c r="F295" s="39"/>
      <c r="G295" s="39"/>
      <c r="H295" s="39"/>
      <c r="I295" s="39"/>
      <c r="J295" s="39"/>
    </row>
    <row r="296" spans="1:10">
      <c r="A296" s="7"/>
      <c r="E296" s="5"/>
      <c r="F296" s="39"/>
      <c r="G296" s="39"/>
      <c r="H296" s="39"/>
      <c r="I296" s="39"/>
      <c r="J296" s="39"/>
    </row>
    <row r="297" spans="1:10">
      <c r="A297" s="7"/>
      <c r="E297" s="5"/>
      <c r="F297" s="39"/>
      <c r="G297" s="39"/>
      <c r="H297" s="39"/>
      <c r="I297" s="39"/>
      <c r="J297" s="39"/>
    </row>
    <row r="298" spans="1:10">
      <c r="A298" s="7"/>
      <c r="E298" s="5"/>
      <c r="F298" s="39"/>
      <c r="G298" s="39"/>
      <c r="H298" s="39"/>
      <c r="I298" s="39"/>
      <c r="J298" s="39"/>
    </row>
    <row r="299" spans="1:10">
      <c r="A299" s="7"/>
      <c r="E299" s="5"/>
      <c r="F299" s="39"/>
      <c r="G299" s="39"/>
      <c r="H299" s="39"/>
      <c r="I299" s="39"/>
      <c r="J299" s="39"/>
    </row>
    <row r="300" spans="1:10">
      <c r="A300" s="7"/>
      <c r="E300" s="5"/>
      <c r="F300" s="39"/>
      <c r="G300" s="39"/>
      <c r="H300" s="39"/>
      <c r="I300" s="39"/>
      <c r="J300" s="39"/>
    </row>
    <row r="301" spans="1:10">
      <c r="A301" s="7"/>
      <c r="E301" s="5"/>
      <c r="F301" s="38"/>
      <c r="G301" s="38"/>
      <c r="H301" s="38"/>
      <c r="I301" s="38"/>
      <c r="J301" s="38"/>
    </row>
    <row r="302" spans="1:10">
      <c r="A302" s="7"/>
      <c r="E302" s="5"/>
      <c r="F302" s="38"/>
      <c r="G302" s="38"/>
      <c r="H302" s="38"/>
      <c r="I302" s="38"/>
      <c r="J302" s="38"/>
    </row>
    <row r="303" spans="1:10">
      <c r="A303" s="7"/>
      <c r="E303" s="5"/>
      <c r="F303" s="38"/>
      <c r="G303" s="38"/>
      <c r="H303" s="38"/>
      <c r="I303" s="38"/>
      <c r="J303" s="38"/>
    </row>
  </sheetData>
  <mergeCells count="2">
    <mergeCell ref="A1:J1"/>
    <mergeCell ref="A2:J2"/>
  </mergeCells>
  <phoneticPr fontId="5" type="noConversion"/>
  <pageMargins left="0.5" right="0.5" top="0.5" bottom="0.5" header="0.5" footer="0.5"/>
  <pageSetup orientation="portrait" verticalDpi="300" r:id="rId1"/>
  <headerFooter alignWithMargins="0">
    <oddFooter>&amp;C &amp;P&amp;R&amp;D</oddFooter>
  </headerFooter>
  <rowBreaks count="5" manualBreakCount="5">
    <brk id="52" max="9" man="1"/>
    <brk id="120" max="16383" man="1"/>
    <brk id="159" max="9" man="1"/>
    <brk id="207" max="9" man="1"/>
    <brk id="264" max="9" man="1"/>
  </rowBreaks>
  <drawing r:id="rId2"/>
</worksheet>
</file>

<file path=xl/worksheets/sheet6.xml><?xml version="1.0" encoding="utf-8"?>
<worksheet xmlns="http://schemas.openxmlformats.org/spreadsheetml/2006/main" xmlns:r="http://schemas.openxmlformats.org/officeDocument/2006/relationships">
  <sheetPr enableFormatConditionsCalculation="0">
    <tabColor indexed="13"/>
  </sheetPr>
  <dimension ref="A1:T213"/>
  <sheetViews>
    <sheetView zoomScaleNormal="100" workbookViewId="0">
      <selection activeCell="E11" sqref="E11"/>
    </sheetView>
  </sheetViews>
  <sheetFormatPr defaultRowHeight="12.75"/>
  <cols>
    <col min="1" max="3" width="10.28515625" customWidth="1"/>
    <col min="4" max="5" width="10.7109375" customWidth="1"/>
    <col min="6" max="6" width="10.28515625" customWidth="1"/>
    <col min="7" max="7" width="16.42578125" customWidth="1"/>
    <col min="8" max="8" width="9.85546875" customWidth="1"/>
    <col min="9" max="9" width="10.42578125" customWidth="1"/>
    <col min="10" max="10" width="8.7109375" customWidth="1"/>
    <col min="11" max="11" width="21.85546875" customWidth="1"/>
    <col min="12" max="12" width="11" customWidth="1"/>
    <col min="15" max="15" width="10.85546875" customWidth="1"/>
    <col min="16" max="16" width="16.42578125" customWidth="1"/>
    <col min="17" max="17" width="11.7109375" customWidth="1"/>
  </cols>
  <sheetData>
    <row r="1" spans="1:16" ht="15.75">
      <c r="A1" s="425" t="s">
        <v>267</v>
      </c>
      <c r="B1" s="425"/>
      <c r="C1" s="425"/>
      <c r="D1" s="425"/>
      <c r="E1" s="425"/>
      <c r="F1" s="425"/>
      <c r="G1" s="425"/>
      <c r="H1" s="425"/>
      <c r="I1" s="425"/>
      <c r="J1" s="425"/>
    </row>
    <row r="2" spans="1:16">
      <c r="A2" s="60"/>
      <c r="B2" s="60"/>
      <c r="C2" s="60"/>
      <c r="D2" s="60"/>
      <c r="E2" s="60"/>
      <c r="F2" s="61"/>
      <c r="G2" s="61"/>
      <c r="H2" s="61"/>
      <c r="I2" s="61"/>
      <c r="J2" s="61"/>
      <c r="K2" s="428" t="s">
        <v>263</v>
      </c>
      <c r="L2" s="428"/>
      <c r="M2" s="428"/>
      <c r="N2" s="428"/>
      <c r="O2" s="428"/>
      <c r="P2" s="428"/>
    </row>
    <row r="3" spans="1:16" ht="15.75">
      <c r="A3" s="62" t="s">
        <v>198</v>
      </c>
      <c r="F3" s="62" t="s">
        <v>234</v>
      </c>
      <c r="G3" s="64"/>
      <c r="H3" s="64"/>
      <c r="I3" s="64"/>
      <c r="J3" s="64"/>
      <c r="K3" s="8" t="s">
        <v>214</v>
      </c>
      <c r="L3" s="8"/>
      <c r="M3" s="8" t="s">
        <v>261</v>
      </c>
      <c r="N3" s="8" t="s">
        <v>386</v>
      </c>
      <c r="O3" s="8" t="s">
        <v>129</v>
      </c>
    </row>
    <row r="4" spans="1:16">
      <c r="A4" s="47" t="s">
        <v>40</v>
      </c>
      <c r="B4" s="47"/>
      <c r="C4" s="47"/>
      <c r="D4" s="47"/>
      <c r="E4" s="217">
        <v>100000</v>
      </c>
      <c r="F4" s="47" t="s">
        <v>41</v>
      </c>
      <c r="G4" s="47"/>
      <c r="H4" s="47"/>
      <c r="I4" s="63"/>
      <c r="J4" s="103">
        <v>95</v>
      </c>
      <c r="K4" s="8" t="s">
        <v>259</v>
      </c>
      <c r="L4" s="68" t="s">
        <v>260</v>
      </c>
      <c r="M4" s="68" t="s">
        <v>245</v>
      </c>
      <c r="N4" s="68" t="s">
        <v>387</v>
      </c>
      <c r="O4" s="64" t="s">
        <v>262</v>
      </c>
      <c r="P4" s="179" t="s">
        <v>13</v>
      </c>
    </row>
    <row r="5" spans="1:16">
      <c r="A5" s="47" t="s">
        <v>238</v>
      </c>
      <c r="B5" s="47"/>
      <c r="C5" s="47"/>
      <c r="D5" s="63"/>
      <c r="E5" s="275">
        <v>300</v>
      </c>
      <c r="F5" s="5" t="s">
        <v>266</v>
      </c>
      <c r="L5" s="47"/>
      <c r="M5" s="52"/>
      <c r="N5" s="52"/>
      <c r="O5" s="63"/>
      <c r="P5" s="181"/>
    </row>
    <row r="6" spans="1:16">
      <c r="A6" s="47" t="s">
        <v>587</v>
      </c>
      <c r="B6" s="47"/>
      <c r="C6" s="47"/>
      <c r="D6" s="63"/>
      <c r="E6" s="275">
        <v>3</v>
      </c>
      <c r="F6" s="7" t="s">
        <v>265</v>
      </c>
      <c r="G6" s="7"/>
      <c r="H6" s="7"/>
      <c r="J6" s="182">
        <f t="shared" ref="J6:J11" si="0">P6</f>
        <v>92.2</v>
      </c>
      <c r="K6" s="3">
        <v>99</v>
      </c>
      <c r="L6" s="65">
        <v>95</v>
      </c>
      <c r="M6" s="180">
        <v>99</v>
      </c>
      <c r="N6" s="180">
        <v>99</v>
      </c>
      <c r="O6" s="64"/>
      <c r="P6" s="183">
        <f>ROUND(K6*L6*M6*N6/1000000,1)</f>
        <v>92.2</v>
      </c>
    </row>
    <row r="7" spans="1:16">
      <c r="A7" t="s">
        <v>240</v>
      </c>
      <c r="B7" s="52"/>
      <c r="C7" s="52"/>
      <c r="D7" s="63"/>
      <c r="E7" s="276">
        <f>E5*E6</f>
        <v>900</v>
      </c>
      <c r="F7" s="7" t="s">
        <v>125</v>
      </c>
      <c r="G7" s="7"/>
      <c r="H7" s="7"/>
      <c r="J7" s="182">
        <f t="shared" si="0"/>
        <v>92.2</v>
      </c>
      <c r="K7" s="3">
        <v>99</v>
      </c>
      <c r="L7" s="65">
        <v>95</v>
      </c>
      <c r="M7" s="180">
        <v>99</v>
      </c>
      <c r="N7" s="180">
        <v>99</v>
      </c>
      <c r="O7" s="64"/>
      <c r="P7" s="183">
        <f>ROUND(K7*L7*M7*N7/1000000,1)</f>
        <v>92.2</v>
      </c>
    </row>
    <row r="8" spans="1:16">
      <c r="A8" s="52" t="s">
        <v>253</v>
      </c>
      <c r="B8" s="52"/>
      <c r="C8" s="52"/>
      <c r="D8" s="223"/>
      <c r="E8" s="260">
        <v>869416.40599431924</v>
      </c>
      <c r="F8" s="7" t="s">
        <v>126</v>
      </c>
      <c r="G8" s="7"/>
      <c r="H8" s="7"/>
      <c r="J8" s="182">
        <f t="shared" si="0"/>
        <v>90.2</v>
      </c>
      <c r="K8" s="3"/>
      <c r="L8" s="3">
        <v>99</v>
      </c>
      <c r="M8" s="180">
        <v>92</v>
      </c>
      <c r="N8" s="180">
        <v>99</v>
      </c>
      <c r="O8" s="64"/>
      <c r="P8" s="183">
        <f>ROUND(L8*M8*N8/10000,1)</f>
        <v>90.2</v>
      </c>
    </row>
    <row r="9" spans="1:16">
      <c r="A9" s="47" t="s">
        <v>102</v>
      </c>
      <c r="B9" s="52"/>
      <c r="C9" s="52"/>
      <c r="D9" s="63"/>
      <c r="E9" s="222">
        <v>6000000</v>
      </c>
      <c r="F9" s="7" t="s">
        <v>127</v>
      </c>
      <c r="G9" s="7"/>
      <c r="H9" s="7"/>
      <c r="J9" s="182">
        <f t="shared" si="0"/>
        <v>90.2</v>
      </c>
      <c r="K9" s="3"/>
      <c r="L9" s="65">
        <v>99</v>
      </c>
      <c r="M9" s="180">
        <v>92</v>
      </c>
      <c r="N9" s="180">
        <v>99</v>
      </c>
      <c r="O9" s="64"/>
      <c r="P9" s="183">
        <f>ROUND(L9*M9*N9/10000,1)</f>
        <v>90.2</v>
      </c>
    </row>
    <row r="10" spans="1:16">
      <c r="A10" s="52" t="s">
        <v>103</v>
      </c>
      <c r="B10" s="52"/>
      <c r="C10" s="52"/>
      <c r="D10" s="270"/>
      <c r="E10" s="222">
        <v>6315789.4736842103</v>
      </c>
      <c r="F10" s="7" t="s">
        <v>128</v>
      </c>
      <c r="G10" s="7"/>
      <c r="H10" s="7"/>
      <c r="J10" s="182">
        <f t="shared" si="0"/>
        <v>98</v>
      </c>
      <c r="K10" s="3"/>
      <c r="L10" s="65"/>
      <c r="M10" s="180"/>
      <c r="N10" s="180">
        <v>98</v>
      </c>
      <c r="O10" s="64"/>
      <c r="P10" s="183">
        <f>N10</f>
        <v>98</v>
      </c>
    </row>
    <row r="11" spans="1:16" ht="14.25">
      <c r="A11" s="52" t="s">
        <v>254</v>
      </c>
      <c r="B11" s="52"/>
      <c r="C11" s="52"/>
      <c r="D11" s="63"/>
      <c r="E11" s="222">
        <v>8209039.0739184599</v>
      </c>
      <c r="F11" s="7" t="s">
        <v>129</v>
      </c>
      <c r="G11" s="7"/>
      <c r="H11" s="7"/>
      <c r="J11" s="182">
        <f t="shared" si="0"/>
        <v>94</v>
      </c>
      <c r="K11" s="221"/>
      <c r="L11" s="180"/>
      <c r="M11" s="180"/>
      <c r="N11" s="180"/>
      <c r="O11" s="65">
        <v>94</v>
      </c>
      <c r="P11" s="183">
        <f>O11</f>
        <v>94</v>
      </c>
    </row>
    <row r="12" spans="1:16">
      <c r="A12" s="52" t="s">
        <v>255</v>
      </c>
      <c r="B12" s="52"/>
      <c r="C12" s="52"/>
      <c r="D12" s="63"/>
      <c r="E12" s="222">
        <v>1712524.2607603606</v>
      </c>
      <c r="F12" s="7" t="s">
        <v>237</v>
      </c>
      <c r="G12" s="146"/>
      <c r="H12" s="146"/>
      <c r="I12" s="146"/>
      <c r="J12" s="228">
        <v>99.5</v>
      </c>
      <c r="K12" s="227"/>
      <c r="L12" s="52"/>
      <c r="M12" s="52"/>
      <c r="N12" s="52"/>
      <c r="O12" s="63"/>
      <c r="P12" s="99"/>
    </row>
    <row r="13" spans="1:16" ht="15.75">
      <c r="A13" s="52" t="s">
        <v>256</v>
      </c>
      <c r="B13" s="52"/>
      <c r="C13" s="52"/>
      <c r="D13" s="63"/>
      <c r="E13" s="222">
        <v>1205892.2607955937</v>
      </c>
      <c r="F13" s="19" t="s">
        <v>513</v>
      </c>
      <c r="G13" s="19"/>
      <c r="H13" s="19"/>
      <c r="I13" s="70"/>
      <c r="L13" s="47"/>
      <c r="M13" s="47"/>
      <c r="N13" s="47"/>
      <c r="O13" s="63"/>
      <c r="P13" s="67"/>
    </row>
    <row r="14" spans="1:16">
      <c r="A14" s="52" t="s">
        <v>394</v>
      </c>
      <c r="B14" s="52"/>
      <c r="C14" s="52"/>
      <c r="D14" s="63"/>
      <c r="E14" s="222">
        <v>2309021.4751825081</v>
      </c>
      <c r="F14" s="7" t="s">
        <v>512</v>
      </c>
      <c r="L14" s="167"/>
      <c r="M14" s="167"/>
      <c r="N14" s="167"/>
      <c r="O14" s="167"/>
      <c r="P14" s="65"/>
    </row>
    <row r="15" spans="1:16">
      <c r="A15" s="52" t="s">
        <v>395</v>
      </c>
      <c r="B15" s="52"/>
      <c r="C15" s="52"/>
      <c r="D15" s="63"/>
      <c r="E15" s="222">
        <v>1527104.6987965889</v>
      </c>
      <c r="F15" s="7" t="s">
        <v>59</v>
      </c>
      <c r="J15" s="104">
        <v>2.5</v>
      </c>
      <c r="L15" s="167"/>
      <c r="M15" s="429"/>
      <c r="N15" s="429"/>
    </row>
    <row r="16" spans="1:16" ht="15.75">
      <c r="A16" s="52" t="s">
        <v>369</v>
      </c>
      <c r="E16" s="222">
        <v>3000</v>
      </c>
      <c r="F16" s="7" t="s">
        <v>646</v>
      </c>
      <c r="J16" s="105">
        <v>0.01</v>
      </c>
      <c r="L16" s="167"/>
      <c r="M16" s="68"/>
      <c r="N16" s="68"/>
    </row>
    <row r="17" spans="1:16" ht="15.75">
      <c r="A17" s="19" t="s">
        <v>42</v>
      </c>
      <c r="E17" s="138"/>
      <c r="F17" s="7" t="s">
        <v>382</v>
      </c>
      <c r="L17" s="167"/>
      <c r="M17" s="68"/>
      <c r="N17" s="68"/>
    </row>
    <row r="18" spans="1:16">
      <c r="A18" s="7" t="s">
        <v>44</v>
      </c>
      <c r="B18" s="7"/>
      <c r="C18" s="7"/>
      <c r="D18" s="8"/>
      <c r="E18" s="68" t="s">
        <v>45</v>
      </c>
      <c r="F18" s="7" t="s">
        <v>647</v>
      </c>
      <c r="J18" s="104">
        <v>5</v>
      </c>
      <c r="L18" s="167"/>
      <c r="M18" s="248"/>
      <c r="N18" s="248"/>
    </row>
    <row r="19" spans="1:16">
      <c r="A19" s="7" t="s">
        <v>48</v>
      </c>
      <c r="B19" s="7"/>
      <c r="C19" s="7"/>
      <c r="D19" s="130">
        <f>Chem!D62</f>
        <v>29</v>
      </c>
      <c r="E19" s="130">
        <f>Chem!E62</f>
        <v>0.95</v>
      </c>
      <c r="F19" s="7" t="s">
        <v>60</v>
      </c>
      <c r="J19" s="106">
        <v>0.75</v>
      </c>
      <c r="L19" s="167"/>
      <c r="M19" s="248"/>
      <c r="N19" s="248"/>
    </row>
    <row r="20" spans="1:16">
      <c r="A20" s="7" t="s">
        <v>300</v>
      </c>
      <c r="B20" s="7"/>
      <c r="C20" s="7"/>
      <c r="D20" s="130">
        <f>Chem!D63</f>
        <v>6.8</v>
      </c>
      <c r="E20" s="130">
        <f>Chem!E63</f>
        <v>1</v>
      </c>
      <c r="F20" s="7" t="s">
        <v>39</v>
      </c>
      <c r="L20" s="167"/>
      <c r="M20" s="248"/>
      <c r="N20" s="248"/>
    </row>
    <row r="21" spans="1:16">
      <c r="A21" s="7"/>
      <c r="B21" s="7"/>
      <c r="C21" s="7"/>
      <c r="D21" s="130"/>
      <c r="E21" s="130"/>
      <c r="F21" s="7" t="s">
        <v>647</v>
      </c>
      <c r="J21" s="104">
        <v>3</v>
      </c>
      <c r="L21" s="167"/>
      <c r="M21" s="248"/>
      <c r="N21" s="248"/>
    </row>
    <row r="22" spans="1:16">
      <c r="A22" s="7" t="s">
        <v>54</v>
      </c>
      <c r="B22" s="7"/>
      <c r="C22" s="7"/>
      <c r="D22" s="130">
        <f>Chem!D64</f>
        <v>10</v>
      </c>
      <c r="E22" s="130">
        <f>Chem!E64</f>
        <v>1</v>
      </c>
      <c r="F22" s="7" t="s">
        <v>60</v>
      </c>
      <c r="J22" s="104">
        <v>1</v>
      </c>
      <c r="K22" s="256"/>
      <c r="L22" s="167"/>
      <c r="M22" s="248"/>
      <c r="N22" s="248"/>
    </row>
    <row r="23" spans="1:16" ht="15.75">
      <c r="A23" s="7" t="s">
        <v>56</v>
      </c>
      <c r="B23" s="7"/>
      <c r="C23" s="7"/>
      <c r="D23" s="130">
        <f>Chem!D65</f>
        <v>3.2</v>
      </c>
      <c r="E23" s="130">
        <f>Chem!E65</f>
        <v>1</v>
      </c>
      <c r="F23" s="19" t="s">
        <v>514</v>
      </c>
      <c r="J23" s="104"/>
      <c r="K23" s="256"/>
      <c r="L23" s="247"/>
      <c r="M23" s="247"/>
      <c r="N23" s="249"/>
    </row>
    <row r="24" spans="1:16">
      <c r="A24" s="7" t="s">
        <v>57</v>
      </c>
      <c r="B24" s="7"/>
      <c r="C24" s="7"/>
      <c r="D24" s="109"/>
      <c r="E24" s="109"/>
      <c r="F24" s="7" t="s">
        <v>517</v>
      </c>
      <c r="J24" s="104"/>
      <c r="K24" s="256"/>
      <c r="L24" s="167"/>
      <c r="M24" s="167"/>
      <c r="N24" s="167"/>
    </row>
    <row r="25" spans="1:16">
      <c r="A25" s="7" t="s">
        <v>48</v>
      </c>
      <c r="B25" s="7"/>
      <c r="C25" s="7"/>
      <c r="D25" s="130">
        <f>Chem!D67</f>
        <v>19</v>
      </c>
      <c r="E25" s="130">
        <f>Chem!E67</f>
        <v>0.95</v>
      </c>
      <c r="F25" s="7" t="s">
        <v>647</v>
      </c>
      <c r="J25" s="104">
        <v>5</v>
      </c>
      <c r="K25" s="256"/>
      <c r="L25" s="167"/>
      <c r="M25" s="167"/>
      <c r="N25" s="167"/>
    </row>
    <row r="26" spans="1:16">
      <c r="A26" s="7" t="s">
        <v>52</v>
      </c>
      <c r="B26" s="7"/>
      <c r="C26" s="7"/>
      <c r="D26" s="130">
        <f>Chem!D68</f>
        <v>6.8</v>
      </c>
      <c r="E26" s="130">
        <f>Chem!E68</f>
        <v>1</v>
      </c>
      <c r="F26" s="7" t="s">
        <v>532</v>
      </c>
      <c r="J26" s="104">
        <v>1</v>
      </c>
      <c r="K26" s="52"/>
      <c r="O26" s="21"/>
    </row>
    <row r="27" spans="1:16">
      <c r="A27" s="7" t="s">
        <v>54</v>
      </c>
      <c r="B27" s="7"/>
      <c r="C27" s="7"/>
      <c r="D27" s="130">
        <f>Chem!D69</f>
        <v>10</v>
      </c>
      <c r="E27" s="130">
        <f>Chem!E69</f>
        <v>1</v>
      </c>
      <c r="F27" t="s">
        <v>515</v>
      </c>
      <c r="J27" s="104">
        <v>2</v>
      </c>
      <c r="K27" s="52"/>
    </row>
    <row r="28" spans="1:16">
      <c r="A28" s="7" t="s">
        <v>314</v>
      </c>
      <c r="B28" s="7"/>
      <c r="C28" s="7"/>
      <c r="D28" s="130">
        <f>Chem!D70</f>
        <v>0</v>
      </c>
      <c r="E28" s="130">
        <f>Chem!E70</f>
        <v>1</v>
      </c>
      <c r="F28" s="7" t="s">
        <v>526</v>
      </c>
      <c r="G28" s="207"/>
      <c r="J28" s="106"/>
      <c r="K28" s="256"/>
      <c r="O28" s="3"/>
    </row>
    <row r="29" spans="1:16" ht="14.25">
      <c r="A29" s="7" t="s">
        <v>172</v>
      </c>
      <c r="B29" s="7"/>
      <c r="C29" s="7"/>
      <c r="D29" s="130">
        <f>Chem!D71</f>
        <v>0.8</v>
      </c>
      <c r="E29" s="130">
        <f>Chem!E71</f>
        <v>1</v>
      </c>
      <c r="F29" s="7" t="s">
        <v>485</v>
      </c>
      <c r="J29" s="257">
        <v>15</v>
      </c>
      <c r="K29" s="52"/>
      <c r="O29" s="21"/>
    </row>
    <row r="30" spans="1:16" ht="14.25">
      <c r="A30" s="7" t="s">
        <v>173</v>
      </c>
      <c r="B30" s="7"/>
      <c r="C30" s="7"/>
      <c r="D30" s="130">
        <f>Chem!D72</f>
        <v>1.8</v>
      </c>
      <c r="E30" s="130">
        <f>Chem!E72</f>
        <v>1</v>
      </c>
      <c r="F30" s="7" t="s">
        <v>516</v>
      </c>
      <c r="J30" s="106">
        <v>0.02</v>
      </c>
      <c r="K30" s="113"/>
      <c r="L30" s="113"/>
      <c r="M30" s="113"/>
      <c r="N30" s="113"/>
      <c r="O30" s="113"/>
      <c r="P30" s="113"/>
    </row>
    <row r="31" spans="1:16" ht="14.25">
      <c r="A31" s="7" t="s">
        <v>61</v>
      </c>
      <c r="B31" s="7"/>
      <c r="C31" s="7"/>
      <c r="D31" s="130">
        <f>Chem!D73</f>
        <v>2</v>
      </c>
      <c r="E31" s="130">
        <f>Chem!E73</f>
        <v>1</v>
      </c>
      <c r="F31" s="321" t="s">
        <v>803</v>
      </c>
      <c r="K31" s="113"/>
      <c r="L31" s="113"/>
      <c r="M31" s="113"/>
      <c r="N31" s="113"/>
      <c r="O31" s="113"/>
      <c r="P31" s="113"/>
    </row>
    <row r="32" spans="1:16">
      <c r="A32" s="7" t="s">
        <v>62</v>
      </c>
      <c r="B32" s="7"/>
      <c r="C32" s="7"/>
      <c r="D32" s="130">
        <f>Chem!D74</f>
        <v>21.6</v>
      </c>
      <c r="E32" s="130">
        <f>Chem!E74</f>
        <v>1</v>
      </c>
      <c r="F32" s="321" t="s">
        <v>804</v>
      </c>
      <c r="J32" s="104">
        <v>20</v>
      </c>
      <c r="K32" s="262"/>
      <c r="L32" s="113"/>
      <c r="M32" s="113"/>
      <c r="N32" s="113"/>
      <c r="O32" s="109"/>
      <c r="P32" s="81"/>
    </row>
    <row r="33" spans="1:16" ht="15.75">
      <c r="A33" s="19" t="s">
        <v>175</v>
      </c>
      <c r="F33" s="7" t="s">
        <v>494</v>
      </c>
      <c r="K33" s="263"/>
      <c r="L33" s="113"/>
      <c r="M33" s="113"/>
      <c r="N33" s="113"/>
      <c r="O33" s="109"/>
      <c r="P33" s="52"/>
    </row>
    <row r="34" spans="1:16">
      <c r="A34" s="226"/>
      <c r="C34" s="428" t="s">
        <v>43</v>
      </c>
      <c r="D34" s="428"/>
      <c r="F34" s="7" t="s">
        <v>388</v>
      </c>
      <c r="J34" s="104">
        <v>7</v>
      </c>
      <c r="K34" s="263"/>
      <c r="L34" s="113"/>
      <c r="M34" s="113"/>
      <c r="N34" s="113"/>
      <c r="O34" s="109"/>
      <c r="P34" s="52"/>
    </row>
    <row r="35" spans="1:16">
      <c r="C35" s="8" t="s">
        <v>46</v>
      </c>
      <c r="D35" s="8" t="s">
        <v>47</v>
      </c>
      <c r="F35" s="7" t="s">
        <v>63</v>
      </c>
      <c r="J35" s="104">
        <v>30</v>
      </c>
      <c r="K35" s="263"/>
      <c r="L35" s="113"/>
      <c r="M35" s="113"/>
      <c r="N35" s="113"/>
      <c r="O35" s="109"/>
      <c r="P35" s="263"/>
    </row>
    <row r="36" spans="1:16" ht="15.75">
      <c r="C36" s="8" t="s">
        <v>49</v>
      </c>
      <c r="D36" s="8" t="s">
        <v>50</v>
      </c>
      <c r="E36" s="8" t="s">
        <v>45</v>
      </c>
      <c r="F36" s="247" t="s">
        <v>522</v>
      </c>
      <c r="K36" s="264"/>
      <c r="L36" s="113"/>
      <c r="M36" s="113"/>
      <c r="N36" s="113"/>
      <c r="O36" s="109"/>
      <c r="P36" s="263"/>
    </row>
    <row r="37" spans="1:16">
      <c r="A37" s="47" t="s">
        <v>51</v>
      </c>
      <c r="C37" s="104">
        <v>4</v>
      </c>
      <c r="D37" s="104">
        <v>0.25</v>
      </c>
      <c r="E37" s="104">
        <v>0.8</v>
      </c>
      <c r="H37" s="3"/>
      <c r="I37" s="3"/>
      <c r="J37" s="3" t="s">
        <v>482</v>
      </c>
      <c r="K37" s="113"/>
      <c r="L37" s="113"/>
      <c r="M37" s="140"/>
      <c r="N37" s="113"/>
      <c r="O37" s="113"/>
      <c r="P37" s="113"/>
    </row>
    <row r="38" spans="1:16" ht="12.75" customHeight="1">
      <c r="A38" s="47" t="s">
        <v>53</v>
      </c>
      <c r="C38" s="104">
        <f>IF(D30&gt;D29,6,C37)</f>
        <v>6</v>
      </c>
      <c r="D38" s="104">
        <v>0.25</v>
      </c>
      <c r="E38" s="104">
        <v>0.8</v>
      </c>
      <c r="H38" s="3" t="s">
        <v>519</v>
      </c>
      <c r="I38" s="3" t="s">
        <v>520</v>
      </c>
      <c r="J38" s="3" t="s">
        <v>521</v>
      </c>
      <c r="K38" s="113"/>
      <c r="L38" s="113"/>
      <c r="M38" s="140"/>
      <c r="N38" s="113"/>
      <c r="O38" s="113"/>
      <c r="P38" s="113"/>
    </row>
    <row r="39" spans="1:16" ht="12.75" customHeight="1">
      <c r="A39" s="47" t="s">
        <v>55</v>
      </c>
      <c r="C39" s="104">
        <v>3</v>
      </c>
      <c r="D39" s="104">
        <v>0.2</v>
      </c>
      <c r="E39" s="104">
        <v>0.8</v>
      </c>
      <c r="F39" t="s">
        <v>525</v>
      </c>
      <c r="H39" s="106">
        <v>40</v>
      </c>
      <c r="I39" s="106">
        <v>70</v>
      </c>
      <c r="J39" s="106">
        <v>100</v>
      </c>
      <c r="K39" s="113"/>
      <c r="L39" s="113"/>
      <c r="M39" s="140"/>
      <c r="N39" s="140"/>
      <c r="O39" s="113"/>
      <c r="P39" s="113"/>
    </row>
    <row r="40" spans="1:16">
      <c r="A40" s="52" t="s">
        <v>518</v>
      </c>
      <c r="C40" s="104">
        <v>4</v>
      </c>
      <c r="D40" s="104">
        <v>0.1</v>
      </c>
      <c r="E40" s="104">
        <v>0.8</v>
      </c>
      <c r="F40" t="s">
        <v>524</v>
      </c>
      <c r="H40" s="106">
        <v>10</v>
      </c>
      <c r="I40" s="106">
        <v>10</v>
      </c>
      <c r="J40" s="106">
        <v>20</v>
      </c>
      <c r="K40" s="113"/>
      <c r="L40" s="187"/>
      <c r="M40" s="140"/>
      <c r="N40" s="140"/>
      <c r="O40" s="113"/>
      <c r="P40" s="113"/>
    </row>
    <row r="41" spans="1:16">
      <c r="A41" s="52" t="s">
        <v>648</v>
      </c>
      <c r="B41" s="113"/>
      <c r="C41" s="109"/>
      <c r="D41" s="109"/>
      <c r="E41" s="109"/>
      <c r="F41" t="s">
        <v>529</v>
      </c>
      <c r="H41" s="106">
        <v>50</v>
      </c>
      <c r="I41" s="106">
        <v>70</v>
      </c>
      <c r="J41" s="106">
        <v>200</v>
      </c>
      <c r="K41" s="113"/>
      <c r="L41" s="167"/>
      <c r="M41" s="167"/>
      <c r="N41" s="167"/>
      <c r="O41" s="113"/>
      <c r="P41" s="113"/>
    </row>
    <row r="42" spans="1:16">
      <c r="A42" s="52"/>
      <c r="B42" s="113"/>
      <c r="C42" s="109"/>
      <c r="D42" s="109"/>
      <c r="E42" s="109"/>
      <c r="F42" t="s">
        <v>885</v>
      </c>
      <c r="H42" s="106">
        <v>15</v>
      </c>
      <c r="I42" s="106">
        <v>15</v>
      </c>
      <c r="J42" s="106">
        <v>15</v>
      </c>
      <c r="K42" s="113"/>
      <c r="L42" s="167"/>
      <c r="M42" s="167"/>
      <c r="N42" s="167"/>
      <c r="O42" s="113"/>
      <c r="P42" s="113"/>
    </row>
    <row r="43" spans="1:16">
      <c r="A43" s="52"/>
      <c r="B43" s="113"/>
      <c r="C43" s="109"/>
      <c r="D43" s="109"/>
      <c r="E43" s="109"/>
      <c r="F43" t="s">
        <v>808</v>
      </c>
      <c r="J43" s="106">
        <v>100</v>
      </c>
      <c r="K43" s="113"/>
      <c r="L43" s="167"/>
      <c r="M43" s="167"/>
      <c r="N43" s="167"/>
      <c r="O43" s="113"/>
      <c r="P43" s="113"/>
    </row>
    <row r="44" spans="1:16" ht="16.5" thickBot="1">
      <c r="A44" s="81"/>
      <c r="B44" s="47"/>
      <c r="C44" s="47"/>
      <c r="D44" s="18"/>
      <c r="E44" s="167"/>
      <c r="F44" s="19" t="s">
        <v>523</v>
      </c>
      <c r="H44" s="3"/>
      <c r="I44" s="3"/>
      <c r="J44" s="3" t="s">
        <v>482</v>
      </c>
      <c r="K44" s="113"/>
      <c r="L44" s="167"/>
      <c r="M44" s="167"/>
      <c r="N44" s="167"/>
      <c r="O44" s="113"/>
      <c r="P44" s="113"/>
    </row>
    <row r="45" spans="1:16">
      <c r="A45" s="125" t="s">
        <v>200</v>
      </c>
      <c r="B45" s="120"/>
      <c r="C45" s="120"/>
      <c r="D45" s="121"/>
      <c r="E45" s="131"/>
      <c r="H45" s="3" t="s">
        <v>519</v>
      </c>
      <c r="I45" s="3" t="s">
        <v>520</v>
      </c>
      <c r="J45" s="3" t="s">
        <v>521</v>
      </c>
      <c r="K45" s="113"/>
      <c r="L45" s="167"/>
      <c r="M45" s="167"/>
      <c r="N45" s="167"/>
      <c r="O45" s="113"/>
      <c r="P45" s="113"/>
    </row>
    <row r="46" spans="1:16" ht="16.5" thickBot="1">
      <c r="A46" s="126" t="s">
        <v>201</v>
      </c>
      <c r="B46" s="122"/>
      <c r="C46" s="122"/>
      <c r="D46" s="123"/>
      <c r="E46" s="124"/>
      <c r="F46" t="s">
        <v>882</v>
      </c>
      <c r="H46" s="106">
        <v>30</v>
      </c>
      <c r="I46" s="106">
        <v>80</v>
      </c>
      <c r="J46" s="106">
        <v>120</v>
      </c>
      <c r="K46" s="262"/>
      <c r="L46" s="264"/>
      <c r="M46" s="264"/>
      <c r="N46" s="264"/>
      <c r="O46" s="264"/>
      <c r="P46" s="264"/>
    </row>
    <row r="47" spans="1:16">
      <c r="A47" s="81"/>
      <c r="B47" s="47"/>
      <c r="C47" s="47"/>
      <c r="D47" s="18"/>
      <c r="E47" s="167"/>
      <c r="F47" s="347" t="s">
        <v>880</v>
      </c>
      <c r="H47" s="106">
        <v>40</v>
      </c>
      <c r="I47" s="106">
        <v>40</v>
      </c>
      <c r="J47" s="106">
        <v>40</v>
      </c>
      <c r="K47" s="113"/>
      <c r="L47" s="113"/>
      <c r="M47" s="113"/>
      <c r="N47" s="113"/>
      <c r="O47" s="113"/>
      <c r="P47" s="140"/>
    </row>
    <row r="48" spans="1:16">
      <c r="A48" s="81"/>
      <c r="B48" s="47"/>
      <c r="C48" s="47"/>
      <c r="D48" s="18"/>
      <c r="E48" s="167"/>
      <c r="F48" t="s">
        <v>810</v>
      </c>
      <c r="H48" s="106">
        <v>20</v>
      </c>
      <c r="I48" s="106">
        <v>20</v>
      </c>
      <c r="J48" s="106">
        <v>20</v>
      </c>
      <c r="K48" s="113"/>
      <c r="L48" s="113"/>
      <c r="M48" s="113"/>
      <c r="N48" s="113"/>
      <c r="O48" s="113"/>
      <c r="P48" s="140"/>
    </row>
    <row r="49" spans="1:20">
      <c r="A49" s="81"/>
      <c r="B49" s="47"/>
      <c r="C49" s="47"/>
      <c r="D49" s="18"/>
      <c r="E49" s="167"/>
      <c r="F49" t="s">
        <v>811</v>
      </c>
      <c r="H49" s="140"/>
      <c r="I49" s="140"/>
      <c r="J49" s="106">
        <v>100</v>
      </c>
      <c r="K49" s="113"/>
      <c r="L49" s="113"/>
      <c r="M49" s="113"/>
      <c r="N49" s="113"/>
      <c r="O49" s="113"/>
      <c r="P49" s="140"/>
    </row>
    <row r="50" spans="1:20">
      <c r="A50" s="81"/>
      <c r="B50" s="47"/>
      <c r="C50" s="47"/>
      <c r="D50" s="18"/>
      <c r="E50" s="167"/>
      <c r="F50" s="401" t="s">
        <v>907</v>
      </c>
      <c r="G50" s="401"/>
      <c r="H50" s="401"/>
      <c r="K50" s="113"/>
      <c r="L50" s="113"/>
      <c r="M50" s="113"/>
      <c r="N50" s="113"/>
      <c r="O50" s="113"/>
      <c r="P50" s="140"/>
    </row>
    <row r="51" spans="1:20">
      <c r="A51" s="81"/>
      <c r="B51" s="47"/>
      <c r="C51" s="47"/>
      <c r="D51" s="18"/>
      <c r="E51" s="167"/>
      <c r="F51" s="402" t="s">
        <v>881</v>
      </c>
      <c r="G51" s="401"/>
      <c r="K51" s="113"/>
      <c r="L51" s="113"/>
      <c r="M51" s="113"/>
      <c r="N51" s="113"/>
      <c r="O51" s="113"/>
      <c r="P51" s="140"/>
    </row>
    <row r="52" spans="1:20">
      <c r="A52" s="81"/>
      <c r="B52" s="47"/>
      <c r="C52" s="47"/>
      <c r="D52" s="18"/>
      <c r="E52" s="167"/>
      <c r="F52" s="403"/>
      <c r="G52" s="113"/>
      <c r="H52" s="113"/>
      <c r="I52" s="113"/>
      <c r="J52" s="113"/>
      <c r="K52" s="262"/>
      <c r="L52" s="113"/>
      <c r="M52" s="113"/>
      <c r="N52" s="113"/>
      <c r="O52" s="113"/>
      <c r="P52" s="140"/>
    </row>
    <row r="53" spans="1:20" ht="15.75">
      <c r="A53" s="16" t="s">
        <v>184</v>
      </c>
      <c r="B53" s="1"/>
      <c r="C53" s="1"/>
      <c r="D53" s="1"/>
      <c r="E53" s="1"/>
      <c r="F53" s="403"/>
      <c r="G53" s="113"/>
      <c r="H53" s="113"/>
      <c r="I53" s="113"/>
      <c r="J53" s="113"/>
      <c r="K53" s="265"/>
      <c r="L53" s="113"/>
      <c r="M53" s="113"/>
      <c r="N53" s="113"/>
      <c r="O53" s="113"/>
      <c r="P53" s="140"/>
    </row>
    <row r="54" spans="1:20" ht="15.75">
      <c r="A54" s="5" t="s">
        <v>87</v>
      </c>
      <c r="B54" s="1"/>
      <c r="C54" s="1"/>
      <c r="D54" s="1"/>
      <c r="E54" s="1"/>
      <c r="F54" s="403"/>
      <c r="G54" s="113"/>
      <c r="H54" s="113"/>
      <c r="I54" s="113"/>
      <c r="J54" s="113"/>
      <c r="K54" s="113"/>
      <c r="L54" s="113"/>
      <c r="M54" s="113"/>
      <c r="N54" s="113"/>
      <c r="O54" s="113"/>
      <c r="P54" s="140"/>
    </row>
    <row r="55" spans="1:20" ht="14.25">
      <c r="A55" t="s">
        <v>187</v>
      </c>
      <c r="F55" s="106">
        <v>3000</v>
      </c>
      <c r="K55" s="113"/>
      <c r="L55" s="113"/>
      <c r="M55" s="113"/>
      <c r="N55" s="113"/>
      <c r="O55" s="113"/>
      <c r="P55" s="140"/>
    </row>
    <row r="56" spans="1:20">
      <c r="A56" t="s">
        <v>88</v>
      </c>
      <c r="F56" s="3"/>
      <c r="K56" s="113"/>
      <c r="L56" s="113"/>
      <c r="M56" s="113"/>
      <c r="N56" s="113"/>
      <c r="O56" s="113"/>
      <c r="P56" s="140"/>
    </row>
    <row r="57" spans="1:20">
      <c r="A57" t="s">
        <v>89</v>
      </c>
      <c r="F57" s="106">
        <v>5</v>
      </c>
      <c r="K57" s="263"/>
      <c r="L57" s="113"/>
      <c r="M57" s="113"/>
      <c r="N57" s="113"/>
      <c r="O57" s="113"/>
      <c r="P57" s="140"/>
    </row>
    <row r="58" spans="1:20">
      <c r="A58" t="s">
        <v>90</v>
      </c>
      <c r="F58" s="106">
        <v>10</v>
      </c>
      <c r="K58" s="265"/>
      <c r="L58" s="113"/>
      <c r="M58" s="113"/>
      <c r="N58" s="113"/>
      <c r="O58" s="113"/>
      <c r="P58" s="140"/>
    </row>
    <row r="59" spans="1:20">
      <c r="A59" t="s">
        <v>91</v>
      </c>
      <c r="F59" s="106">
        <v>15</v>
      </c>
      <c r="K59" s="263"/>
      <c r="L59" s="113"/>
      <c r="M59" s="113"/>
      <c r="N59" s="113"/>
      <c r="O59" s="113"/>
      <c r="P59" s="140"/>
    </row>
    <row r="60" spans="1:20">
      <c r="A60" s="5" t="s">
        <v>92</v>
      </c>
      <c r="F60" s="3"/>
      <c r="K60" s="263"/>
      <c r="L60" s="113"/>
      <c r="M60" s="113"/>
      <c r="N60" s="113"/>
      <c r="O60" s="113"/>
      <c r="P60" s="140"/>
    </row>
    <row r="61" spans="1:20">
      <c r="A61" s="80" t="s">
        <v>93</v>
      </c>
      <c r="F61" s="3"/>
      <c r="K61" s="263"/>
      <c r="L61" s="113"/>
      <c r="M61" s="113"/>
      <c r="N61" s="113"/>
      <c r="O61" s="113"/>
      <c r="P61" s="140"/>
      <c r="Q61" s="40"/>
      <c r="R61" s="143"/>
      <c r="S61" s="100"/>
    </row>
    <row r="62" spans="1:20">
      <c r="A62" t="s">
        <v>94</v>
      </c>
      <c r="F62" s="106">
        <v>18</v>
      </c>
      <c r="K62" s="263"/>
      <c r="L62" s="113"/>
      <c r="M62" s="113"/>
      <c r="N62" s="113"/>
      <c r="O62" s="113"/>
      <c r="P62" s="140"/>
      <c r="Q62" s="40"/>
      <c r="R62" s="143"/>
      <c r="S62" s="100"/>
    </row>
    <row r="63" spans="1:20">
      <c r="A63" t="s">
        <v>548</v>
      </c>
      <c r="F63" s="140"/>
      <c r="G63" s="259"/>
      <c r="J63" s="21"/>
      <c r="K63" s="263"/>
      <c r="L63" s="113"/>
      <c r="M63" s="113"/>
      <c r="N63" s="113"/>
      <c r="O63" s="113"/>
      <c r="P63" s="140"/>
      <c r="Q63" s="40"/>
      <c r="R63" s="143"/>
      <c r="S63" s="100"/>
    </row>
    <row r="64" spans="1:20">
      <c r="A64" t="s">
        <v>547</v>
      </c>
      <c r="F64" s="106">
        <v>40</v>
      </c>
      <c r="J64" s="21"/>
      <c r="K64" s="263"/>
      <c r="L64" s="113"/>
      <c r="M64" s="113"/>
      <c r="N64" s="113"/>
      <c r="O64" s="113"/>
      <c r="P64" s="140"/>
      <c r="Q64" s="40"/>
      <c r="R64" s="143"/>
      <c r="S64" s="100"/>
      <c r="T64" s="143"/>
    </row>
    <row r="65" spans="1:20">
      <c r="A65" s="7" t="s">
        <v>559</v>
      </c>
      <c r="F65" s="106">
        <v>20</v>
      </c>
      <c r="J65" s="21"/>
      <c r="K65" s="263"/>
      <c r="L65" s="113"/>
      <c r="M65" s="113"/>
      <c r="N65" s="113"/>
      <c r="O65" s="113"/>
      <c r="P65" s="140"/>
      <c r="Q65" s="40"/>
      <c r="R65" s="143"/>
      <c r="S65" s="100"/>
    </row>
    <row r="66" spans="1:20">
      <c r="A66" s="80" t="s">
        <v>95</v>
      </c>
      <c r="F66" s="3"/>
      <c r="J66" s="21"/>
      <c r="K66" s="265"/>
      <c r="L66" s="113"/>
      <c r="M66" s="113"/>
      <c r="N66" s="113"/>
      <c r="O66" s="113"/>
      <c r="P66" s="140"/>
      <c r="Q66" s="40"/>
      <c r="R66" s="143"/>
      <c r="S66" s="100"/>
    </row>
    <row r="67" spans="1:20">
      <c r="A67" s="7" t="s">
        <v>96</v>
      </c>
      <c r="F67" s="3"/>
      <c r="H67" s="207"/>
      <c r="J67" s="109"/>
      <c r="K67" s="265"/>
      <c r="L67" s="113"/>
      <c r="M67" s="113"/>
      <c r="N67" s="113"/>
      <c r="O67" s="113"/>
      <c r="P67" s="140"/>
      <c r="Q67" s="40"/>
      <c r="R67" s="143"/>
      <c r="S67" s="100"/>
    </row>
    <row r="68" spans="1:20">
      <c r="A68" s="7" t="s">
        <v>90</v>
      </c>
      <c r="F68" s="106">
        <v>25</v>
      </c>
      <c r="J68" s="109"/>
      <c r="K68" s="113"/>
      <c r="L68" s="266"/>
      <c r="M68" s="113"/>
      <c r="N68" s="113"/>
      <c r="O68" s="267"/>
      <c r="P68" s="268"/>
      <c r="Q68" s="40"/>
      <c r="R68" s="143"/>
      <c r="S68" s="100"/>
    </row>
    <row r="69" spans="1:20">
      <c r="A69" s="7" t="s">
        <v>97</v>
      </c>
      <c r="F69" s="106">
        <v>25</v>
      </c>
      <c r="H69" s="3"/>
      <c r="I69" s="3"/>
      <c r="K69" s="113"/>
      <c r="L69" s="266"/>
      <c r="M69" s="113"/>
      <c r="N69" s="113"/>
      <c r="O69" s="267"/>
      <c r="P69" s="268"/>
      <c r="Q69" s="40"/>
      <c r="R69" s="143"/>
      <c r="S69" s="100"/>
    </row>
    <row r="70" spans="1:20">
      <c r="A70" s="7" t="s">
        <v>98</v>
      </c>
      <c r="F70" s="106">
        <v>40</v>
      </c>
      <c r="H70" s="3"/>
      <c r="I70" s="3"/>
      <c r="J70" s="109"/>
      <c r="O70" s="100"/>
      <c r="P70" s="143"/>
      <c r="Q70" s="40"/>
      <c r="R70" s="143"/>
      <c r="S70" s="100"/>
    </row>
    <row r="71" spans="1:20">
      <c r="A71" s="7" t="s">
        <v>99</v>
      </c>
      <c r="F71" s="3"/>
      <c r="H71" s="3"/>
      <c r="I71" s="3"/>
      <c r="J71" s="109"/>
      <c r="O71" s="100"/>
      <c r="P71" s="143"/>
      <c r="Q71" s="40"/>
      <c r="R71" s="143"/>
      <c r="S71" s="100"/>
      <c r="T71" s="100"/>
    </row>
    <row r="72" spans="1:20">
      <c r="A72" s="7" t="s">
        <v>510</v>
      </c>
      <c r="F72" s="182">
        <f>16+2/3</f>
        <v>16.666666666666668</v>
      </c>
      <c r="H72" s="3"/>
      <c r="I72" s="3"/>
      <c r="J72" s="109"/>
      <c r="O72" s="100"/>
      <c r="P72" s="143"/>
      <c r="Q72" s="40"/>
      <c r="R72" s="143"/>
      <c r="S72" s="100"/>
    </row>
    <row r="73" spans="1:20">
      <c r="A73" s="7" t="s">
        <v>511</v>
      </c>
      <c r="F73" s="106">
        <v>5</v>
      </c>
      <c r="H73" s="3"/>
      <c r="I73" s="3"/>
      <c r="J73" s="109"/>
      <c r="O73" s="100"/>
      <c r="P73" s="143"/>
      <c r="Q73" s="40"/>
      <c r="R73" s="143"/>
      <c r="S73" s="100"/>
    </row>
    <row r="74" spans="1:20">
      <c r="A74" s="80" t="s">
        <v>100</v>
      </c>
      <c r="F74" s="106">
        <v>5</v>
      </c>
      <c r="L74" s="100"/>
      <c r="O74" s="100"/>
      <c r="P74" s="143"/>
      <c r="Q74" s="40"/>
      <c r="R74" s="143"/>
      <c r="S74" s="100"/>
    </row>
    <row r="75" spans="1:20">
      <c r="A75" s="80" t="s">
        <v>340</v>
      </c>
      <c r="F75" s="106">
        <v>5.6</v>
      </c>
      <c r="L75" s="100"/>
      <c r="O75" s="100"/>
      <c r="P75" s="143"/>
      <c r="Q75" s="40"/>
      <c r="R75" s="143"/>
    </row>
    <row r="76" spans="1:20" ht="15.75">
      <c r="A76" s="216" t="s">
        <v>64</v>
      </c>
      <c r="B76" s="216"/>
      <c r="C76" s="216"/>
      <c r="D76" s="216"/>
      <c r="E76" s="216"/>
      <c r="J76" s="109"/>
      <c r="L76" s="100"/>
      <c r="O76" s="100"/>
      <c r="P76" s="143"/>
      <c r="Q76" s="40"/>
      <c r="R76" s="143"/>
      <c r="S76" s="100"/>
    </row>
    <row r="77" spans="1:20">
      <c r="A77" s="10"/>
      <c r="B77" s="10"/>
      <c r="C77" s="10"/>
      <c r="D77" s="72" t="s">
        <v>43</v>
      </c>
      <c r="E77" s="73"/>
      <c r="F77" s="10"/>
      <c r="G77" s="10"/>
      <c r="H77" s="10"/>
      <c r="I77" s="72" t="s">
        <v>43</v>
      </c>
      <c r="J77" s="73"/>
      <c r="L77" s="100"/>
      <c r="O77" s="100"/>
      <c r="P77" s="143"/>
      <c r="Q77" s="40"/>
      <c r="R77" s="143"/>
      <c r="S77" s="100"/>
    </row>
    <row r="78" spans="1:20">
      <c r="A78" s="74" t="s">
        <v>65</v>
      </c>
      <c r="B78" s="61"/>
      <c r="C78" s="61"/>
      <c r="D78" s="75" t="s">
        <v>66</v>
      </c>
      <c r="E78" s="61" t="s">
        <v>45</v>
      </c>
      <c r="F78" s="74" t="s">
        <v>65</v>
      </c>
      <c r="G78" s="61"/>
      <c r="H78" s="61"/>
      <c r="I78" s="75" t="s">
        <v>66</v>
      </c>
      <c r="J78" s="61" t="s">
        <v>45</v>
      </c>
      <c r="L78" s="102"/>
      <c r="O78" s="100"/>
      <c r="P78" s="143"/>
      <c r="Q78" s="40"/>
      <c r="R78" s="143"/>
      <c r="S78" s="100"/>
    </row>
    <row r="79" spans="1:20">
      <c r="A79" s="5" t="s">
        <v>67</v>
      </c>
      <c r="B79" s="5"/>
      <c r="C79" s="5"/>
      <c r="E79" s="76"/>
      <c r="F79" s="5" t="s">
        <v>329</v>
      </c>
      <c r="L79" s="100"/>
      <c r="O79" s="100"/>
      <c r="P79" s="143"/>
      <c r="Q79" s="40"/>
      <c r="R79" s="143"/>
      <c r="S79" s="100"/>
    </row>
    <row r="80" spans="1:20">
      <c r="A80" s="7" t="s">
        <v>68</v>
      </c>
      <c r="B80" s="7"/>
      <c r="C80" s="7"/>
      <c r="D80" s="14"/>
      <c r="E80" s="76"/>
      <c r="F80" s="7" t="s">
        <v>315</v>
      </c>
      <c r="G80" s="7"/>
      <c r="H80" s="7"/>
      <c r="I80" s="10"/>
      <c r="J80" s="76"/>
      <c r="L80" s="100"/>
      <c r="O80" s="100"/>
      <c r="Q80" s="40"/>
      <c r="S80" s="100"/>
    </row>
    <row r="81" spans="1:19">
      <c r="A81" s="7" t="s">
        <v>69</v>
      </c>
      <c r="B81" s="7"/>
      <c r="C81" s="7"/>
      <c r="D81" s="107">
        <v>14400</v>
      </c>
      <c r="E81" s="104">
        <v>0.4</v>
      </c>
      <c r="F81" s="7" t="s">
        <v>77</v>
      </c>
      <c r="G81" s="7"/>
      <c r="H81" s="7"/>
      <c r="I81" s="10"/>
      <c r="J81" s="76"/>
      <c r="L81" s="100"/>
      <c r="O81" s="100"/>
      <c r="P81" s="143"/>
      <c r="Q81" s="40"/>
      <c r="R81" s="143"/>
      <c r="S81" s="100"/>
    </row>
    <row r="82" spans="1:19">
      <c r="A82" s="7" t="s">
        <v>71</v>
      </c>
      <c r="B82" s="7"/>
      <c r="C82" s="7"/>
      <c r="D82" s="89">
        <v>3.6</v>
      </c>
      <c r="E82" s="104">
        <v>0.6</v>
      </c>
      <c r="F82" s="7" t="s">
        <v>252</v>
      </c>
      <c r="G82" s="7"/>
      <c r="H82" s="7"/>
      <c r="I82" s="176">
        <v>40</v>
      </c>
      <c r="J82" s="177">
        <v>0.3</v>
      </c>
      <c r="L82" s="100"/>
      <c r="O82" s="100"/>
      <c r="P82" s="143"/>
      <c r="Q82" s="40"/>
      <c r="R82" s="143"/>
      <c r="S82" s="100"/>
    </row>
    <row r="83" spans="1:19">
      <c r="A83" s="7" t="s">
        <v>72</v>
      </c>
      <c r="B83" s="7"/>
      <c r="C83" s="7"/>
      <c r="D83" s="107">
        <v>900</v>
      </c>
      <c r="E83" s="104">
        <v>0.5</v>
      </c>
      <c r="F83" s="7" t="s">
        <v>69</v>
      </c>
      <c r="G83" s="7"/>
      <c r="H83" s="7"/>
      <c r="I83" s="108">
        <v>36000</v>
      </c>
      <c r="J83" s="104">
        <v>0.7</v>
      </c>
      <c r="L83" s="100"/>
      <c r="O83" s="100"/>
      <c r="P83" s="143"/>
      <c r="Q83" s="40"/>
      <c r="R83" s="143"/>
      <c r="S83" s="100"/>
    </row>
    <row r="84" spans="1:19">
      <c r="A84" s="5" t="s">
        <v>73</v>
      </c>
      <c r="B84" s="5"/>
      <c r="C84" s="5"/>
      <c r="D84" s="78"/>
      <c r="E84" s="76"/>
      <c r="F84" s="7" t="s">
        <v>71</v>
      </c>
      <c r="G84" s="7"/>
      <c r="H84" s="7"/>
      <c r="I84" s="139">
        <v>4</v>
      </c>
      <c r="J84" s="104">
        <v>0.8</v>
      </c>
      <c r="L84" s="100"/>
      <c r="O84" s="100"/>
      <c r="P84" s="143"/>
      <c r="Q84" s="40"/>
      <c r="R84" s="143"/>
      <c r="S84" s="100"/>
    </row>
    <row r="85" spans="1:19">
      <c r="A85" s="7" t="s">
        <v>246</v>
      </c>
      <c r="B85" s="7"/>
      <c r="C85" s="7"/>
      <c r="D85" s="78"/>
      <c r="E85" s="76"/>
      <c r="F85" s="7" t="s">
        <v>72</v>
      </c>
      <c r="G85" s="7"/>
      <c r="H85" s="7"/>
      <c r="I85" s="108">
        <v>600</v>
      </c>
      <c r="J85" s="104">
        <v>0.8</v>
      </c>
      <c r="L85" s="100"/>
      <c r="O85" s="100"/>
      <c r="P85" s="143"/>
      <c r="Q85" s="40"/>
      <c r="R85" s="143"/>
      <c r="S85" s="100"/>
    </row>
    <row r="86" spans="1:19">
      <c r="A86" s="7" t="s">
        <v>75</v>
      </c>
      <c r="B86" s="7"/>
      <c r="C86" s="7"/>
      <c r="D86" s="78"/>
      <c r="E86" s="76"/>
      <c r="F86" s="7" t="s">
        <v>80</v>
      </c>
      <c r="G86" s="7"/>
      <c r="H86" s="7"/>
      <c r="I86" s="10"/>
      <c r="J86" s="76"/>
      <c r="L86" s="100"/>
      <c r="O86" s="100"/>
      <c r="P86" s="143"/>
      <c r="Q86" s="40"/>
      <c r="R86" s="143"/>
      <c r="S86" s="100"/>
    </row>
    <row r="87" spans="1:19">
      <c r="A87" s="7" t="s">
        <v>76</v>
      </c>
      <c r="B87" s="7"/>
      <c r="C87" s="7"/>
      <c r="D87" s="78"/>
      <c r="E87" s="76"/>
      <c r="F87" s="7" t="s">
        <v>77</v>
      </c>
      <c r="G87" s="7"/>
      <c r="H87" s="7"/>
      <c r="I87" s="10"/>
      <c r="J87" s="76"/>
      <c r="L87" s="100"/>
      <c r="O87" s="100"/>
      <c r="P87" s="143"/>
      <c r="Q87" s="40"/>
      <c r="R87" s="143"/>
      <c r="S87" s="100"/>
    </row>
    <row r="88" spans="1:19">
      <c r="A88" s="7" t="s">
        <v>69</v>
      </c>
      <c r="B88" s="7"/>
      <c r="C88" s="7"/>
      <c r="D88" s="108">
        <v>14400</v>
      </c>
      <c r="E88" s="104">
        <v>0.5</v>
      </c>
      <c r="F88" s="7" t="s">
        <v>69</v>
      </c>
      <c r="G88" s="7"/>
      <c r="H88" s="7"/>
      <c r="I88" s="108">
        <v>36000</v>
      </c>
      <c r="J88" s="104">
        <v>0.7</v>
      </c>
      <c r="L88" s="100"/>
      <c r="O88" s="100"/>
      <c r="Q88" s="40"/>
      <c r="S88" s="100"/>
    </row>
    <row r="89" spans="1:19">
      <c r="A89" s="7" t="s">
        <v>71</v>
      </c>
      <c r="B89" s="7"/>
      <c r="C89" s="7"/>
      <c r="D89" s="139">
        <v>2</v>
      </c>
      <c r="E89" s="104">
        <v>0.7</v>
      </c>
      <c r="F89" s="7" t="s">
        <v>71</v>
      </c>
      <c r="G89" s="7"/>
      <c r="H89" s="7"/>
      <c r="I89" s="139">
        <v>4</v>
      </c>
      <c r="J89" s="104">
        <v>0.8</v>
      </c>
      <c r="L89" s="100"/>
      <c r="O89" s="100"/>
      <c r="Q89" s="40"/>
      <c r="S89" s="100"/>
    </row>
    <row r="90" spans="1:19">
      <c r="A90" s="7" t="s">
        <v>72</v>
      </c>
      <c r="B90" s="7"/>
      <c r="C90" s="7"/>
      <c r="D90" s="108">
        <v>600</v>
      </c>
      <c r="E90" s="104">
        <v>0.6</v>
      </c>
      <c r="F90" s="7" t="s">
        <v>72</v>
      </c>
      <c r="G90" s="7"/>
      <c r="H90" s="7"/>
      <c r="I90" s="108">
        <v>600</v>
      </c>
      <c r="J90" s="104">
        <v>0.8</v>
      </c>
      <c r="L90" s="100"/>
      <c r="O90" s="100"/>
    </row>
    <row r="91" spans="1:19">
      <c r="A91" s="7" t="s">
        <v>78</v>
      </c>
      <c r="B91" s="7"/>
      <c r="C91" s="7"/>
      <c r="D91" s="78"/>
      <c r="E91" s="76"/>
      <c r="F91" s="7" t="s">
        <v>247</v>
      </c>
      <c r="G91" s="7"/>
      <c r="H91" s="7"/>
      <c r="I91" s="10"/>
      <c r="J91" s="76"/>
      <c r="L91" s="100"/>
    </row>
    <row r="92" spans="1:19">
      <c r="A92" s="7" t="s">
        <v>79</v>
      </c>
      <c r="B92" s="7"/>
      <c r="C92" s="7"/>
      <c r="D92" s="78"/>
      <c r="E92" s="76"/>
      <c r="F92" s="7" t="s">
        <v>77</v>
      </c>
      <c r="G92" s="7"/>
      <c r="H92" s="7"/>
      <c r="I92" s="10"/>
      <c r="J92" s="76"/>
      <c r="L92" s="100"/>
    </row>
    <row r="93" spans="1:19">
      <c r="A93" s="7" t="s">
        <v>69</v>
      </c>
      <c r="B93" s="7"/>
      <c r="C93" s="7"/>
      <c r="D93" s="108">
        <v>14400</v>
      </c>
      <c r="E93" s="104">
        <v>0.5</v>
      </c>
      <c r="F93" s="7" t="s">
        <v>69</v>
      </c>
      <c r="G93" s="7"/>
      <c r="H93" s="7"/>
      <c r="I93" s="108">
        <v>21600</v>
      </c>
      <c r="J93" s="104">
        <v>0.5</v>
      </c>
      <c r="L93" s="100"/>
    </row>
    <row r="94" spans="1:19">
      <c r="A94" s="7" t="s">
        <v>71</v>
      </c>
      <c r="B94" s="7"/>
      <c r="C94" s="7"/>
      <c r="D94" s="139">
        <v>2</v>
      </c>
      <c r="E94" s="104">
        <v>0.7</v>
      </c>
      <c r="F94" s="7" t="s">
        <v>71</v>
      </c>
      <c r="G94" s="7"/>
      <c r="H94" s="7"/>
      <c r="I94" s="139">
        <v>3</v>
      </c>
      <c r="J94" s="104">
        <v>0.7</v>
      </c>
      <c r="L94" s="100"/>
    </row>
    <row r="95" spans="1:19">
      <c r="A95" s="7" t="s">
        <v>72</v>
      </c>
      <c r="B95" s="7"/>
      <c r="C95" s="7"/>
      <c r="D95" s="108">
        <v>600</v>
      </c>
      <c r="E95" s="104">
        <v>0.6</v>
      </c>
      <c r="F95" s="7" t="s">
        <v>72</v>
      </c>
      <c r="G95" s="7"/>
      <c r="H95" s="7"/>
      <c r="I95" s="108">
        <v>600</v>
      </c>
      <c r="J95" s="104">
        <v>0.6</v>
      </c>
      <c r="L95" s="100"/>
    </row>
    <row r="96" spans="1:19">
      <c r="A96" s="7" t="s">
        <v>81</v>
      </c>
      <c r="B96" s="7"/>
      <c r="C96" s="7"/>
      <c r="D96" s="78"/>
      <c r="E96" s="76"/>
      <c r="F96" s="7" t="s">
        <v>82</v>
      </c>
      <c r="G96" s="7"/>
      <c r="H96" s="7"/>
      <c r="I96" s="10"/>
      <c r="J96" s="76"/>
      <c r="L96" s="100"/>
    </row>
    <row r="97" spans="1:12">
      <c r="A97" s="7" t="s">
        <v>75</v>
      </c>
      <c r="B97" s="7"/>
      <c r="C97" s="7"/>
      <c r="D97" s="225"/>
      <c r="E97" s="76"/>
      <c r="F97" s="7" t="s">
        <v>77</v>
      </c>
      <c r="G97" s="7"/>
      <c r="H97" s="7"/>
      <c r="I97" s="10"/>
      <c r="J97" s="76"/>
      <c r="L97" s="100"/>
    </row>
    <row r="98" spans="1:12">
      <c r="A98" s="7" t="s">
        <v>70</v>
      </c>
      <c r="B98" s="7"/>
      <c r="C98" s="7"/>
      <c r="D98" s="78"/>
      <c r="E98" s="76"/>
      <c r="F98" s="7" t="s">
        <v>69</v>
      </c>
      <c r="G98" s="7"/>
      <c r="H98" s="7"/>
      <c r="I98" s="108">
        <v>36000</v>
      </c>
      <c r="J98" s="104">
        <v>0.5</v>
      </c>
      <c r="L98" s="100"/>
    </row>
    <row r="99" spans="1:12" ht="14.25">
      <c r="A99" s="321" t="s">
        <v>913</v>
      </c>
      <c r="B99" s="7"/>
      <c r="C99" s="7"/>
      <c r="D99" s="404">
        <f>E14/E11</f>
        <v>0.28127792478399444</v>
      </c>
      <c r="E99" s="104"/>
      <c r="F99" s="7" t="s">
        <v>71</v>
      </c>
      <c r="G99" s="7"/>
      <c r="H99" s="7"/>
      <c r="I99" s="139">
        <v>5</v>
      </c>
      <c r="J99" s="104">
        <v>0.7</v>
      </c>
      <c r="L99" s="100"/>
    </row>
    <row r="100" spans="1:12">
      <c r="A100" s="7" t="s">
        <v>69</v>
      </c>
      <c r="B100" s="7"/>
      <c r="C100" s="7"/>
      <c r="D100" s="224">
        <v>28800</v>
      </c>
      <c r="E100" s="104">
        <v>0.5</v>
      </c>
      <c r="F100" s="7" t="s">
        <v>72</v>
      </c>
      <c r="G100" s="7"/>
      <c r="H100" s="7"/>
      <c r="I100" s="108">
        <v>900</v>
      </c>
      <c r="J100" s="104">
        <v>0.6</v>
      </c>
      <c r="L100" s="100"/>
    </row>
    <row r="101" spans="1:12">
      <c r="A101" s="7" t="s">
        <v>71</v>
      </c>
      <c r="B101" s="7"/>
      <c r="C101" s="7"/>
      <c r="D101" s="139">
        <v>8</v>
      </c>
      <c r="E101" s="104">
        <v>0.8</v>
      </c>
      <c r="F101" s="7" t="s">
        <v>341</v>
      </c>
      <c r="L101" s="100"/>
    </row>
    <row r="102" spans="1:12">
      <c r="A102" s="7" t="s">
        <v>72</v>
      </c>
      <c r="B102" s="7"/>
      <c r="C102" s="7"/>
      <c r="D102" s="108">
        <v>750</v>
      </c>
      <c r="E102" s="104">
        <v>0.8</v>
      </c>
      <c r="F102" s="7" t="s">
        <v>330</v>
      </c>
      <c r="L102" s="100"/>
    </row>
    <row r="103" spans="1:12">
      <c r="A103" s="7" t="s">
        <v>78</v>
      </c>
      <c r="B103" s="7"/>
      <c r="C103" s="207"/>
      <c r="E103" s="225"/>
      <c r="F103" s="7" t="s">
        <v>69</v>
      </c>
      <c r="G103" s="7"/>
      <c r="H103" s="7"/>
      <c r="I103" s="108">
        <v>14400</v>
      </c>
      <c r="J103" s="104">
        <v>0.4</v>
      </c>
      <c r="L103" s="100"/>
    </row>
    <row r="104" spans="1:12">
      <c r="A104" s="7" t="s">
        <v>70</v>
      </c>
      <c r="B104" s="7"/>
      <c r="C104" s="7"/>
      <c r="D104" s="78"/>
      <c r="E104" s="76"/>
      <c r="F104" s="7" t="s">
        <v>71</v>
      </c>
      <c r="G104" s="7"/>
      <c r="H104" s="7"/>
      <c r="I104" s="139">
        <v>20</v>
      </c>
      <c r="J104" s="104">
        <v>0.6</v>
      </c>
    </row>
    <row r="105" spans="1:12" ht="14.25">
      <c r="A105" s="321" t="s">
        <v>913</v>
      </c>
      <c r="B105" s="7"/>
      <c r="C105" s="7"/>
      <c r="D105" s="404">
        <f>E15/E11</f>
        <v>0.18602721768598535</v>
      </c>
      <c r="E105" s="104"/>
      <c r="F105" s="7" t="s">
        <v>72</v>
      </c>
      <c r="G105" s="7"/>
      <c r="H105" s="7"/>
      <c r="I105" s="108">
        <v>100</v>
      </c>
      <c r="J105" s="104">
        <v>0.4</v>
      </c>
    </row>
    <row r="106" spans="1:12">
      <c r="A106" s="7" t="s">
        <v>69</v>
      </c>
      <c r="B106" s="7"/>
      <c r="C106" s="7"/>
      <c r="D106" s="224">
        <v>28800</v>
      </c>
      <c r="E106" s="104">
        <v>0.5</v>
      </c>
      <c r="F106" s="5" t="s">
        <v>83</v>
      </c>
      <c r="G106" s="5"/>
      <c r="H106" s="5"/>
      <c r="I106" s="10"/>
      <c r="J106" s="76"/>
    </row>
    <row r="107" spans="1:12">
      <c r="A107" s="7" t="s">
        <v>71</v>
      </c>
      <c r="B107" s="7"/>
      <c r="C107" s="7"/>
      <c r="D107" s="139">
        <v>8</v>
      </c>
      <c r="E107" s="104">
        <v>0.8</v>
      </c>
      <c r="F107" s="7" t="s">
        <v>77</v>
      </c>
      <c r="G107" s="7"/>
      <c r="H107" s="7"/>
      <c r="I107" s="10"/>
      <c r="J107" s="76"/>
    </row>
    <row r="108" spans="1:12">
      <c r="A108" s="7" t="s">
        <v>72</v>
      </c>
      <c r="B108" s="7"/>
      <c r="C108" s="7"/>
      <c r="D108" s="108">
        <v>750</v>
      </c>
      <c r="E108" s="104">
        <v>0.8</v>
      </c>
      <c r="F108" s="7" t="s">
        <v>252</v>
      </c>
      <c r="G108" s="7"/>
      <c r="H108" s="7"/>
      <c r="I108" s="176">
        <v>40</v>
      </c>
      <c r="J108" s="177">
        <v>0.3</v>
      </c>
    </row>
    <row r="109" spans="1:12">
      <c r="A109" s="7" t="s">
        <v>308</v>
      </c>
      <c r="B109" s="7"/>
      <c r="C109" s="7"/>
      <c r="D109" s="78"/>
      <c r="E109" s="225"/>
      <c r="F109" s="7" t="s">
        <v>69</v>
      </c>
      <c r="G109" s="7"/>
      <c r="H109" s="7"/>
      <c r="I109" s="108">
        <v>57600</v>
      </c>
      <c r="J109" s="104">
        <v>0.7</v>
      </c>
    </row>
    <row r="110" spans="1:12">
      <c r="A110" s="7" t="s">
        <v>258</v>
      </c>
      <c r="B110" s="7"/>
      <c r="C110" s="7"/>
      <c r="D110" s="178"/>
      <c r="E110" s="109"/>
      <c r="F110" s="7" t="s">
        <v>71</v>
      </c>
      <c r="G110" s="7"/>
      <c r="H110" s="7"/>
      <c r="I110" s="139">
        <v>30</v>
      </c>
      <c r="J110" s="104">
        <v>0.8</v>
      </c>
    </row>
    <row r="111" spans="1:12">
      <c r="A111" s="7" t="s">
        <v>69</v>
      </c>
      <c r="B111" s="7"/>
      <c r="C111" s="7"/>
      <c r="D111" s="108">
        <v>14400</v>
      </c>
      <c r="E111" s="200">
        <v>0.4</v>
      </c>
      <c r="F111" s="7" t="s">
        <v>72</v>
      </c>
      <c r="G111" s="7"/>
      <c r="H111" s="7"/>
      <c r="I111" s="108">
        <v>2200</v>
      </c>
      <c r="J111" s="104">
        <v>0.8</v>
      </c>
    </row>
    <row r="112" spans="1:12">
      <c r="A112" s="7" t="s">
        <v>71</v>
      </c>
      <c r="B112" s="7"/>
      <c r="C112" s="7"/>
      <c r="D112" s="139">
        <v>3</v>
      </c>
      <c r="E112" s="200">
        <v>0.6</v>
      </c>
      <c r="F112" s="5" t="s">
        <v>331</v>
      </c>
      <c r="G112" s="5"/>
      <c r="H112" s="5"/>
      <c r="I112" s="10"/>
      <c r="J112" s="77"/>
    </row>
    <row r="113" spans="1:10">
      <c r="A113" s="7" t="s">
        <v>72</v>
      </c>
      <c r="B113" s="7"/>
      <c r="C113" s="7"/>
      <c r="D113" s="108">
        <v>225</v>
      </c>
      <c r="E113" s="200">
        <v>0.6</v>
      </c>
      <c r="F113" s="7" t="s">
        <v>77</v>
      </c>
      <c r="G113" s="7"/>
      <c r="H113" s="7"/>
      <c r="I113" s="10"/>
      <c r="J113" s="77"/>
    </row>
    <row r="114" spans="1:10">
      <c r="A114" s="7" t="s">
        <v>244</v>
      </c>
      <c r="B114" s="7"/>
      <c r="C114" s="7"/>
      <c r="D114" s="78"/>
      <c r="E114" s="76"/>
      <c r="F114" s="7" t="s">
        <v>69</v>
      </c>
      <c r="G114" s="7"/>
      <c r="H114" s="7"/>
      <c r="I114" s="108">
        <v>14400</v>
      </c>
      <c r="J114" s="104">
        <v>0.5</v>
      </c>
    </row>
    <row r="115" spans="1:10">
      <c r="A115" s="7" t="s">
        <v>75</v>
      </c>
      <c r="B115" s="7"/>
      <c r="C115" s="7"/>
      <c r="D115" s="78"/>
      <c r="E115" s="76"/>
      <c r="F115" s="7" t="s">
        <v>71</v>
      </c>
      <c r="G115" s="7"/>
      <c r="H115" s="7"/>
      <c r="I115" s="139">
        <v>2</v>
      </c>
      <c r="J115" s="104">
        <v>0.7</v>
      </c>
    </row>
    <row r="116" spans="1:10">
      <c r="A116" s="7" t="s">
        <v>70</v>
      </c>
      <c r="B116" s="7"/>
      <c r="C116" s="7"/>
      <c r="D116" s="78"/>
      <c r="E116" s="76"/>
      <c r="F116" s="7" t="s">
        <v>72</v>
      </c>
      <c r="G116" s="7"/>
      <c r="H116" s="7"/>
      <c r="I116" s="108">
        <v>450</v>
      </c>
      <c r="J116" s="104">
        <v>0.6</v>
      </c>
    </row>
    <row r="117" spans="1:10">
      <c r="A117" s="7" t="s">
        <v>69</v>
      </c>
      <c r="B117" s="7"/>
      <c r="C117" s="7"/>
      <c r="D117" s="108">
        <v>14400</v>
      </c>
      <c r="E117" s="104">
        <v>0.5</v>
      </c>
      <c r="F117" s="5" t="s">
        <v>332</v>
      </c>
      <c r="G117" s="5"/>
      <c r="H117" s="5"/>
      <c r="I117" s="10"/>
      <c r="J117" s="77"/>
    </row>
    <row r="118" spans="1:10" ht="12.75" customHeight="1">
      <c r="A118" s="7" t="s">
        <v>71</v>
      </c>
      <c r="B118" s="7"/>
      <c r="C118" s="7"/>
      <c r="D118" s="139">
        <v>1</v>
      </c>
      <c r="E118" s="104">
        <v>0.7</v>
      </c>
      <c r="F118" s="7" t="s">
        <v>77</v>
      </c>
      <c r="G118" s="7"/>
      <c r="H118" s="7"/>
      <c r="I118" s="10"/>
      <c r="J118" s="77"/>
    </row>
    <row r="119" spans="1:10" ht="12.75" customHeight="1">
      <c r="A119" s="7" t="s">
        <v>72</v>
      </c>
      <c r="B119" s="7"/>
      <c r="C119" s="7"/>
      <c r="D119" s="108">
        <v>225</v>
      </c>
      <c r="E119" s="104">
        <v>0.6</v>
      </c>
      <c r="F119" s="7" t="s">
        <v>69</v>
      </c>
      <c r="G119" s="7"/>
      <c r="H119" s="7"/>
      <c r="I119" s="108">
        <v>21600</v>
      </c>
      <c r="J119" s="104">
        <v>0.4</v>
      </c>
    </row>
    <row r="120" spans="1:10" ht="12.75" customHeight="1">
      <c r="A120" s="7" t="s">
        <v>78</v>
      </c>
      <c r="B120" s="7"/>
      <c r="C120" s="7"/>
      <c r="D120" s="76"/>
      <c r="E120" s="21"/>
      <c r="F120" s="7" t="s">
        <v>71</v>
      </c>
      <c r="G120" s="7"/>
      <c r="H120" s="7"/>
      <c r="I120" s="201">
        <v>4.75</v>
      </c>
      <c r="J120" s="104">
        <v>0.7</v>
      </c>
    </row>
    <row r="121" spans="1:10">
      <c r="A121" s="7" t="s">
        <v>70</v>
      </c>
      <c r="B121" s="7"/>
      <c r="C121" s="7"/>
      <c r="D121" s="76"/>
      <c r="E121" s="21"/>
      <c r="F121" s="7" t="s">
        <v>72</v>
      </c>
      <c r="G121" s="7"/>
      <c r="H121" s="7"/>
      <c r="I121" s="108">
        <v>900</v>
      </c>
      <c r="J121" s="104">
        <v>0.6</v>
      </c>
    </row>
    <row r="122" spans="1:10">
      <c r="A122" s="7" t="s">
        <v>69</v>
      </c>
      <c r="B122" s="7"/>
      <c r="C122" s="7"/>
      <c r="D122" s="108">
        <v>7200</v>
      </c>
      <c r="E122" s="104">
        <v>0.5</v>
      </c>
      <c r="F122" s="5" t="s">
        <v>84</v>
      </c>
      <c r="G122" s="5"/>
      <c r="H122" s="5"/>
      <c r="I122" s="10"/>
      <c r="J122" s="77"/>
    </row>
    <row r="123" spans="1:10">
      <c r="A123" s="7" t="s">
        <v>71</v>
      </c>
      <c r="B123" s="7"/>
      <c r="C123" s="7"/>
      <c r="D123" s="139">
        <v>1</v>
      </c>
      <c r="E123" s="104">
        <v>0.7</v>
      </c>
      <c r="F123" s="7" t="s">
        <v>77</v>
      </c>
      <c r="G123" s="7"/>
      <c r="H123" s="7"/>
      <c r="I123" s="10"/>
      <c r="J123" s="77"/>
    </row>
    <row r="124" spans="1:10">
      <c r="A124" s="7" t="s">
        <v>72</v>
      </c>
      <c r="B124" s="7"/>
      <c r="C124" s="7"/>
      <c r="D124" s="108">
        <v>225</v>
      </c>
      <c r="E124" s="104">
        <v>0.6</v>
      </c>
      <c r="F124" s="7" t="s">
        <v>69</v>
      </c>
      <c r="G124" s="7"/>
      <c r="H124" s="7"/>
      <c r="I124" s="108">
        <v>43200</v>
      </c>
      <c r="J124" s="104">
        <v>0.5</v>
      </c>
    </row>
    <row r="125" spans="1:10">
      <c r="A125" s="5" t="s">
        <v>333</v>
      </c>
      <c r="B125" s="5"/>
      <c r="C125" s="5"/>
      <c r="D125" s="10"/>
      <c r="E125" s="77"/>
      <c r="F125" s="7" t="s">
        <v>71</v>
      </c>
      <c r="G125" s="7"/>
      <c r="H125" s="7"/>
      <c r="I125" s="139">
        <v>6</v>
      </c>
      <c r="J125" s="104">
        <v>0.7</v>
      </c>
    </row>
    <row r="126" spans="1:10">
      <c r="A126" s="7" t="s">
        <v>70</v>
      </c>
      <c r="B126" s="7"/>
      <c r="C126" s="7"/>
      <c r="D126" s="10"/>
      <c r="E126" s="77"/>
      <c r="F126" s="7" t="s">
        <v>72</v>
      </c>
      <c r="G126" s="7"/>
      <c r="H126" s="7"/>
      <c r="I126" s="108">
        <v>600</v>
      </c>
      <c r="J126" s="104">
        <v>0.6</v>
      </c>
    </row>
    <row r="127" spans="1:10">
      <c r="A127" s="7" t="s">
        <v>69</v>
      </c>
      <c r="B127" s="7"/>
      <c r="C127" s="7"/>
      <c r="D127" s="108">
        <v>28800</v>
      </c>
      <c r="E127" s="104">
        <v>0.7</v>
      </c>
      <c r="F127" s="5" t="s">
        <v>248</v>
      </c>
      <c r="G127" s="5"/>
      <c r="H127" s="5"/>
      <c r="I127" s="10"/>
      <c r="J127" s="77"/>
    </row>
    <row r="128" spans="1:10">
      <c r="A128" s="7" t="s">
        <v>71</v>
      </c>
      <c r="B128" s="7"/>
      <c r="C128" s="7"/>
      <c r="D128" s="139">
        <v>1.5</v>
      </c>
      <c r="E128" s="104">
        <v>0.7</v>
      </c>
      <c r="F128" s="7" t="s">
        <v>77</v>
      </c>
      <c r="G128" s="7"/>
      <c r="H128" s="7"/>
      <c r="I128" s="10"/>
      <c r="J128" s="77"/>
    </row>
    <row r="129" spans="1:12">
      <c r="A129" s="7" t="s">
        <v>72</v>
      </c>
      <c r="B129" s="7"/>
      <c r="C129" s="7"/>
      <c r="D129" s="108">
        <v>900</v>
      </c>
      <c r="E129" s="104">
        <v>0.6</v>
      </c>
      <c r="F129" s="7" t="s">
        <v>384</v>
      </c>
      <c r="G129" s="7"/>
      <c r="H129" s="7"/>
      <c r="I129" s="176">
        <v>4</v>
      </c>
      <c r="J129" s="104">
        <v>0.3</v>
      </c>
    </row>
    <row r="130" spans="1:12">
      <c r="A130" s="5" t="s">
        <v>334</v>
      </c>
      <c r="B130" s="7"/>
      <c r="C130" s="7"/>
      <c r="D130" s="10"/>
      <c r="E130" s="76"/>
      <c r="F130" s="7" t="s">
        <v>69</v>
      </c>
      <c r="G130" s="7"/>
      <c r="H130" s="7"/>
      <c r="I130" s="108">
        <v>43200</v>
      </c>
      <c r="J130" s="104">
        <v>0.5</v>
      </c>
    </row>
    <row r="131" spans="1:12">
      <c r="A131" s="7" t="s">
        <v>70</v>
      </c>
      <c r="B131" s="7"/>
      <c r="C131" s="7"/>
      <c r="D131" s="10"/>
      <c r="E131" s="76"/>
      <c r="F131" s="7" t="s">
        <v>71</v>
      </c>
      <c r="G131" s="7"/>
      <c r="H131" s="7"/>
      <c r="I131" s="139">
        <v>6</v>
      </c>
      <c r="J131" s="104">
        <v>0.7</v>
      </c>
    </row>
    <row r="132" spans="1:12">
      <c r="A132" s="7" t="s">
        <v>69</v>
      </c>
      <c r="B132" s="7"/>
      <c r="C132" s="7"/>
      <c r="D132" s="108">
        <v>28800</v>
      </c>
      <c r="E132" s="104">
        <v>0.5</v>
      </c>
      <c r="F132" s="7" t="s">
        <v>72</v>
      </c>
      <c r="G132" s="7"/>
      <c r="H132" s="7"/>
      <c r="I132" s="108">
        <v>900</v>
      </c>
      <c r="J132" s="104">
        <v>0.6</v>
      </c>
    </row>
    <row r="133" spans="1:12">
      <c r="A133" s="7" t="s">
        <v>71</v>
      </c>
      <c r="B133" s="7"/>
      <c r="C133" s="7"/>
      <c r="D133" s="139">
        <v>2</v>
      </c>
      <c r="E133" s="104">
        <v>0.7</v>
      </c>
      <c r="F133" s="5" t="s">
        <v>85</v>
      </c>
      <c r="G133" s="5"/>
      <c r="H133" s="5"/>
      <c r="I133" s="76"/>
      <c r="J133" s="21"/>
    </row>
    <row r="134" spans="1:12">
      <c r="A134" s="7" t="s">
        <v>72</v>
      </c>
      <c r="B134" s="7"/>
      <c r="C134" s="7"/>
      <c r="D134" s="108">
        <v>300</v>
      </c>
      <c r="E134" s="104">
        <v>0.6</v>
      </c>
      <c r="F134" s="7" t="s">
        <v>77</v>
      </c>
      <c r="G134" s="7"/>
      <c r="H134" s="7"/>
      <c r="I134" s="76"/>
      <c r="J134" s="21"/>
    </row>
    <row r="135" spans="1:12">
      <c r="A135" s="5" t="s">
        <v>335</v>
      </c>
      <c r="F135" s="7" t="s">
        <v>69</v>
      </c>
      <c r="G135" s="7"/>
      <c r="H135" s="7"/>
      <c r="I135" s="108">
        <v>36000</v>
      </c>
      <c r="J135" s="104">
        <v>0.7</v>
      </c>
    </row>
    <row r="136" spans="1:12">
      <c r="A136" s="7" t="s">
        <v>70</v>
      </c>
      <c r="B136" s="7"/>
      <c r="C136" s="7"/>
      <c r="F136" s="7" t="s">
        <v>71</v>
      </c>
      <c r="G136" s="7"/>
      <c r="H136" s="7"/>
      <c r="I136" s="139">
        <v>2.5</v>
      </c>
      <c r="J136" s="104">
        <v>0.7</v>
      </c>
    </row>
    <row r="137" spans="1:12">
      <c r="A137" s="7" t="s">
        <v>69</v>
      </c>
      <c r="B137" s="7"/>
      <c r="C137" s="7"/>
      <c r="D137" s="108">
        <v>14400</v>
      </c>
      <c r="E137" s="104">
        <v>0.5</v>
      </c>
      <c r="F137" s="7" t="s">
        <v>72</v>
      </c>
      <c r="G137" s="7"/>
      <c r="H137" s="7"/>
      <c r="I137" s="108">
        <v>600</v>
      </c>
      <c r="J137" s="104">
        <v>0.6</v>
      </c>
    </row>
    <row r="138" spans="1:12">
      <c r="A138" s="7" t="s">
        <v>71</v>
      </c>
      <c r="B138" s="7"/>
      <c r="C138" s="7"/>
      <c r="D138" s="139">
        <v>1.6</v>
      </c>
      <c r="E138" s="104">
        <v>0.7</v>
      </c>
      <c r="F138" s="5" t="s">
        <v>86</v>
      </c>
      <c r="G138" s="5"/>
      <c r="H138" s="5"/>
      <c r="I138" s="76"/>
      <c r="J138" s="21"/>
    </row>
    <row r="139" spans="1:12">
      <c r="A139" s="7" t="s">
        <v>72</v>
      </c>
      <c r="B139" s="7"/>
      <c r="C139" s="7"/>
      <c r="D139" s="108">
        <v>300</v>
      </c>
      <c r="E139" s="104">
        <v>0.6</v>
      </c>
      <c r="F139" s="7" t="s">
        <v>68</v>
      </c>
      <c r="G139" s="7"/>
      <c r="H139" s="7"/>
      <c r="I139" s="76"/>
      <c r="J139" s="21"/>
    </row>
    <row r="140" spans="1:12">
      <c r="A140" s="5" t="s">
        <v>336</v>
      </c>
      <c r="F140" s="7" t="s">
        <v>69</v>
      </c>
      <c r="G140" s="7"/>
      <c r="H140" s="7"/>
      <c r="I140" s="108">
        <v>28800</v>
      </c>
      <c r="J140" s="104">
        <v>0.5</v>
      </c>
    </row>
    <row r="141" spans="1:12">
      <c r="A141" s="7" t="s">
        <v>68</v>
      </c>
      <c r="B141" s="7"/>
      <c r="C141" s="7"/>
      <c r="D141" s="14"/>
      <c r="E141" s="76"/>
      <c r="F141" s="7" t="s">
        <v>71</v>
      </c>
      <c r="G141" s="7"/>
      <c r="H141" s="7"/>
      <c r="I141" s="139">
        <v>5</v>
      </c>
      <c r="J141" s="104">
        <v>0.7</v>
      </c>
    </row>
    <row r="142" spans="1:12">
      <c r="A142" s="7" t="s">
        <v>69</v>
      </c>
      <c r="B142" s="7"/>
      <c r="C142" s="7"/>
      <c r="D142" s="108">
        <v>28800</v>
      </c>
      <c r="E142" s="104">
        <v>0.5</v>
      </c>
      <c r="F142" s="7" t="s">
        <v>72</v>
      </c>
      <c r="G142" s="7"/>
      <c r="H142" s="7"/>
      <c r="I142" s="108">
        <v>900</v>
      </c>
      <c r="J142" s="104">
        <v>0.6</v>
      </c>
    </row>
    <row r="143" spans="1:12">
      <c r="A143" s="7" t="s">
        <v>71</v>
      </c>
      <c r="B143" s="7"/>
      <c r="C143" s="7"/>
      <c r="D143" s="89">
        <v>1.5</v>
      </c>
      <c r="E143" s="104">
        <v>0.7</v>
      </c>
      <c r="G143" s="7"/>
      <c r="L143" s="100"/>
    </row>
    <row r="144" spans="1:12">
      <c r="A144" s="7" t="s">
        <v>72</v>
      </c>
      <c r="B144" s="7"/>
      <c r="C144" s="7"/>
      <c r="D144" s="107">
        <v>300</v>
      </c>
      <c r="E144" s="104">
        <v>0.6</v>
      </c>
      <c r="L144" s="136"/>
    </row>
    <row r="145" spans="1:12">
      <c r="L145" s="100"/>
    </row>
    <row r="146" spans="1:12">
      <c r="L146" s="83"/>
    </row>
    <row r="147" spans="1:12">
      <c r="A147" s="5" t="s">
        <v>403</v>
      </c>
      <c r="D147" s="229">
        <f>D81+D88+D93+D100+D106+D111+D117+D122+D127+D132+D137+D142+I83+I88+I93+I98+I103+I109+I114+I119+I124+I130+I135+I140</f>
        <v>626400</v>
      </c>
      <c r="L147" s="83"/>
    </row>
    <row r="148" spans="1:12">
      <c r="A148" s="5" t="s">
        <v>405</v>
      </c>
      <c r="D148" s="230">
        <f>D82+D89+D94+D101+D107+D112+D118+D123+D128+D133+D138+D143+I84+I89+I94+I99+I104+I110+I115+I120+I125+I131+I136+I141</f>
        <v>127.45</v>
      </c>
      <c r="E148" s="102"/>
      <c r="L148" s="92"/>
    </row>
    <row r="149" spans="1:12">
      <c r="A149" s="5" t="s">
        <v>404</v>
      </c>
      <c r="D149" s="229">
        <f>D83+D90+D95+D102+D108+D113+D119+D124+D129+D134+D139+D144+I85+I90+I95+I100+I105+I111+I116+I121+I126+I132+I137+I142</f>
        <v>15425</v>
      </c>
      <c r="L149" s="100"/>
    </row>
    <row r="150" spans="1:12">
      <c r="L150" s="136"/>
    </row>
    <row r="151" spans="1:12">
      <c r="L151" s="100"/>
    </row>
    <row r="153" spans="1:12">
      <c r="L153" s="92"/>
    </row>
    <row r="154" spans="1:12">
      <c r="L154" s="100"/>
    </row>
    <row r="155" spans="1:12">
      <c r="L155" s="100"/>
    </row>
    <row r="156" spans="1:12">
      <c r="L156" s="100"/>
    </row>
    <row r="157" spans="1:12">
      <c r="L157" s="83"/>
    </row>
    <row r="158" spans="1:12">
      <c r="L158" s="83"/>
    </row>
    <row r="159" spans="1:12">
      <c r="L159" s="92"/>
    </row>
    <row r="160" spans="1:12">
      <c r="L160" s="100"/>
    </row>
    <row r="161" spans="12:12">
      <c r="L161" s="136"/>
    </row>
    <row r="162" spans="12:12">
      <c r="L162" s="100"/>
    </row>
    <row r="163" spans="12:12">
      <c r="L163" s="83"/>
    </row>
    <row r="164" spans="12:12">
      <c r="L164" s="92"/>
    </row>
    <row r="165" spans="12:12">
      <c r="L165" s="100"/>
    </row>
    <row r="166" spans="12:12">
      <c r="L166" s="136"/>
    </row>
    <row r="167" spans="12:12">
      <c r="L167" s="100"/>
    </row>
    <row r="168" spans="12:12">
      <c r="L168" s="83"/>
    </row>
    <row r="169" spans="12:12">
      <c r="L169" s="92"/>
    </row>
    <row r="170" spans="12:12">
      <c r="L170" s="100"/>
    </row>
    <row r="171" spans="12:12">
      <c r="L171" s="136"/>
    </row>
    <row r="172" spans="12:12">
      <c r="L172" s="100"/>
    </row>
    <row r="173" spans="12:12">
      <c r="L173" s="83"/>
    </row>
    <row r="174" spans="12:12">
      <c r="L174" s="92"/>
    </row>
    <row r="175" spans="12:12">
      <c r="L175" s="100"/>
    </row>
    <row r="176" spans="12:12">
      <c r="L176" s="136"/>
    </row>
    <row r="177" spans="12:12">
      <c r="L177" s="100"/>
    </row>
    <row r="178" spans="12:12">
      <c r="L178" s="83"/>
    </row>
    <row r="179" spans="12:12">
      <c r="L179" s="92"/>
    </row>
    <row r="180" spans="12:12">
      <c r="L180" s="100"/>
    </row>
    <row r="181" spans="12:12">
      <c r="L181" s="136"/>
    </row>
    <row r="182" spans="12:12">
      <c r="L182" s="100"/>
    </row>
    <row r="183" spans="12:12">
      <c r="L183" s="83"/>
    </row>
    <row r="184" spans="12:12">
      <c r="L184" s="92"/>
    </row>
    <row r="185" spans="12:12">
      <c r="L185" s="100"/>
    </row>
    <row r="186" spans="12:12">
      <c r="L186" s="136"/>
    </row>
    <row r="187" spans="12:12">
      <c r="L187" s="100"/>
    </row>
    <row r="188" spans="12:12">
      <c r="L188" s="83"/>
    </row>
    <row r="189" spans="12:12">
      <c r="L189" s="92"/>
    </row>
    <row r="190" spans="12:12">
      <c r="L190" s="100"/>
    </row>
    <row r="191" spans="12:12">
      <c r="L191" s="136"/>
    </row>
    <row r="192" spans="12:12">
      <c r="L192" s="136"/>
    </row>
    <row r="193" spans="12:12">
      <c r="L193" s="83"/>
    </row>
    <row r="194" spans="12:12">
      <c r="L194" s="92"/>
    </row>
    <row r="195" spans="12:12">
      <c r="L195" s="100"/>
    </row>
    <row r="196" spans="12:12">
      <c r="L196" s="136"/>
    </row>
    <row r="197" spans="12:12">
      <c r="L197" s="100"/>
    </row>
    <row r="198" spans="12:12">
      <c r="L198" s="83"/>
    </row>
    <row r="200" spans="12:12">
      <c r="L200" s="92"/>
    </row>
    <row r="201" spans="12:12">
      <c r="L201" s="100"/>
    </row>
    <row r="202" spans="12:12">
      <c r="L202" s="136"/>
    </row>
    <row r="203" spans="12:12">
      <c r="L203" s="100"/>
    </row>
    <row r="205" spans="12:12">
      <c r="L205" s="137"/>
    </row>
    <row r="206" spans="12:12">
      <c r="L206" s="100"/>
    </row>
    <row r="207" spans="12:12">
      <c r="L207" s="136"/>
    </row>
    <row r="208" spans="12:12">
      <c r="L208" s="100"/>
    </row>
    <row r="209" spans="12:12">
      <c r="L209" s="137"/>
    </row>
    <row r="210" spans="12:12">
      <c r="L210" s="137"/>
    </row>
    <row r="211" spans="12:12">
      <c r="L211" s="100"/>
    </row>
    <row r="212" spans="12:12">
      <c r="L212" s="136"/>
    </row>
    <row r="213" spans="12:12">
      <c r="L213" s="100"/>
    </row>
  </sheetData>
  <mergeCells count="4">
    <mergeCell ref="K2:P2"/>
    <mergeCell ref="A1:J1"/>
    <mergeCell ref="C34:D34"/>
    <mergeCell ref="M15:N15"/>
  </mergeCells>
  <phoneticPr fontId="5" type="noConversion"/>
  <pageMargins left="0.5" right="0.5" top="0.5" bottom="0.5" header="0.5" footer="0.5"/>
  <pageSetup scale="83" fitToHeight="2" orientation="portrait" verticalDpi="300" r:id="rId1"/>
  <headerFooter alignWithMargins="0">
    <oddFooter>&amp;C &amp;P&amp;R&amp;D</oddFooter>
  </headerFooter>
  <rowBreaks count="2" manualBreakCount="2">
    <brk id="47" max="9" man="1"/>
    <brk id="69" max="9" man="1"/>
  </rowBreaks>
</worksheet>
</file>

<file path=xl/worksheets/sheet7.xml><?xml version="1.0" encoding="utf-8"?>
<worksheet xmlns="http://schemas.openxmlformats.org/spreadsheetml/2006/main" xmlns:r="http://schemas.openxmlformats.org/officeDocument/2006/relationships">
  <sheetPr enableFormatConditionsCalculation="0">
    <tabColor indexed="26"/>
  </sheetPr>
  <dimension ref="A1:J59"/>
  <sheetViews>
    <sheetView zoomScaleNormal="100" workbookViewId="0">
      <selection activeCell="F4" sqref="F4"/>
    </sheetView>
  </sheetViews>
  <sheetFormatPr defaultRowHeight="12.75"/>
  <cols>
    <col min="1" max="1" width="9" customWidth="1"/>
    <col min="2" max="2" width="8.42578125" customWidth="1"/>
    <col min="3" max="3" width="8.5703125" customWidth="1"/>
    <col min="4" max="4" width="9.7109375" customWidth="1"/>
    <col min="5" max="5" width="7.7109375" customWidth="1"/>
    <col min="6" max="10" width="10.7109375" customWidth="1"/>
  </cols>
  <sheetData>
    <row r="1" spans="1:10" ht="15.75">
      <c r="A1" s="425" t="s">
        <v>401</v>
      </c>
      <c r="B1" s="425"/>
      <c r="C1" s="425"/>
      <c r="D1" s="425"/>
      <c r="E1" s="425"/>
      <c r="F1" s="425"/>
      <c r="G1" s="425"/>
      <c r="H1" s="425"/>
      <c r="I1" s="425"/>
      <c r="J1" s="425"/>
    </row>
    <row r="3" spans="1:10">
      <c r="A3" s="60"/>
      <c r="B3" s="60"/>
      <c r="C3" s="60"/>
      <c r="D3" s="60"/>
      <c r="E3" s="60"/>
      <c r="F3" s="61" t="s">
        <v>0</v>
      </c>
      <c r="G3" s="61" t="s">
        <v>1</v>
      </c>
      <c r="H3" s="61" t="s">
        <v>2</v>
      </c>
      <c r="I3" s="61" t="s">
        <v>3</v>
      </c>
      <c r="J3" s="61" t="s">
        <v>4</v>
      </c>
    </row>
    <row r="4" spans="1:10" ht="15.75">
      <c r="A4" s="19" t="s">
        <v>37</v>
      </c>
      <c r="F4" s="3"/>
      <c r="G4" s="3"/>
      <c r="H4" s="3"/>
      <c r="I4" s="3"/>
      <c r="J4" s="57"/>
    </row>
    <row r="5" spans="1:10">
      <c r="A5" s="321" t="s">
        <v>867</v>
      </c>
      <c r="F5" s="134">
        <f ca="1">'Summary of Results'!F9</f>
        <v>35.294117647058989</v>
      </c>
      <c r="G5" s="134">
        <f ca="1">'Summary of Results'!G9</f>
        <v>35.294117647059309</v>
      </c>
      <c r="H5" s="134">
        <f ca="1">'Summary of Results'!H9</f>
        <v>35.294117647059309</v>
      </c>
      <c r="I5" s="134">
        <f ca="1">'Summary of Results'!I9</f>
        <v>35.294117647058982</v>
      </c>
      <c r="J5" s="134">
        <f ca="1">'Summary of Results'!J9</f>
        <v>35.294117647058982</v>
      </c>
    </row>
    <row r="6" spans="1:10">
      <c r="A6" t="s">
        <v>279</v>
      </c>
      <c r="F6" s="134">
        <f ca="1">'Summary of Results'!F16</f>
        <v>163.31543449733664</v>
      </c>
      <c r="G6" s="134">
        <f ca="1">'Summary of Results'!G16</f>
        <v>168.15637200892905</v>
      </c>
      <c r="H6" s="134">
        <f ca="1">'Summary of Results'!H16</f>
        <v>176.34713763704519</v>
      </c>
      <c r="I6" s="134">
        <f ca="1">'Summary of Results'!I16</f>
        <v>172.90226978213499</v>
      </c>
      <c r="J6" s="134">
        <f ca="1">'Summary of Results'!J16</f>
        <v>172.90226978213499</v>
      </c>
    </row>
    <row r="7" spans="1:10">
      <c r="A7" t="s">
        <v>278</v>
      </c>
      <c r="F7" s="134">
        <f>'Summary of Results'!F17</f>
        <v>120</v>
      </c>
      <c r="G7" s="134">
        <f>'Summary of Results'!G17</f>
        <v>120</v>
      </c>
      <c r="H7" s="134">
        <f>'Summary of Results'!H17</f>
        <v>120</v>
      </c>
      <c r="I7" s="134">
        <f>'Summary of Results'!I17</f>
        <v>120</v>
      </c>
      <c r="J7" s="134">
        <f>'Summary of Results'!J17</f>
        <v>120</v>
      </c>
    </row>
    <row r="8" spans="1:10">
      <c r="A8" s="321" t="s">
        <v>303</v>
      </c>
      <c r="F8" s="135">
        <f>'Battery Design'!F56</f>
        <v>16</v>
      </c>
      <c r="G8" s="135">
        <f>'Battery Design'!G56</f>
        <v>32</v>
      </c>
      <c r="H8" s="135">
        <f>'Battery Design'!H56</f>
        <v>16</v>
      </c>
      <c r="I8" s="135">
        <f>'Battery Design'!I56</f>
        <v>16</v>
      </c>
      <c r="J8" s="135">
        <f>'Battery Design'!J56</f>
        <v>16</v>
      </c>
    </row>
    <row r="9" spans="1:10">
      <c r="A9" s="321" t="s">
        <v>378</v>
      </c>
      <c r="F9" s="132">
        <f>'Battery Design'!F57</f>
        <v>1</v>
      </c>
      <c r="G9" s="132">
        <f>'Battery Design'!G57</f>
        <v>2</v>
      </c>
      <c r="H9" s="132">
        <f>'Battery Design'!H57</f>
        <v>1</v>
      </c>
      <c r="I9" s="132">
        <f>'Battery Design'!I57</f>
        <v>1</v>
      </c>
      <c r="J9" s="132">
        <f>'Battery Design'!J57</f>
        <v>1</v>
      </c>
    </row>
    <row r="10" spans="1:10">
      <c r="A10" s="321" t="s">
        <v>868</v>
      </c>
      <c r="F10" s="135">
        <f>'Battery Design'!F60</f>
        <v>8</v>
      </c>
      <c r="G10" s="135">
        <f>'Battery Design'!G60</f>
        <v>8</v>
      </c>
      <c r="H10" s="135">
        <f>'Battery Design'!H60</f>
        <v>16</v>
      </c>
      <c r="I10" s="135">
        <f>'Battery Design'!I60</f>
        <v>8</v>
      </c>
      <c r="J10" s="135">
        <f>'Battery Design'!J60</f>
        <v>8</v>
      </c>
    </row>
    <row r="11" spans="1:10">
      <c r="A11" s="321" t="s">
        <v>869</v>
      </c>
      <c r="F11" s="135">
        <f>'Battery Design'!F62</f>
        <v>1</v>
      </c>
      <c r="G11" s="135">
        <f>'Battery Design'!G62</f>
        <v>1</v>
      </c>
      <c r="H11" s="135">
        <f>'Battery Design'!H62</f>
        <v>1</v>
      </c>
      <c r="I11" s="135">
        <f>'Battery Design'!I62</f>
        <v>2</v>
      </c>
      <c r="J11" s="135">
        <f>'Battery Design'!J62</f>
        <v>2</v>
      </c>
    </row>
    <row r="12" spans="1:10">
      <c r="A12" t="s">
        <v>209</v>
      </c>
      <c r="D12" s="3"/>
      <c r="F12" s="134">
        <f ca="1">'Summary of Results'!F5</f>
        <v>100.00000000000048</v>
      </c>
      <c r="G12" s="134">
        <f ca="1">'Summary of Results'!G5</f>
        <v>100.00000000000138</v>
      </c>
      <c r="H12" s="134">
        <f ca="1">'Summary of Results'!H5</f>
        <v>100.00000000000138</v>
      </c>
      <c r="I12" s="134">
        <f ca="1">'Summary of Results'!I5</f>
        <v>100.00000000000045</v>
      </c>
      <c r="J12" s="134">
        <f ca="1">'Summary of Results'!J5</f>
        <v>100.00000000000045</v>
      </c>
    </row>
    <row r="13" spans="1:10" ht="15.75">
      <c r="A13" s="19" t="s">
        <v>87</v>
      </c>
      <c r="B13" s="5"/>
      <c r="C13" s="5"/>
      <c r="D13" s="76"/>
      <c r="E13" s="21"/>
      <c r="F13" s="76"/>
      <c r="G13" s="76"/>
      <c r="H13" s="76"/>
      <c r="I13" s="76"/>
      <c r="J13" s="76"/>
    </row>
    <row r="14" spans="1:10">
      <c r="A14" s="7" t="s">
        <v>177</v>
      </c>
      <c r="B14" s="7"/>
      <c r="C14" s="7"/>
      <c r="D14" s="76"/>
      <c r="E14" s="21"/>
      <c r="F14" s="76">
        <f ca="1">'Manufacturing Cost Calculations'!F262</f>
        <v>259.01840195558515</v>
      </c>
      <c r="G14" s="76">
        <f ca="1">'Manufacturing Cost Calculations'!G262</f>
        <v>334.43947104790436</v>
      </c>
      <c r="H14" s="76">
        <f ca="1">'Manufacturing Cost Calculations'!H262</f>
        <v>336.74189973242414</v>
      </c>
      <c r="I14" s="76">
        <f ca="1">'Manufacturing Cost Calculations'!I262</f>
        <v>332.55815170911842</v>
      </c>
      <c r="J14" s="76">
        <f ca="1">'Manufacturing Cost Calculations'!J262</f>
        <v>332.55815170911842</v>
      </c>
    </row>
    <row r="15" spans="1:10">
      <c r="A15" s="7" t="s">
        <v>185</v>
      </c>
      <c r="B15" s="7"/>
      <c r="C15" s="7"/>
      <c r="D15" s="76"/>
      <c r="E15" s="21"/>
      <c r="F15" s="76"/>
      <c r="G15" s="76"/>
      <c r="H15" s="76"/>
      <c r="I15" s="76"/>
      <c r="J15" s="76"/>
    </row>
    <row r="16" spans="1:10" ht="14.25">
      <c r="A16" s="7" t="s">
        <v>148</v>
      </c>
      <c r="B16" s="7"/>
      <c r="C16" s="7"/>
      <c r="D16" s="76"/>
      <c r="E16" s="21"/>
      <c r="F16" s="76">
        <f ca="1">'Manufacturing Cost Calculations'!F263</f>
        <v>30165.674424220259</v>
      </c>
      <c r="G16" s="76">
        <f ca="1">'Manufacturing Cost Calculations'!G263</f>
        <v>37692.950912530614</v>
      </c>
      <c r="H16" s="76">
        <f ca="1">'Manufacturing Cost Calculations'!H263</f>
        <v>37686.771082944404</v>
      </c>
      <c r="I16" s="76">
        <f ca="1">'Manufacturing Cost Calculations'!I263</f>
        <v>37492.211161030114</v>
      </c>
      <c r="J16" s="76">
        <f ca="1">'Manufacturing Cost Calculations'!J263</f>
        <v>37492.211161030114</v>
      </c>
    </row>
    <row r="17" spans="1:10" ht="14.25">
      <c r="A17" s="7" t="s">
        <v>176</v>
      </c>
      <c r="B17" s="7"/>
      <c r="C17" s="7"/>
      <c r="D17" s="76"/>
      <c r="E17" s="21"/>
      <c r="F17" s="76">
        <f>'Cost Input'!$F55</f>
        <v>3000</v>
      </c>
      <c r="G17" s="76">
        <f>'Cost Input'!$F55</f>
        <v>3000</v>
      </c>
      <c r="H17" s="76">
        <f>'Cost Input'!$F55</f>
        <v>3000</v>
      </c>
      <c r="I17" s="76">
        <f>'Cost Input'!$F55</f>
        <v>3000</v>
      </c>
      <c r="J17" s="76">
        <f>'Cost Input'!$F55</f>
        <v>3000</v>
      </c>
    </row>
    <row r="18" spans="1:10">
      <c r="A18" s="7" t="s">
        <v>186</v>
      </c>
      <c r="B18" s="7"/>
      <c r="C18" s="7"/>
      <c r="D18" s="76"/>
      <c r="E18" s="21"/>
      <c r="F18" s="76">
        <f ca="1">F16*F17/1000000</f>
        <v>90.497023272660783</v>
      </c>
      <c r="G18" s="76">
        <f ca="1">G16*G17/1000000</f>
        <v>113.07885273759184</v>
      </c>
      <c r="H18" s="76">
        <f ca="1">H16*H17/1000000</f>
        <v>113.06031324883321</v>
      </c>
      <c r="I18" s="76">
        <f ca="1">I16*I17/1000000</f>
        <v>112.47663348309034</v>
      </c>
      <c r="J18" s="76">
        <f ca="1">J16*J17/1000000</f>
        <v>112.47663348309034</v>
      </c>
    </row>
    <row r="19" spans="1:10">
      <c r="A19" s="7" t="s">
        <v>149</v>
      </c>
      <c r="B19" s="7"/>
      <c r="C19" s="7"/>
      <c r="D19" s="76"/>
      <c r="E19" s="21"/>
      <c r="F19" s="76"/>
      <c r="G19" s="76"/>
      <c r="H19" s="76"/>
      <c r="I19" s="76"/>
      <c r="J19" s="76"/>
    </row>
    <row r="20" spans="1:10">
      <c r="A20" s="7" t="s">
        <v>150</v>
      </c>
      <c r="B20" s="7"/>
      <c r="C20" s="7"/>
      <c r="D20" s="76"/>
      <c r="E20" s="21"/>
      <c r="F20" s="76"/>
      <c r="G20" s="76"/>
      <c r="H20" s="76"/>
      <c r="I20" s="76"/>
      <c r="J20" s="76"/>
    </row>
    <row r="21" spans="1:10">
      <c r="A21" s="7" t="s">
        <v>151</v>
      </c>
      <c r="B21" s="7"/>
      <c r="C21" s="7"/>
      <c r="D21" s="76"/>
      <c r="E21" s="21"/>
      <c r="F21" s="76">
        <f ca="1">('Cost Input'!$F57/100*F30+'Cost Input'!$F58/100*(F39+F40))*'Manufacturing Cost Calculations'!F6/1000000</f>
        <v>27.215665730707169</v>
      </c>
      <c r="G21" s="76">
        <f ca="1">('Cost Input'!$F57/100*G30+'Cost Input'!$F58/100*(G39+G40))*'Manufacturing Cost Calculations'!G6/1000000</f>
        <v>29.496361298603365</v>
      </c>
      <c r="H21" s="76">
        <f ca="1">('Cost Input'!$F57/100*H30+'Cost Input'!$F58/100*(H39+H40))*'Manufacturing Cost Calculations'!H6/1000000</f>
        <v>30.914917652330313</v>
      </c>
      <c r="I21" s="76">
        <f ca="1">('Cost Input'!$F57/100*I30+'Cost Input'!$F58/100*(I39+I40))*'Manufacturing Cost Calculations'!I6/1000000</f>
        <v>30.463894151011299</v>
      </c>
      <c r="J21" s="76">
        <f ca="1">('Cost Input'!$F57/100*J30+'Cost Input'!$F58/100*(J39+J40))*'Manufacturing Cost Calculations'!J6/1000000</f>
        <v>30.463894151011299</v>
      </c>
    </row>
    <row r="22" spans="1:10">
      <c r="A22" s="7" t="s">
        <v>178</v>
      </c>
      <c r="B22" s="7"/>
      <c r="C22" s="7"/>
      <c r="D22" s="76"/>
      <c r="E22" s="21"/>
      <c r="F22" s="76">
        <f ca="1">F41*'Manufacturing Cost Calculations'!F6/1000000*'Cost Input'!$F$59/100</f>
        <v>76.220988094506993</v>
      </c>
      <c r="G22" s="76">
        <f ca="1">G41*'Manufacturing Cost Calculations'!G6/1000000*'Cost Input'!$F$59/100</f>
        <v>81.594530857136718</v>
      </c>
      <c r="H22" s="76">
        <f ca="1">H41*'Manufacturing Cost Calculations'!H6/1000000*'Cost Input'!$F$59/100</f>
        <v>85.839252745606657</v>
      </c>
      <c r="I22" s="76">
        <f ca="1">I41*'Manufacturing Cost Calculations'!I6/1000000*'Cost Input'!$F$59/100</f>
        <v>84.523212802178293</v>
      </c>
      <c r="J22" s="76">
        <f ca="1">J41*'Manufacturing Cost Calculations'!J6/1000000*'Cost Input'!$F$59/100</f>
        <v>84.523212802178293</v>
      </c>
    </row>
    <row r="23" spans="1:10">
      <c r="A23" s="7" t="s">
        <v>188</v>
      </c>
      <c r="B23" s="7"/>
      <c r="C23" s="7"/>
      <c r="D23" s="76"/>
      <c r="E23" s="21"/>
      <c r="F23" s="76">
        <f ca="1">F14+F18+F21+F22</f>
        <v>452.95207905346007</v>
      </c>
      <c r="G23" s="76">
        <f ca="1">G14+G18+G21+G22</f>
        <v>558.60921594123624</v>
      </c>
      <c r="H23" s="76">
        <f ca="1">H14+H18+H21+H22</f>
        <v>566.55638337919436</v>
      </c>
      <c r="I23" s="76">
        <f ca="1">I14+I18+I21+I22</f>
        <v>560.02189214539828</v>
      </c>
      <c r="J23" s="76">
        <f ca="1">J14+J18+J21+J22</f>
        <v>560.02189214539828</v>
      </c>
    </row>
    <row r="24" spans="1:10" ht="15.75">
      <c r="A24" s="19" t="s">
        <v>397</v>
      </c>
      <c r="B24" s="5"/>
      <c r="C24" s="5"/>
      <c r="D24" s="76"/>
      <c r="E24" s="21"/>
      <c r="F24" s="76"/>
      <c r="G24" s="76"/>
      <c r="H24" s="76"/>
      <c r="I24" s="76"/>
      <c r="J24" s="76"/>
    </row>
    <row r="25" spans="1:10">
      <c r="A25" s="80" t="s">
        <v>93</v>
      </c>
      <c r="B25" s="80"/>
      <c r="C25" s="80"/>
      <c r="D25" s="76"/>
      <c r="E25" s="21"/>
      <c r="F25" s="76"/>
      <c r="G25" s="76"/>
      <c r="H25" s="76"/>
      <c r="I25" s="76"/>
      <c r="J25" s="76"/>
    </row>
    <row r="26" spans="1:10">
      <c r="A26" s="7" t="s">
        <v>152</v>
      </c>
      <c r="B26" s="7"/>
      <c r="C26" s="7"/>
      <c r="D26" s="76"/>
      <c r="E26" s="21"/>
      <c r="F26" s="76"/>
      <c r="G26" s="76"/>
      <c r="H26" s="76"/>
      <c r="I26" s="76"/>
      <c r="J26" s="76"/>
    </row>
    <row r="27" spans="1:10">
      <c r="A27" s="7" t="s">
        <v>153</v>
      </c>
      <c r="B27" s="7"/>
      <c r="C27" s="7"/>
      <c r="D27" s="76"/>
      <c r="E27" s="21"/>
      <c r="F27" s="76">
        <f ca="1">'Summary of Results'!F38</f>
        <v>4126.2502198061511</v>
      </c>
      <c r="G27" s="76">
        <f ca="1">'Summary of Results'!G38</f>
        <v>4213.2725965092195</v>
      </c>
      <c r="H27" s="76">
        <f ca="1">'Summary of Results'!H38</f>
        <v>4247.3639198148931</v>
      </c>
      <c r="I27" s="76">
        <f ca="1">'Summary of Results'!I38</f>
        <v>2083.4132944796293</v>
      </c>
      <c r="J27" s="76">
        <f ca="1">'Summary of Results'!J38</f>
        <v>2083.4132944796293</v>
      </c>
    </row>
    <row r="28" spans="1:10">
      <c r="A28" s="7" t="s">
        <v>154</v>
      </c>
      <c r="B28" s="7"/>
      <c r="C28" s="7"/>
      <c r="D28" s="76"/>
      <c r="E28" s="21"/>
      <c r="F28" s="76">
        <f ca="1">'Summary of Results'!F39</f>
        <v>115.48909012867965</v>
      </c>
      <c r="G28" s="76">
        <f ca="1">'Summary of Results'!G39</f>
        <v>184.76288622376669</v>
      </c>
      <c r="H28" s="76">
        <f ca="1">'Summary of Results'!H39</f>
        <v>191.79002148724854</v>
      </c>
      <c r="I28" s="76">
        <f ca="1">'Summary of Results'!I39</f>
        <v>95.552486409003066</v>
      </c>
      <c r="J28" s="76">
        <f ca="1">'Summary of Results'!J39</f>
        <v>95.552486409003066</v>
      </c>
    </row>
    <row r="29" spans="1:10">
      <c r="A29" s="7" t="s">
        <v>396</v>
      </c>
      <c r="B29" s="7"/>
      <c r="C29" s="7"/>
      <c r="D29" s="76"/>
      <c r="E29" s="21"/>
      <c r="F29" s="76">
        <f ca="1">'Manufacturing Cost Calculations'!F97*'Battery Design'!F60</f>
        <v>477.92595652467463</v>
      </c>
      <c r="G29" s="76">
        <f ca="1">'Manufacturing Cost Calculations'!G97*'Battery Design'!G60</f>
        <v>581.96303849788478</v>
      </c>
      <c r="H29" s="76">
        <f ca="1">'Manufacturing Cost Calculations'!H97*'Battery Design'!H60</f>
        <v>823.09622764600147</v>
      </c>
      <c r="I29" s="76">
        <f ca="1">'Manufacturing Cost Calculations'!I97*'Battery Design'!I60</f>
        <v>409.52565748879499</v>
      </c>
      <c r="J29" s="76">
        <f ca="1">'Manufacturing Cost Calculations'!J97*'Battery Design'!J60</f>
        <v>409.52565748879499</v>
      </c>
    </row>
    <row r="30" spans="1:10">
      <c r="A30" s="7" t="s">
        <v>106</v>
      </c>
      <c r="B30" s="7"/>
      <c r="C30" s="7"/>
      <c r="D30" s="76"/>
      <c r="E30" s="21"/>
      <c r="F30" s="76">
        <f ca="1">SUM(F27:F29)</f>
        <v>4719.6652664595058</v>
      </c>
      <c r="G30" s="76">
        <f ca="1">SUM(G27:G29)</f>
        <v>4979.9985212308711</v>
      </c>
      <c r="H30" s="76">
        <f ca="1">SUM(H27:H29)</f>
        <v>5262.2501689481433</v>
      </c>
      <c r="I30" s="76">
        <f ca="1">SUM(I27:I29)</f>
        <v>2588.4914383774271</v>
      </c>
      <c r="J30" s="76">
        <f ca="1">SUM(J27:J29)</f>
        <v>2588.4914383774271</v>
      </c>
    </row>
    <row r="31" spans="1:10">
      <c r="A31" s="7" t="s">
        <v>155</v>
      </c>
      <c r="B31" s="7"/>
      <c r="C31" s="7"/>
      <c r="D31" s="95"/>
      <c r="E31" s="21"/>
      <c r="F31" s="76"/>
      <c r="G31" s="76"/>
      <c r="H31" s="76"/>
      <c r="I31" s="76"/>
      <c r="J31" s="76"/>
    </row>
    <row r="32" spans="1:10">
      <c r="A32" s="7" t="s">
        <v>156</v>
      </c>
      <c r="B32" s="7"/>
      <c r="C32" s="7"/>
      <c r="D32" s="76"/>
      <c r="E32" s="21"/>
      <c r="F32" s="76">
        <f ca="1">'Summary of Results'!F44</f>
        <v>67.803270687584828</v>
      </c>
      <c r="G32" s="76">
        <f ca="1">'Summary of Results'!G44</f>
        <v>68.543555174965846</v>
      </c>
      <c r="H32" s="76">
        <f ca="1">'Summary of Results'!H44</f>
        <v>68.518057069026142</v>
      </c>
      <c r="I32" s="76">
        <f ca="1">'Summary of Results'!I44</f>
        <v>33.896994167340488</v>
      </c>
      <c r="J32" s="76">
        <f ca="1">'Summary of Results'!J44</f>
        <v>33.896994167340488</v>
      </c>
    </row>
    <row r="33" spans="1:10">
      <c r="A33" s="7" t="s">
        <v>157</v>
      </c>
      <c r="B33" s="7"/>
      <c r="C33" s="7"/>
      <c r="D33" s="76"/>
      <c r="E33" s="21"/>
      <c r="F33" s="76">
        <f ca="1">'Summary of Results'!F45</f>
        <v>40.399566032754343</v>
      </c>
      <c r="G33" s="76">
        <f ca="1">'Summary of Results'!G45</f>
        <v>61.046239788388952</v>
      </c>
      <c r="H33" s="76">
        <f ca="1">'Summary of Results'!H45</f>
        <v>61.046158776301198</v>
      </c>
      <c r="I33" s="76">
        <f ca="1">'Summary of Results'!I45</f>
        <v>30.522344689525237</v>
      </c>
      <c r="J33" s="76">
        <f ca="1">'Summary of Results'!J45</f>
        <v>30.522344689525237</v>
      </c>
    </row>
    <row r="34" spans="1:10">
      <c r="A34" s="7" t="s">
        <v>370</v>
      </c>
      <c r="B34" s="7"/>
      <c r="C34" s="7"/>
      <c r="D34" s="76"/>
      <c r="E34" s="21"/>
      <c r="F34" s="76">
        <f>'Summary of Results'!F46</f>
        <v>26.67149359856873</v>
      </c>
      <c r="G34" s="76">
        <f>'Summary of Results'!G46</f>
        <v>40.926207598452471</v>
      </c>
      <c r="H34" s="76">
        <f>'Summary of Results'!H46</f>
        <v>40.926207598452471</v>
      </c>
      <c r="I34" s="76">
        <f>'Summary of Results'!I46</f>
        <v>20.463103799226236</v>
      </c>
      <c r="J34" s="76">
        <f>'Summary of Results'!J46</f>
        <v>20.463103799226236</v>
      </c>
    </row>
    <row r="35" spans="1:10">
      <c r="A35" s="7" t="s">
        <v>399</v>
      </c>
      <c r="B35" s="7"/>
      <c r="C35" s="7"/>
      <c r="D35" s="76"/>
      <c r="E35" s="21"/>
      <c r="F35" s="76">
        <f>'Cost Input'!$F$62/'Manufacturing Cost Calculations'!F$6*('Manufacturing Cost Calculations'!F236+2/3*'Manufacturing Cost Calculations'!F242)</f>
        <v>18.92929158737854</v>
      </c>
      <c r="G35" s="76">
        <f>'Cost Input'!$F$62/'Manufacturing Cost Calculations'!G$6*('Manufacturing Cost Calculations'!G236+2/3*'Manufacturing Cost Calculations'!G242)</f>
        <v>26.770060888985657</v>
      </c>
      <c r="H35" s="76">
        <f>'Cost Input'!$F$62/'Manufacturing Cost Calculations'!H$6*('Manufacturing Cost Calculations'!H236+2/3*'Manufacturing Cost Calculations'!H242)</f>
        <v>26.770060888985657</v>
      </c>
      <c r="I35" s="76">
        <f>'Cost Input'!$F$62/'Manufacturing Cost Calculations'!I$6*('Manufacturing Cost Calculations'!I236+2/3*'Manufacturing Cost Calculations'!I242)</f>
        <v>13.385030444492829</v>
      </c>
      <c r="J35" s="76">
        <f>'Cost Input'!$F$62/'Manufacturing Cost Calculations'!J$6*('Manufacturing Cost Calculations'!J236+2/3*'Manufacturing Cost Calculations'!J242)</f>
        <v>13.385030444492829</v>
      </c>
    </row>
    <row r="36" spans="1:10">
      <c r="A36" s="7" t="s">
        <v>159</v>
      </c>
      <c r="B36" s="7"/>
      <c r="C36" s="7"/>
      <c r="D36" s="76"/>
      <c r="E36" s="21"/>
      <c r="F36" s="76">
        <f>'Summary of Results'!F48</f>
        <v>11.013265508675307</v>
      </c>
      <c r="G36" s="76">
        <f>'Summary of Results'!G48</f>
        <v>17.891102602257984</v>
      </c>
      <c r="H36" s="76">
        <f>'Summary of Results'!H48</f>
        <v>17.891102602257984</v>
      </c>
      <c r="I36" s="76">
        <f>'Summary of Results'!I48</f>
        <v>8.945551301128992</v>
      </c>
      <c r="J36" s="76">
        <f>'Summary of Results'!J48</f>
        <v>8.945551301128992</v>
      </c>
    </row>
    <row r="37" spans="1:10">
      <c r="A37" s="7" t="s">
        <v>160</v>
      </c>
      <c r="B37" s="7"/>
      <c r="C37" s="7"/>
      <c r="D37" s="76"/>
      <c r="E37" s="21"/>
      <c r="F37" s="76">
        <f ca="1">'Summary of Results'!F49</f>
        <v>14.984526182625832</v>
      </c>
      <c r="G37" s="76">
        <f ca="1">'Summary of Results'!G49</f>
        <v>14.984526182625896</v>
      </c>
      <c r="H37" s="76">
        <f ca="1">'Summary of Results'!H49</f>
        <v>14.984526182625896</v>
      </c>
      <c r="I37" s="76">
        <f ca="1">'Summary of Results'!I49</f>
        <v>7.4922630913129149</v>
      </c>
      <c r="J37" s="76">
        <f ca="1">'Summary of Results'!J49</f>
        <v>7.4922630913129149</v>
      </c>
    </row>
    <row r="38" spans="1:10">
      <c r="A38" s="7" t="s">
        <v>371</v>
      </c>
      <c r="B38" s="7"/>
      <c r="C38" s="7"/>
      <c r="D38" s="76"/>
      <c r="E38" s="21"/>
      <c r="F38" s="76">
        <f ca="1">'Summary of Results'!F50</f>
        <v>10.444850827535813</v>
      </c>
      <c r="G38" s="76">
        <f ca="1">'Summary of Results'!G50</f>
        <v>10.444850827535857</v>
      </c>
      <c r="H38" s="76">
        <f ca="1">'Summary of Results'!H50</f>
        <v>10.444850827535857</v>
      </c>
      <c r="I38" s="76">
        <f ca="1">'Summary of Results'!I50</f>
        <v>5.2224254137679047</v>
      </c>
      <c r="J38" s="76">
        <f ca="1">'Summary of Results'!J50</f>
        <v>5.2224254137679047</v>
      </c>
    </row>
    <row r="39" spans="1:10">
      <c r="A39" s="96" t="s">
        <v>161</v>
      </c>
      <c r="B39" s="96"/>
      <c r="C39" s="96"/>
      <c r="E39" s="21"/>
      <c r="F39" s="76">
        <f ca="1">SUM(F32:F38)</f>
        <v>190.24626442512343</v>
      </c>
      <c r="G39" s="76">
        <f ca="1">SUM(G32:G38)</f>
        <v>240.60654306321263</v>
      </c>
      <c r="H39" s="76">
        <f ca="1">SUM(H32:H38)</f>
        <v>240.58096394518518</v>
      </c>
      <c r="I39" s="76">
        <f ca="1">SUM(I32:I38)</f>
        <v>119.9277129067946</v>
      </c>
      <c r="J39" s="76">
        <f ca="1">SUM(J32:J38)</f>
        <v>119.9277129067946</v>
      </c>
    </row>
    <row r="40" spans="1:10">
      <c r="A40" s="7" t="s">
        <v>162</v>
      </c>
      <c r="B40" s="7"/>
      <c r="C40" s="7"/>
      <c r="D40" s="97"/>
      <c r="E40" s="76"/>
      <c r="F40" s="98">
        <f ca="1">'Cost Input'!$F64/100*'Price of Modules'!F39+'Cost Input'!$F65/100*'Price of Modules'!F45</f>
        <v>171.48767541584374</v>
      </c>
      <c r="G40" s="98">
        <f ca="1">'Cost Input'!$F64/100*'Price of Modules'!G39+'Cost Input'!$F65/100*'Price of Modules'!G45</f>
        <v>219.03032618167913</v>
      </c>
      <c r="H40" s="98">
        <f ca="1">'Cost Input'!$F64/100*'Price of Modules'!H39+'Cost Input'!$F65/100*'Price of Modules'!H45</f>
        <v>219.78571681376553</v>
      </c>
      <c r="I40" s="98">
        <f ca="1">'Cost Input'!$F64/100*'Price of Modules'!I39+'Cost Input'!$F65/100*'Price of Modules'!I45</f>
        <v>109.02127545505874</v>
      </c>
      <c r="J40" s="98">
        <f ca="1">'Cost Input'!$F64/100*'Price of Modules'!J39+'Cost Input'!$F65/100*'Price of Modules'!J45</f>
        <v>109.02127545505874</v>
      </c>
    </row>
    <row r="41" spans="1:10">
      <c r="A41" s="7" t="s">
        <v>163</v>
      </c>
      <c r="B41" s="7"/>
      <c r="C41" s="7"/>
      <c r="D41" s="97"/>
      <c r="E41" s="76"/>
      <c r="F41" s="98">
        <f ca="1">F30+F39+F40</f>
        <v>5081.3992063004735</v>
      </c>
      <c r="G41" s="98">
        <f ca="1">G30+G39+G40</f>
        <v>5439.6353904757625</v>
      </c>
      <c r="H41" s="98">
        <f ca="1">H30+H39+H40</f>
        <v>5722.6168497070939</v>
      </c>
      <c r="I41" s="98">
        <f ca="1">I30+I39+I40</f>
        <v>2817.4404267392806</v>
      </c>
      <c r="J41" s="98">
        <f ca="1">J30+J39+J40</f>
        <v>2817.4404267392806</v>
      </c>
    </row>
    <row r="42" spans="1:10">
      <c r="A42" s="80" t="s">
        <v>95</v>
      </c>
      <c r="B42" s="80"/>
      <c r="C42" s="80"/>
      <c r="D42" s="76"/>
      <c r="E42" s="76"/>
      <c r="F42" s="71"/>
      <c r="G42" s="71"/>
      <c r="H42" s="71"/>
      <c r="I42" s="71"/>
      <c r="J42" s="71"/>
    </row>
    <row r="43" spans="1:10">
      <c r="A43" s="7" t="s">
        <v>164</v>
      </c>
      <c r="B43" s="7"/>
      <c r="C43" s="7"/>
      <c r="D43" s="76"/>
      <c r="E43" s="76"/>
      <c r="F43" s="98">
        <f ca="1">'Cost Input'!$F68/100*(F39+F40)+'Cost Input'!$F69/100*F45</f>
        <v>209.66994701748473</v>
      </c>
      <c r="G43" s="98">
        <f ca="1">'Cost Input'!$F68/100*(G39+G40)+'Cost Input'!$F69/100*G45</f>
        <v>268.39385350671546</v>
      </c>
      <c r="H43" s="98">
        <f ca="1">'Cost Input'!$F68/100*(H39+H40)+'Cost Input'!$F69/100*H45</f>
        <v>269.53333423435197</v>
      </c>
      <c r="I43" s="98">
        <f ca="1">'Cost Input'!$F68/100*(I39+I40)+'Cost Input'!$F69/100*I45</f>
        <v>133.54998495588947</v>
      </c>
      <c r="J43" s="98">
        <f ca="1">'Cost Input'!$F68/100*(J39+J40)+'Cost Input'!$F69/100*J45</f>
        <v>133.54998495588947</v>
      </c>
    </row>
    <row r="44" spans="1:10">
      <c r="A44" s="7" t="s">
        <v>165</v>
      </c>
      <c r="B44" s="7"/>
      <c r="C44" s="7"/>
      <c r="D44" s="76"/>
      <c r="E44" s="76"/>
      <c r="F44" s="98">
        <f ca="1">F45*'Cost Input'!$F70/100</f>
        <v>190.77833929158871</v>
      </c>
      <c r="G44" s="98">
        <f ca="1">G45*'Cost Input'!$F70/100</f>
        <v>245.57541791278811</v>
      </c>
      <c r="H44" s="98">
        <f ca="1">H45*'Cost Input'!$F70/100</f>
        <v>247.10666247138289</v>
      </c>
      <c r="I44" s="98">
        <f ca="1">I45*'Cost Input'!$F70/100</f>
        <v>122.1003805846818</v>
      </c>
      <c r="J44" s="98">
        <f ca="1">J45*'Cost Input'!$F70/100</f>
        <v>122.1003805846818</v>
      </c>
    </row>
    <row r="45" spans="1:10">
      <c r="A45" s="7" t="s">
        <v>166</v>
      </c>
      <c r="B45" s="7"/>
      <c r="C45" s="7"/>
      <c r="D45" s="76"/>
      <c r="E45" s="76"/>
      <c r="F45" s="98">
        <f ca="1">('Cost Input'!$F72/100*'Manufacturing Cost Calculations'!F262+'Cost Input'!$F73/100*'Manufacturing Cost Calculations'!F263*'Cost Input'!$F55/1000000)*1000000/'Manufacturing Cost Calculations'!F6</f>
        <v>476.94584822897235</v>
      </c>
      <c r="G45" s="98">
        <f ca="1">('Cost Input'!$F72/100*'Manufacturing Cost Calculations'!G262+'Cost Input'!$F73/100*'Manufacturing Cost Calculations'!G263*'Cost Input'!$F55/1000000)*1000000/'Manufacturing Cost Calculations'!G6</f>
        <v>613.93854478196988</v>
      </c>
      <c r="H45" s="98">
        <f ca="1">('Cost Input'!$F72/100*'Manufacturing Cost Calculations'!H262+'Cost Input'!$F73/100*'Manufacturing Cost Calculations'!H263*'Cost Input'!$F55/1000000)*1000000/'Manufacturing Cost Calculations'!H6</f>
        <v>617.76665617845697</v>
      </c>
      <c r="I45" s="98">
        <f ca="1">('Cost Input'!$F72/100*'Manufacturing Cost Calculations'!I262+'Cost Input'!$F73/100*'Manufacturing Cost Calculations'!I263*'Cost Input'!$F55/1000000)*1000000/'Manufacturing Cost Calculations'!I6</f>
        <v>305.25095146170463</v>
      </c>
      <c r="J45" s="98">
        <f ca="1">('Cost Input'!$F72/100*'Manufacturing Cost Calculations'!J262+'Cost Input'!$F73/100*'Manufacturing Cost Calculations'!J263*'Cost Input'!$F55/1000000)*1000000/'Manufacturing Cost Calculations'!J6</f>
        <v>305.25095146170463</v>
      </c>
    </row>
    <row r="46" spans="1:10">
      <c r="A46" s="7" t="s">
        <v>167</v>
      </c>
      <c r="B46" s="7"/>
      <c r="C46" s="7"/>
      <c r="D46" s="76"/>
      <c r="E46" s="76"/>
      <c r="F46" s="99">
        <f ca="1">F43+F44+F45</f>
        <v>877.39413453804582</v>
      </c>
      <c r="G46" s="99">
        <f ca="1">G43+G44+G45</f>
        <v>1127.9078162014735</v>
      </c>
      <c r="H46" s="99">
        <f ca="1">H43+H44+H45</f>
        <v>1134.4066528841918</v>
      </c>
      <c r="I46" s="99">
        <f ca="1">I43+I44+I45</f>
        <v>560.90131700227585</v>
      </c>
      <c r="J46" s="99">
        <f ca="1">J43+J44+J45</f>
        <v>560.90131700227585</v>
      </c>
    </row>
    <row r="47" spans="1:10">
      <c r="A47" s="7" t="s">
        <v>168</v>
      </c>
      <c r="B47" s="7"/>
      <c r="C47" s="7"/>
      <c r="D47" s="66"/>
      <c r="E47" s="76"/>
      <c r="F47" s="98">
        <f ca="1">'Cost Input'!$F74/100*F23*1000000/'Manufacturing Cost Calculations'!F6</f>
        <v>226.47603952673006</v>
      </c>
      <c r="G47" s="98">
        <f ca="1">'Cost Input'!$F74/100*G23*1000000/'Manufacturing Cost Calculations'!G6</f>
        <v>279.30460797061812</v>
      </c>
      <c r="H47" s="98">
        <f ca="1">'Cost Input'!$F74/100*H23*1000000/'Manufacturing Cost Calculations'!H6</f>
        <v>283.27819168959724</v>
      </c>
      <c r="I47" s="98">
        <f ca="1">'Cost Input'!$F74/100*I23*1000000/'Manufacturing Cost Calculations'!I6</f>
        <v>140.00547303634957</v>
      </c>
      <c r="J47" s="98">
        <f ca="1">'Cost Input'!$F74/100*J23*1000000/'Manufacturing Cost Calculations'!J6</f>
        <v>140.00547303634957</v>
      </c>
    </row>
    <row r="48" spans="1:10">
      <c r="A48" s="7" t="s">
        <v>373</v>
      </c>
      <c r="B48" s="7"/>
      <c r="C48" s="7"/>
      <c r="D48" s="76"/>
      <c r="E48" s="76"/>
      <c r="F48" s="99">
        <f ca="1">F41+F46+F47</f>
        <v>6185.2693803652501</v>
      </c>
      <c r="G48" s="99">
        <f ca="1">G41+G46+G47</f>
        <v>6846.8478146478537</v>
      </c>
      <c r="H48" s="99">
        <f ca="1">H41+H46+H47</f>
        <v>7140.3016942808836</v>
      </c>
      <c r="I48" s="99">
        <f ca="1">I41+I46+I47</f>
        <v>3518.3472167779059</v>
      </c>
      <c r="J48" s="99">
        <f ca="1">J41+J46+J47</f>
        <v>3518.3472167779059</v>
      </c>
    </row>
    <row r="49" spans="1:10" ht="15.75">
      <c r="A49" s="19" t="s">
        <v>180</v>
      </c>
      <c r="B49" s="5"/>
      <c r="C49" s="5"/>
      <c r="D49" s="76"/>
      <c r="E49" s="76"/>
      <c r="F49" s="71"/>
      <c r="G49" s="71"/>
      <c r="H49" s="71"/>
      <c r="I49" s="71"/>
      <c r="J49" s="71"/>
    </row>
    <row r="50" spans="1:10">
      <c r="A50" s="7" t="s">
        <v>243</v>
      </c>
      <c r="B50" s="7"/>
      <c r="C50" s="7"/>
      <c r="F50" s="100">
        <f ca="1">F27</f>
        <v>4126.2502198061511</v>
      </c>
      <c r="G50" s="100">
        <f ca="1">G27</f>
        <v>4213.2725965092195</v>
      </c>
      <c r="H50" s="100">
        <f ca="1">H27</f>
        <v>4247.3639198148931</v>
      </c>
      <c r="I50" s="100">
        <f ca="1">I27</f>
        <v>2083.4132944796293</v>
      </c>
      <c r="J50" s="100">
        <f ca="1">J27</f>
        <v>2083.4132944796293</v>
      </c>
    </row>
    <row r="51" spans="1:10">
      <c r="A51" s="7" t="s">
        <v>242</v>
      </c>
      <c r="B51" s="7"/>
      <c r="C51" s="7"/>
      <c r="F51" s="100">
        <f ca="1">F28+F29</f>
        <v>593.41504665335424</v>
      </c>
      <c r="G51" s="100">
        <f ca="1">G28+G29</f>
        <v>766.7259247216515</v>
      </c>
      <c r="H51" s="100">
        <f ca="1">H28+H29</f>
        <v>1014.88624913325</v>
      </c>
      <c r="I51" s="100">
        <f ca="1">I28+I29</f>
        <v>505.07814389779804</v>
      </c>
      <c r="J51" s="100">
        <f ca="1">J28+J29</f>
        <v>505.07814389779804</v>
      </c>
    </row>
    <row r="52" spans="1:10">
      <c r="A52" s="7" t="s">
        <v>169</v>
      </c>
      <c r="B52" s="7"/>
      <c r="C52" s="7"/>
      <c r="F52" s="100">
        <f t="shared" ref="F52:J53" ca="1" si="0">F39</f>
        <v>190.24626442512343</v>
      </c>
      <c r="G52" s="100">
        <f t="shared" ca="1" si="0"/>
        <v>240.60654306321263</v>
      </c>
      <c r="H52" s="100">
        <f t="shared" ca="1" si="0"/>
        <v>240.58096394518518</v>
      </c>
      <c r="I52" s="100">
        <f t="shared" ca="1" si="0"/>
        <v>119.9277129067946</v>
      </c>
      <c r="J52" s="100">
        <f t="shared" ca="1" si="0"/>
        <v>119.9277129067946</v>
      </c>
    </row>
    <row r="53" spans="1:10">
      <c r="A53" s="7" t="s">
        <v>170</v>
      </c>
      <c r="B53" s="7"/>
      <c r="C53" s="7"/>
      <c r="F53" s="100">
        <f t="shared" ca="1" si="0"/>
        <v>171.48767541584374</v>
      </c>
      <c r="G53" s="100">
        <f t="shared" ca="1" si="0"/>
        <v>219.03032618167913</v>
      </c>
      <c r="H53" s="100">
        <f t="shared" ca="1" si="0"/>
        <v>219.78571681376553</v>
      </c>
      <c r="I53" s="100">
        <f t="shared" ca="1" si="0"/>
        <v>109.02127545505874</v>
      </c>
      <c r="J53" s="100">
        <f t="shared" ca="1" si="0"/>
        <v>109.02127545505874</v>
      </c>
    </row>
    <row r="54" spans="1:10">
      <c r="A54" s="7" t="s">
        <v>164</v>
      </c>
      <c r="B54" s="7"/>
      <c r="C54" s="7"/>
      <c r="F54" s="76">
        <f t="shared" ref="F54:J56" ca="1" si="1">F43</f>
        <v>209.66994701748473</v>
      </c>
      <c r="G54" s="76">
        <f t="shared" ca="1" si="1"/>
        <v>268.39385350671546</v>
      </c>
      <c r="H54" s="76">
        <f t="shared" ca="1" si="1"/>
        <v>269.53333423435197</v>
      </c>
      <c r="I54" s="76">
        <f t="shared" ca="1" si="1"/>
        <v>133.54998495588947</v>
      </c>
      <c r="J54" s="76">
        <f t="shared" ca="1" si="1"/>
        <v>133.54998495588947</v>
      </c>
    </row>
    <row r="55" spans="1:10">
      <c r="A55" s="7" t="s">
        <v>165</v>
      </c>
      <c r="B55" s="7"/>
      <c r="C55" s="7"/>
      <c r="F55" s="100">
        <f t="shared" ca="1" si="1"/>
        <v>190.77833929158871</v>
      </c>
      <c r="G55" s="100">
        <f t="shared" ca="1" si="1"/>
        <v>245.57541791278811</v>
      </c>
      <c r="H55" s="100">
        <f t="shared" ca="1" si="1"/>
        <v>247.10666247138289</v>
      </c>
      <c r="I55" s="100">
        <f t="shared" ca="1" si="1"/>
        <v>122.1003805846818</v>
      </c>
      <c r="J55" s="100">
        <f t="shared" ca="1" si="1"/>
        <v>122.1003805846818</v>
      </c>
    </row>
    <row r="56" spans="1:10">
      <c r="A56" s="7" t="s">
        <v>166</v>
      </c>
      <c r="B56" s="7"/>
      <c r="C56" s="7"/>
      <c r="F56" s="100">
        <f t="shared" ca="1" si="1"/>
        <v>476.94584822897235</v>
      </c>
      <c r="G56" s="100">
        <f t="shared" ca="1" si="1"/>
        <v>613.93854478196988</v>
      </c>
      <c r="H56" s="100">
        <f t="shared" ca="1" si="1"/>
        <v>617.76665617845697</v>
      </c>
      <c r="I56" s="100">
        <f t="shared" ca="1" si="1"/>
        <v>305.25095146170463</v>
      </c>
      <c r="J56" s="100">
        <f t="shared" ca="1" si="1"/>
        <v>305.25095146170463</v>
      </c>
    </row>
    <row r="57" spans="1:10">
      <c r="A57" s="7" t="s">
        <v>171</v>
      </c>
      <c r="B57" s="7"/>
      <c r="C57" s="7"/>
      <c r="F57" s="209">
        <f ca="1">F47</f>
        <v>226.47603952673006</v>
      </c>
      <c r="G57" s="209">
        <f ca="1">G47</f>
        <v>279.30460797061812</v>
      </c>
      <c r="H57" s="209">
        <f ca="1">H47</f>
        <v>283.27819168959724</v>
      </c>
      <c r="I57" s="209">
        <f ca="1">I47</f>
        <v>140.00547303634957</v>
      </c>
      <c r="J57" s="209">
        <f ca="1">J47</f>
        <v>140.00547303634957</v>
      </c>
    </row>
    <row r="58" spans="1:10">
      <c r="A58" s="7" t="s">
        <v>354</v>
      </c>
      <c r="B58" s="7"/>
      <c r="C58" s="7"/>
      <c r="F58" s="101">
        <f ca="1">'Cost Input'!$F75/100*SUM(F50:F57)</f>
        <v>346.37508530045392</v>
      </c>
      <c r="G58" s="101">
        <f ca="1">'Cost Input'!$F75/100*SUM(G50:G57)</f>
        <v>383.42347762027975</v>
      </c>
      <c r="H58" s="101">
        <f ca="1">'Cost Input'!$F75/100*SUM(H50:H57)</f>
        <v>399.85689487972945</v>
      </c>
      <c r="I58" s="101">
        <f ca="1">'Cost Input'!$F75/100*SUM(I50:I57)</f>
        <v>197.0274441395627</v>
      </c>
      <c r="J58" s="101">
        <f ca="1">'Cost Input'!$F75/100*SUM(J50:J57)</f>
        <v>197.0274441395627</v>
      </c>
    </row>
    <row r="59" spans="1:10">
      <c r="A59" s="7" t="s">
        <v>377</v>
      </c>
      <c r="F59" s="100">
        <f ca="1">SUM(F50:F58)</f>
        <v>6531.6444656657031</v>
      </c>
      <c r="G59" s="100">
        <f ca="1">SUM(G50:G58)</f>
        <v>7230.271292268133</v>
      </c>
      <c r="H59" s="100">
        <f ca="1">SUM(H50:H58)</f>
        <v>7540.1585891606128</v>
      </c>
      <c r="I59" s="100">
        <f ca="1">SUM(I50:I58)</f>
        <v>3715.3746609174686</v>
      </c>
      <c r="J59" s="100">
        <f ca="1">SUM(J50:J58)</f>
        <v>3715.3746609174686</v>
      </c>
    </row>
  </sheetData>
  <mergeCells count="1">
    <mergeCell ref="A1:J1"/>
  </mergeCells>
  <phoneticPr fontId="5" type="noConversion"/>
  <pageMargins left="0.75" right="0.75" top="1" bottom="1" header="0.5" footer="0.5"/>
  <pageSetup scale="86"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indexed="38"/>
    <pageSetUpPr fitToPage="1"/>
  </sheetPr>
  <dimension ref="A1:T200"/>
  <sheetViews>
    <sheetView zoomScaleNormal="100" workbookViewId="0">
      <selection activeCell="F4" sqref="F4"/>
    </sheetView>
  </sheetViews>
  <sheetFormatPr defaultRowHeight="12.75"/>
  <cols>
    <col min="1" max="2" width="10.7109375" customWidth="1"/>
    <col min="3" max="5" width="12.7109375" customWidth="1"/>
    <col min="6" max="10" width="10.7109375" customWidth="1"/>
    <col min="15" max="15" width="10.42578125" customWidth="1"/>
  </cols>
  <sheetData>
    <row r="1" spans="1:20" ht="18">
      <c r="A1" s="423" t="s">
        <v>412</v>
      </c>
      <c r="B1" s="423"/>
      <c r="C1" s="423"/>
      <c r="D1" s="423"/>
      <c r="E1" s="423"/>
      <c r="F1" s="423"/>
      <c r="G1" s="423"/>
      <c r="H1" s="423"/>
      <c r="I1" s="423"/>
      <c r="J1" s="423"/>
    </row>
    <row r="2" spans="1:20" ht="15.75">
      <c r="A2" s="8"/>
      <c r="B2" s="1"/>
      <c r="C2" s="1"/>
      <c r="D2" s="1"/>
      <c r="E2" s="1"/>
      <c r="F2" s="1"/>
      <c r="G2" s="1"/>
      <c r="H2" s="1"/>
      <c r="I2" s="1"/>
      <c r="J2" s="1"/>
    </row>
    <row r="3" spans="1:20" ht="15.75">
      <c r="A3" s="19" t="s">
        <v>413</v>
      </c>
    </row>
    <row r="4" spans="1:20">
      <c r="F4" s="61" t="s">
        <v>0</v>
      </c>
      <c r="G4" s="61" t="s">
        <v>1</v>
      </c>
      <c r="H4" s="61" t="s">
        <v>2</v>
      </c>
      <c r="I4" s="61" t="s">
        <v>3</v>
      </c>
      <c r="J4" s="61" t="s">
        <v>4</v>
      </c>
    </row>
    <row r="5" spans="1:20">
      <c r="A5" s="5" t="s">
        <v>724</v>
      </c>
      <c r="F5" s="65"/>
      <c r="G5" s="65"/>
      <c r="H5" s="65"/>
      <c r="I5" s="65"/>
      <c r="J5" s="65"/>
      <c r="K5" s="207"/>
    </row>
    <row r="6" spans="1:20" s="80" customFormat="1">
      <c r="A6" s="80" t="s">
        <v>728</v>
      </c>
      <c r="F6" s="359"/>
      <c r="G6" s="357"/>
      <c r="H6" s="357"/>
      <c r="I6" s="357"/>
      <c r="J6" s="357"/>
      <c r="K6" s="358"/>
    </row>
    <row r="7" spans="1:20">
      <c r="A7" s="356" t="s">
        <v>874</v>
      </c>
      <c r="F7" s="31">
        <f>'Battery Design'!F178</f>
        <v>300</v>
      </c>
      <c r="G7" s="31">
        <f>'Battery Design'!G178</f>
        <v>300</v>
      </c>
      <c r="H7" s="31">
        <f>'Battery Design'!H178</f>
        <v>300</v>
      </c>
      <c r="I7" s="31">
        <f>'Battery Design'!I178</f>
        <v>150</v>
      </c>
      <c r="J7" s="31">
        <f>'Battery Design'!J178</f>
        <v>150</v>
      </c>
      <c r="K7" s="356"/>
      <c r="P7" s="31"/>
      <c r="Q7" s="31"/>
      <c r="R7" s="31"/>
      <c r="S7" s="31"/>
      <c r="T7" s="31"/>
    </row>
    <row r="8" spans="1:20">
      <c r="A8" s="321" t="s">
        <v>732</v>
      </c>
      <c r="F8" s="166">
        <f>'Battery Design'!F179</f>
        <v>50</v>
      </c>
      <c r="G8" s="166">
        <f>'Battery Design'!G179</f>
        <v>50</v>
      </c>
      <c r="H8" s="166">
        <f>'Battery Design'!H179</f>
        <v>50</v>
      </c>
      <c r="I8" s="166">
        <f>'Battery Design'!I179</f>
        <v>50</v>
      </c>
      <c r="J8" s="166">
        <f>'Battery Design'!J179</f>
        <v>50</v>
      </c>
      <c r="K8" s="321"/>
      <c r="L8" s="321"/>
      <c r="M8" s="321"/>
      <c r="N8" s="321"/>
      <c r="O8" s="321"/>
      <c r="P8" s="180"/>
      <c r="Q8" s="180"/>
      <c r="R8" s="180"/>
      <c r="S8" s="180"/>
      <c r="T8" s="180"/>
    </row>
    <row r="9" spans="1:20">
      <c r="A9" s="356" t="s">
        <v>875</v>
      </c>
      <c r="F9" s="141"/>
      <c r="G9" s="141"/>
      <c r="H9" s="141"/>
      <c r="I9" s="141"/>
      <c r="J9" s="141"/>
      <c r="K9" s="321"/>
      <c r="P9" s="109"/>
      <c r="Q9" s="109"/>
      <c r="R9" s="109"/>
      <c r="S9" s="109"/>
      <c r="T9" s="109"/>
    </row>
    <row r="10" spans="1:20">
      <c r="A10" s="321" t="s">
        <v>727</v>
      </c>
      <c r="B10" s="321"/>
      <c r="C10" s="321"/>
      <c r="D10" s="321"/>
      <c r="E10" s="321"/>
      <c r="F10" s="180">
        <f>1.5*F7/300</f>
        <v>1.5</v>
      </c>
      <c r="G10" s="180">
        <f t="shared" ref="G10:J10" si="0">1.5*G7/300</f>
        <v>1.5</v>
      </c>
      <c r="H10" s="180">
        <f t="shared" si="0"/>
        <v>1.5</v>
      </c>
      <c r="I10" s="180">
        <f t="shared" si="0"/>
        <v>0.75</v>
      </c>
      <c r="J10" s="180">
        <f t="shared" si="0"/>
        <v>0.75</v>
      </c>
      <c r="K10" s="356"/>
      <c r="L10" s="321"/>
      <c r="M10" s="321"/>
      <c r="N10" s="321"/>
      <c r="O10" s="321"/>
      <c r="P10" s="369"/>
      <c r="Q10" s="369"/>
      <c r="R10" s="369"/>
      <c r="S10" s="369"/>
      <c r="T10" s="369"/>
    </row>
    <row r="11" spans="1:20">
      <c r="A11" s="321" t="s">
        <v>736</v>
      </c>
      <c r="F11" s="363">
        <f>0.09*(F7/300)^1.2</f>
        <v>0.09</v>
      </c>
      <c r="G11" s="363">
        <f t="shared" ref="G11:J11" si="1">0.09*(G7/300)^1.2</f>
        <v>0.09</v>
      </c>
      <c r="H11" s="363">
        <f t="shared" si="1"/>
        <v>0.09</v>
      </c>
      <c r="I11" s="363">
        <f t="shared" si="1"/>
        <v>3.9174775348325586E-2</v>
      </c>
      <c r="J11" s="363">
        <f t="shared" si="1"/>
        <v>3.9174775348325586E-2</v>
      </c>
      <c r="K11" s="321"/>
      <c r="L11" s="321"/>
      <c r="M11" s="321"/>
      <c r="N11" s="321"/>
      <c r="O11" s="321"/>
      <c r="P11" s="360"/>
      <c r="Q11" s="360"/>
      <c r="R11" s="360"/>
      <c r="S11" s="360"/>
      <c r="T11" s="360"/>
    </row>
    <row r="12" spans="1:20">
      <c r="A12" s="321" t="s">
        <v>734</v>
      </c>
      <c r="F12" s="109">
        <f>F14-F11*F8-F10</f>
        <v>9</v>
      </c>
      <c r="G12" s="109">
        <f t="shared" ref="G12:J12" si="2">G14-G11*G8-G10</f>
        <v>9</v>
      </c>
      <c r="H12" s="109">
        <f t="shared" si="2"/>
        <v>9</v>
      </c>
      <c r="I12" s="109">
        <f t="shared" si="2"/>
        <v>4.7912612325837207</v>
      </c>
      <c r="J12" s="109">
        <f t="shared" si="2"/>
        <v>4.7912612325837207</v>
      </c>
      <c r="K12" s="321"/>
      <c r="P12" s="4"/>
      <c r="Q12" s="4"/>
      <c r="R12" s="4"/>
      <c r="S12" s="4"/>
      <c r="T12" s="4"/>
    </row>
    <row r="13" spans="1:20" ht="14.25">
      <c r="A13" s="321" t="s">
        <v>735</v>
      </c>
      <c r="B13" s="321"/>
      <c r="C13" s="321"/>
      <c r="D13" s="321"/>
      <c r="E13" s="321"/>
      <c r="F13" s="364">
        <f>F12/(F8)^3</f>
        <v>7.2000000000000002E-5</v>
      </c>
      <c r="G13" s="364">
        <f t="shared" ref="G13:J13" si="3">G12/(G8)^3</f>
        <v>7.2000000000000002E-5</v>
      </c>
      <c r="H13" s="364">
        <f t="shared" si="3"/>
        <v>7.2000000000000002E-5</v>
      </c>
      <c r="I13" s="364">
        <f t="shared" si="3"/>
        <v>3.8330089860669768E-5</v>
      </c>
      <c r="J13" s="364">
        <f t="shared" si="3"/>
        <v>3.8330089860669768E-5</v>
      </c>
      <c r="P13" s="31"/>
      <c r="Q13" s="31"/>
      <c r="R13" s="31"/>
      <c r="S13" s="31"/>
      <c r="T13" s="31"/>
    </row>
    <row r="14" spans="1:20">
      <c r="A14" s="321" t="s">
        <v>733</v>
      </c>
      <c r="B14" s="321"/>
      <c r="C14" s="321"/>
      <c r="D14" s="321"/>
      <c r="E14" s="321"/>
      <c r="F14" s="360">
        <f>F7/1000*F8</f>
        <v>15</v>
      </c>
      <c r="G14" s="360">
        <f t="shared" ref="G14:J14" si="4">G7/1000*G8</f>
        <v>15</v>
      </c>
      <c r="H14" s="360">
        <f t="shared" si="4"/>
        <v>15</v>
      </c>
      <c r="I14" s="360">
        <f t="shared" si="4"/>
        <v>7.5</v>
      </c>
      <c r="J14" s="360">
        <f t="shared" si="4"/>
        <v>7.5</v>
      </c>
      <c r="K14" s="207"/>
      <c r="O14" s="321"/>
      <c r="P14" s="369"/>
      <c r="Q14" s="369"/>
      <c r="R14" s="369"/>
      <c r="S14" s="369"/>
      <c r="T14" s="369"/>
    </row>
    <row r="15" spans="1:20">
      <c r="A15" s="321" t="s">
        <v>873</v>
      </c>
      <c r="F15" s="4">
        <f>'Battery Design'!F55</f>
        <v>120</v>
      </c>
      <c r="G15" s="4">
        <f>'Battery Design'!G55</f>
        <v>120</v>
      </c>
      <c r="H15" s="4">
        <f>'Battery Design'!H55</f>
        <v>120</v>
      </c>
      <c r="I15" s="4">
        <f>'Battery Design'!I55</f>
        <v>60</v>
      </c>
      <c r="J15" s="4">
        <f>'Battery Design'!J55</f>
        <v>60</v>
      </c>
      <c r="K15" s="207"/>
      <c r="O15" s="321"/>
      <c r="P15" s="21"/>
      <c r="Q15" s="21"/>
      <c r="R15" s="21"/>
      <c r="S15" s="21"/>
      <c r="T15" s="21"/>
    </row>
    <row r="16" spans="1:20">
      <c r="A16" s="321" t="s">
        <v>750</v>
      </c>
      <c r="F16" s="4"/>
      <c r="G16" s="4"/>
      <c r="H16" s="4"/>
      <c r="I16" s="4"/>
      <c r="J16" s="4"/>
      <c r="K16" s="207"/>
      <c r="O16" s="321"/>
      <c r="P16" s="21"/>
      <c r="Q16" s="21"/>
      <c r="R16" s="21"/>
      <c r="S16" s="21"/>
      <c r="T16" s="21"/>
    </row>
    <row r="17" spans="1:20" ht="14.25">
      <c r="A17" s="321" t="s">
        <v>746</v>
      </c>
      <c r="F17" s="324">
        <v>35</v>
      </c>
      <c r="G17" s="324">
        <v>35</v>
      </c>
      <c r="H17" s="324">
        <v>35</v>
      </c>
      <c r="I17" s="324">
        <v>35</v>
      </c>
      <c r="J17" s="324">
        <v>35</v>
      </c>
      <c r="K17" s="145"/>
      <c r="L17" s="145"/>
      <c r="M17" s="145"/>
      <c r="N17" s="145"/>
      <c r="O17" s="145"/>
      <c r="P17" s="21"/>
      <c r="Q17" s="21"/>
      <c r="R17" s="21"/>
      <c r="S17" s="21"/>
      <c r="T17" s="21"/>
    </row>
    <row r="18" spans="1:20" ht="14.25">
      <c r="A18" s="321" t="s">
        <v>745</v>
      </c>
      <c r="F18" s="6">
        <f ca="1">IF('Battery Design'!F193=0,30,IF(F67="EG-W",F112,F173))</f>
        <v>34.999999999998451</v>
      </c>
      <c r="G18" s="6">
        <f ca="1">IF('Battery Design'!G193=0,30,IF(G67="EG-W",G112,G173))</f>
        <v>34.999999999998167</v>
      </c>
      <c r="H18" s="6">
        <f ca="1">IF('Battery Design'!H193=0,30,IF(H67="EG-W",H112,H173))</f>
        <v>34.999999999998181</v>
      </c>
      <c r="I18" s="6">
        <f ca="1">IF('Battery Design'!I193=0,30,IF(I67="EG-W",I112,I173))</f>
        <v>34.999999999999496</v>
      </c>
      <c r="J18" s="6">
        <f ca="1">IF('Battery Design'!J193=0,30,IF(J67="EG-W",J112,J173))</f>
        <v>34.999999999999496</v>
      </c>
      <c r="K18" s="142"/>
      <c r="L18" s="142"/>
      <c r="M18" s="142"/>
      <c r="N18" s="142"/>
      <c r="O18" s="142"/>
      <c r="P18" s="21"/>
      <c r="Q18" s="21"/>
      <c r="R18" s="21"/>
      <c r="S18" s="21"/>
      <c r="T18" s="21"/>
    </row>
    <row r="19" spans="1:20">
      <c r="A19" s="321" t="s">
        <v>851</v>
      </c>
      <c r="F19" s="324"/>
      <c r="G19" s="324"/>
      <c r="H19" s="324"/>
      <c r="I19" s="324"/>
      <c r="J19" s="324"/>
      <c r="K19" s="386"/>
      <c r="L19" s="185"/>
      <c r="M19" s="185"/>
      <c r="N19" s="185"/>
      <c r="O19" s="185"/>
      <c r="P19" s="185"/>
      <c r="R19" s="21"/>
      <c r="S19" s="21"/>
      <c r="T19" s="21"/>
    </row>
    <row r="20" spans="1:20">
      <c r="A20" s="321" t="s">
        <v>759</v>
      </c>
      <c r="F20" s="21">
        <f ca="1">IF(F19&gt;0,F19,IF('Battery Design'!F52="microHEV",30,IF('Battery Design'!F193=0,35,IF(F21="NA","NA",IF(F18=F17,F21,F21+0.5*(F17-F18))))))</f>
        <v>88.925400743864259</v>
      </c>
      <c r="G20" s="21">
        <f ca="1">IF(G19&gt;0,G19,IF('Battery Design'!G52="microHEV",30,IF('Battery Design'!G193=0,35,IF(G21="NA","NA",IF(G18=G17,G21,G21+0.5*(G17-G18))))))</f>
        <v>92.071757346285096</v>
      </c>
      <c r="H20" s="21">
        <f ca="1">IF(H19&gt;0,H19,IF('Battery Design'!H52="microHEV",30,IF('Battery Design'!H193=0,35,IF(H21="NA","NA",IF(H18=H17,H21,H21+0.5*(H17-H18))))))</f>
        <v>89.907971211459255</v>
      </c>
      <c r="I20" s="21">
        <f ca="1">IF(I19&gt;0,I19,IF('Battery Design'!I52="microHEV",30,IF('Battery Design'!I193=0,35,IF(I21="NA","NA",IF(I18=I17,I21,I21+0.5*(I17-I18))))))</f>
        <v>88.216024725517684</v>
      </c>
      <c r="J20" s="21">
        <f ca="1">IF(J19&gt;0,J19,IF('Battery Design'!J52="microHEV",30,IF('Battery Design'!J193=0,35,IF(J21="NA","NA",IF(J18=J17,J21,J21+0.5*(J17-J18))))))</f>
        <v>88.216024725517684</v>
      </c>
      <c r="K20" s="142"/>
      <c r="L20" s="185"/>
      <c r="M20" s="185"/>
      <c r="N20" s="185"/>
      <c r="O20" s="185"/>
      <c r="P20" s="71"/>
      <c r="Q20" s="21"/>
      <c r="R20" s="21"/>
      <c r="S20" s="21"/>
      <c r="T20" s="21"/>
    </row>
    <row r="21" spans="1:20">
      <c r="A21" s="321" t="s">
        <v>853</v>
      </c>
      <c r="F21" s="6">
        <f ca="1">IF(F36&gt;0,"NA",F20)</f>
        <v>88.925400743864259</v>
      </c>
      <c r="G21" s="6">
        <f t="shared" ref="G21:J21" ca="1" si="5">IF(G36&gt;0,"NA",G20)</f>
        <v>92.071757346285096</v>
      </c>
      <c r="H21" s="6">
        <f t="shared" ca="1" si="5"/>
        <v>89.907971211459255</v>
      </c>
      <c r="I21" s="6">
        <f t="shared" ca="1" si="5"/>
        <v>88.216024725517684</v>
      </c>
      <c r="J21" s="6">
        <f t="shared" ca="1" si="5"/>
        <v>88.216024725517684</v>
      </c>
      <c r="K21" s="142"/>
      <c r="L21" s="142"/>
      <c r="M21" s="142"/>
      <c r="N21" s="142"/>
      <c r="O21" s="142"/>
    </row>
    <row r="22" spans="1:20">
      <c r="A22" s="321" t="s">
        <v>744</v>
      </c>
      <c r="F22" s="6">
        <f ca="1" xml:space="preserve"> IF(F19=0,F20,F19)</f>
        <v>88.925400743864259</v>
      </c>
      <c r="G22" s="6">
        <f t="shared" ref="G22:J22" ca="1" si="6" xml:space="preserve"> IF(G19=0,G20,G19)</f>
        <v>92.071757346285096</v>
      </c>
      <c r="H22" s="6">
        <f t="shared" ca="1" si="6"/>
        <v>89.907971211459255</v>
      </c>
      <c r="I22" s="6">
        <f t="shared" ca="1" si="6"/>
        <v>88.216024725517684</v>
      </c>
      <c r="J22" s="6">
        <f t="shared" ca="1" si="6"/>
        <v>88.216024725517684</v>
      </c>
      <c r="K22" s="142"/>
      <c r="L22" s="142"/>
      <c r="M22" s="142"/>
      <c r="N22" s="142"/>
      <c r="O22" s="142"/>
      <c r="P22" s="21"/>
      <c r="Q22" s="21"/>
      <c r="R22" s="21"/>
      <c r="S22" s="21"/>
      <c r="T22" s="21"/>
    </row>
    <row r="23" spans="1:20">
      <c r="A23" s="356" t="s">
        <v>473</v>
      </c>
      <c r="B23" s="321"/>
      <c r="C23" s="321"/>
      <c r="D23" s="321"/>
      <c r="E23" s="321"/>
      <c r="F23" s="369" t="str">
        <f>IF('Battery Design'!F52="HEV-HP"," ","NA")</f>
        <v>NA</v>
      </c>
      <c r="G23" s="369" t="str">
        <f>IF('Battery Design'!G52="HEV-HP"," ","NA")</f>
        <v>NA</v>
      </c>
      <c r="H23" s="369" t="str">
        <f>IF('Battery Design'!H52="HEV-HP"," ","NA")</f>
        <v>NA</v>
      </c>
      <c r="I23" s="369" t="str">
        <f>IF('Battery Design'!I52="HEV-HP"," ","NA")</f>
        <v>NA</v>
      </c>
      <c r="J23" s="369" t="str">
        <f>IF('Battery Design'!J52="HEV-HP"," ","NA")</f>
        <v>NA</v>
      </c>
      <c r="K23" s="165"/>
      <c r="L23" s="165"/>
      <c r="M23" s="165"/>
      <c r="N23" s="165"/>
      <c r="O23" s="165"/>
    </row>
    <row r="24" spans="1:20" s="372" customFormat="1" ht="12.75" customHeight="1">
      <c r="A24" s="356" t="s">
        <v>725</v>
      </c>
      <c r="B24"/>
      <c r="C24"/>
      <c r="D24"/>
      <c r="E24"/>
      <c r="F24" s="140">
        <v>60</v>
      </c>
      <c r="G24" s="140">
        <v>60</v>
      </c>
      <c r="H24" s="140">
        <v>60</v>
      </c>
      <c r="I24" s="140">
        <v>60</v>
      </c>
      <c r="J24" s="140">
        <v>60</v>
      </c>
      <c r="K24" s="140"/>
      <c r="L24" s="140"/>
      <c r="M24" s="140"/>
      <c r="N24" s="140"/>
      <c r="O24" s="140"/>
    </row>
    <row r="25" spans="1:20">
      <c r="A25" s="356" t="s">
        <v>729</v>
      </c>
      <c r="F25" s="185">
        <f ca="1">1.2*'Battery Design'!F89/'Battery Design'!F103*'Battery Design'!F64/'Battery Design'!F57^2/'Battery Design'!F61^2</f>
        <v>0.25844478585347086</v>
      </c>
      <c r="G25" s="185">
        <f ca="1">1.2*'Battery Design'!G89/'Battery Design'!G103*'Battery Design'!G64/'Battery Design'!G57^2/'Battery Design'!G61^2</f>
        <v>0.25100459763124128</v>
      </c>
      <c r="H25" s="185">
        <f ca="1">1.2*'Battery Design'!H89/'Battery Design'!H103*'Battery Design'!H64/'Battery Design'!H57^2/'Battery Design'!H61^2</f>
        <v>0.23934622960596266</v>
      </c>
      <c r="I25" s="185">
        <f ca="1">1.2*'Battery Design'!I89/'Battery Design'!I103*'Battery Design'!I64/'Battery Design'!I57^2/'Battery Design'!I61^2</f>
        <v>0.48822982542005594</v>
      </c>
      <c r="J25" s="185">
        <f ca="1">1.2*'Battery Design'!J89/'Battery Design'!J103*'Battery Design'!J64/'Battery Design'!J57^2/'Battery Design'!J61^2</f>
        <v>0.48822982542005594</v>
      </c>
      <c r="K25" s="185"/>
      <c r="L25" s="185"/>
      <c r="M25" s="185"/>
      <c r="N25" s="185"/>
      <c r="O25" s="185"/>
    </row>
    <row r="26" spans="1:20">
      <c r="A26" s="321" t="s">
        <v>751</v>
      </c>
      <c r="F26" s="369"/>
      <c r="G26" s="369"/>
      <c r="H26" s="369"/>
      <c r="I26" s="369"/>
      <c r="J26" s="369"/>
      <c r="K26" s="165"/>
      <c r="L26" s="165"/>
      <c r="M26" s="165"/>
      <c r="N26" s="165"/>
      <c r="O26" s="165"/>
    </row>
    <row r="27" spans="1:20">
      <c r="A27" s="356" t="s">
        <v>729</v>
      </c>
      <c r="F27" s="185">
        <f ca="1">'Battery Design'!F90/'Battery Design'!F103*'Battery Design'!F64/'Battery Design'!F57^2/'Battery Design'!F61^2</f>
        <v>0.38538523969128574</v>
      </c>
      <c r="G27" s="185">
        <f ca="1">'Battery Design'!G90/'Battery Design'!G103*'Battery Design'!G64/'Battery Design'!G57^2/'Battery Design'!G61^2</f>
        <v>0.37578017072237524</v>
      </c>
      <c r="H27" s="185">
        <f ca="1">'Battery Design'!H90/'Battery Design'!H103*'Battery Design'!H64/'Battery Design'!H57^2/'Battery Design'!H61^2</f>
        <v>0.3662604408869638</v>
      </c>
      <c r="I27" s="185">
        <f ca="1">'Battery Design'!I90/'Battery Design'!I103*'Battery Design'!I64/'Battery Design'!I57^2/'Battery Design'!I61^2</f>
        <v>0.74714074300320865</v>
      </c>
      <c r="J27" s="185">
        <f ca="1">'Battery Design'!J90/'Battery Design'!J103*'Battery Design'!J64/'Battery Design'!J57^2/'Battery Design'!J61^2</f>
        <v>0.74714074300320865</v>
      </c>
      <c r="K27" s="185"/>
      <c r="L27" s="185"/>
      <c r="M27" s="185"/>
      <c r="N27" s="185"/>
      <c r="O27" s="185"/>
    </row>
    <row r="28" spans="1:20">
      <c r="A28" s="80" t="s">
        <v>842</v>
      </c>
      <c r="F28" s="274"/>
      <c r="G28" s="274"/>
      <c r="H28" s="274"/>
      <c r="I28" s="274"/>
      <c r="J28" s="274"/>
      <c r="K28" s="382"/>
      <c r="L28" s="382"/>
      <c r="M28" s="382"/>
      <c r="N28" s="382"/>
      <c r="O28" s="382"/>
    </row>
    <row r="29" spans="1:20">
      <c r="A29" s="356" t="s">
        <v>721</v>
      </c>
      <c r="F29" s="142">
        <f ca="1">F11*F22+F13*F22^3+F10</f>
        <v>60.133526466663511</v>
      </c>
      <c r="G29" s="142">
        <f t="shared" ref="G29:J29" ca="1" si="7">G11*G22+G13*G22^3+G10</f>
        <v>65.98328501367142</v>
      </c>
      <c r="H29" s="142">
        <f t="shared" ca="1" si="7"/>
        <v>61.918868427633839</v>
      </c>
      <c r="I29" s="142">
        <f t="shared" ca="1" si="7"/>
        <v>30.519565263133902</v>
      </c>
      <c r="J29" s="142">
        <f t="shared" ca="1" si="7"/>
        <v>30.519565263133902</v>
      </c>
      <c r="K29" s="142"/>
      <c r="L29" s="142"/>
      <c r="M29" s="142"/>
      <c r="N29" s="142"/>
      <c r="O29" s="142"/>
    </row>
    <row r="30" spans="1:20">
      <c r="A30" s="321" t="s">
        <v>730</v>
      </c>
      <c r="F30" s="185">
        <f ca="1">IF('Battery Design'!F52="HEV-HP",F25,F27)</f>
        <v>0.38538523969128574</v>
      </c>
      <c r="G30" s="185">
        <f ca="1">IF('Battery Design'!G52="HEV-HP",G25,G27)</f>
        <v>0.37578017072237524</v>
      </c>
      <c r="H30" s="185">
        <f ca="1">IF('Battery Design'!H52="HEV-HP",H25,H27)</f>
        <v>0.3662604408869638</v>
      </c>
      <c r="I30" s="185">
        <f ca="1">IF('Battery Design'!I52="HEV-HP",I25,I27)</f>
        <v>0.74714074300320865</v>
      </c>
      <c r="J30" s="185">
        <f ca="1">IF('Battery Design'!J52="HEV-HP",J25,J27)</f>
        <v>0.74714074300320865</v>
      </c>
      <c r="K30" s="185"/>
      <c r="L30" s="185"/>
      <c r="M30" s="185"/>
      <c r="N30" s="185"/>
      <c r="O30" s="185"/>
      <c r="P30" s="193"/>
      <c r="Q30" s="193"/>
      <c r="R30" s="193"/>
    </row>
    <row r="31" spans="1:20">
      <c r="A31" t="s">
        <v>741</v>
      </c>
      <c r="F31" s="4">
        <f ca="1">('Battery Design'!F139+('Battery Design'!F139^2-4*F30*F29*1000)^0.5)/2</f>
        <v>425.54090246940865</v>
      </c>
      <c r="G31" s="4">
        <f ca="1">('Battery Design'!G139+('Battery Design'!G139^2-4*G30*G29*1000)^0.5)/2</f>
        <v>421.12092615912559</v>
      </c>
      <c r="H31" s="4">
        <f ca="1">('Battery Design'!H139+('Battery Design'!H139^2-4*H30*H29*1000)^0.5)/2</f>
        <v>426.87313330297894</v>
      </c>
      <c r="I31" s="4">
        <f ca="1">('Battery Design'!I139+('Battery Design'!I139^2-4*I30*I29*1000)^0.5)/2</f>
        <v>426.54111968455436</v>
      </c>
      <c r="J31" s="4">
        <f ca="1">('Battery Design'!J139+('Battery Design'!J139^2-4*J30*J29*1000)^0.5)/2</f>
        <v>426.54111968455436</v>
      </c>
      <c r="K31" s="145"/>
      <c r="L31" s="145"/>
      <c r="M31" s="145"/>
      <c r="N31" s="145"/>
      <c r="O31" s="145"/>
    </row>
    <row r="32" spans="1:20">
      <c r="A32" t="s">
        <v>742</v>
      </c>
      <c r="F32" s="6">
        <f ca="1">F29*1000/F31</f>
        <v>141.31080259902021</v>
      </c>
      <c r="G32" s="6">
        <f t="shared" ref="G32:J32" ca="1" si="8">G29*1000/G31</f>
        <v>156.68488767698722</v>
      </c>
      <c r="H32" s="6">
        <f t="shared" ca="1" si="8"/>
        <v>145.0521562426045</v>
      </c>
      <c r="I32" s="6">
        <f t="shared" ca="1" si="8"/>
        <v>71.55128510401164</v>
      </c>
      <c r="J32" s="6">
        <f t="shared" ca="1" si="8"/>
        <v>71.55128510401164</v>
      </c>
      <c r="K32" s="142"/>
      <c r="L32" s="142"/>
      <c r="M32" s="142"/>
      <c r="N32" s="142"/>
      <c r="O32" s="142"/>
    </row>
    <row r="33" spans="1:20">
      <c r="A33" t="s">
        <v>722</v>
      </c>
      <c r="F33" s="4">
        <f ca="1">F32^2*F30*IF('Battery Design'!F52="HEP-HP",F24/100,1)</f>
        <v>7695.6587808661852</v>
      </c>
      <c r="G33" s="4">
        <f ca="1">G32^2*G30*IF('Battery Design'!G52="HEP-HP",G24/100,1)</f>
        <v>9225.4610712824488</v>
      </c>
      <c r="H33" s="4">
        <f ca="1">H32^2*H30*IF('Battery Design'!H52="HEP-HP",H24/100,1)</f>
        <v>7706.1665688163239</v>
      </c>
      <c r="I33" s="4">
        <f ca="1">I32^2*I30*IF('Battery Design'!I52="HEP-HP",I24/100,1)</f>
        <v>3825.0515867916888</v>
      </c>
      <c r="J33" s="4">
        <f ca="1">J32^2*J30*IF('Battery Design'!J52="HEP-HP",J24/100,1)</f>
        <v>3825.0515867916888</v>
      </c>
      <c r="K33" s="145"/>
      <c r="L33" s="145"/>
      <c r="M33" s="145"/>
      <c r="N33" s="145"/>
      <c r="O33" s="145"/>
    </row>
    <row r="34" spans="1:20">
      <c r="A34" t="s">
        <v>723</v>
      </c>
      <c r="F34" s="6">
        <f ca="1">F29/(F29+F33/1000)*100</f>
        <v>88.654354681126804</v>
      </c>
      <c r="G34" s="6">
        <f t="shared" ref="G34:J34" ca="1" si="9">G29/(G29+G33/1000)*100</f>
        <v>87.73352628315115</v>
      </c>
      <c r="H34" s="6">
        <f t="shared" ca="1" si="9"/>
        <v>88.931902771453935</v>
      </c>
      <c r="I34" s="6">
        <f t="shared" ca="1" si="9"/>
        <v>88.862733267615482</v>
      </c>
      <c r="J34" s="6">
        <f t="shared" ca="1" si="9"/>
        <v>88.862733267615482</v>
      </c>
      <c r="K34" s="142"/>
      <c r="L34" s="142"/>
      <c r="M34" s="142"/>
      <c r="N34" s="142"/>
      <c r="O34" s="142"/>
    </row>
    <row r="35" spans="1:20">
      <c r="A35" s="232" t="s">
        <v>573</v>
      </c>
      <c r="F35" s="279">
        <v>100</v>
      </c>
      <c r="G35" s="279">
        <v>100</v>
      </c>
      <c r="H35" s="279">
        <v>100</v>
      </c>
      <c r="I35" s="279">
        <v>100</v>
      </c>
      <c r="J35" s="279">
        <v>100</v>
      </c>
      <c r="K35" s="180"/>
      <c r="L35" s="180"/>
      <c r="M35" s="180"/>
      <c r="N35" s="180"/>
      <c r="O35" s="180"/>
    </row>
    <row r="36" spans="1:20">
      <c r="A36" t="s">
        <v>472</v>
      </c>
      <c r="F36" s="238"/>
      <c r="G36" s="238"/>
      <c r="H36" s="238"/>
      <c r="I36" s="238"/>
      <c r="J36" s="238"/>
      <c r="K36" s="142"/>
      <c r="L36" s="142"/>
      <c r="M36" s="142"/>
      <c r="N36" s="142"/>
      <c r="O36" s="142"/>
    </row>
    <row r="37" spans="1:20">
      <c r="A37" s="321" t="s">
        <v>840</v>
      </c>
      <c r="B37" s="7"/>
      <c r="C37" s="7"/>
      <c r="D37" s="7"/>
      <c r="E37" s="7"/>
      <c r="F37" s="255">
        <f ca="1">IF(F36&gt;0,F36,IF('Battery Design'!F52="microHEV",F35,F33))</f>
        <v>7695.6587808661852</v>
      </c>
      <c r="G37" s="255">
        <f ca="1">IF(G36&gt;0,G36,IF('Battery Design'!G52="microHEV",G35,G33))</f>
        <v>9225.4610712824488</v>
      </c>
      <c r="H37" s="255">
        <f ca="1">IF(H36&gt;0,H36,IF('Battery Design'!H52="microHEV",H35,H33))</f>
        <v>7706.1665688163239</v>
      </c>
      <c r="I37" s="255">
        <f ca="1">IF(I36&gt;0,I36,IF('Battery Design'!I52="microHEV",I35,I33))</f>
        <v>3825.0515867916888</v>
      </c>
      <c r="J37" s="255">
        <f ca="1">IF(J36&gt;0,J36,IF('Battery Design'!J52="microHEV",J35,J33))</f>
        <v>3825.0515867916888</v>
      </c>
      <c r="K37" s="383"/>
      <c r="L37" s="383"/>
      <c r="M37" s="383"/>
      <c r="N37" s="383"/>
      <c r="O37" s="383"/>
    </row>
    <row r="38" spans="1:20">
      <c r="A38" s="321" t="s">
        <v>841</v>
      </c>
      <c r="B38" s="7"/>
      <c r="C38" s="7"/>
      <c r="D38" s="7"/>
      <c r="E38" s="7"/>
      <c r="F38" s="255">
        <f ca="1">IF(F67="EG-W",F105,F165+F166)*'Battery Design'!F62</f>
        <v>3082.6705003783159</v>
      </c>
      <c r="G38" s="255">
        <f ca="1">IF(G67="EG-W",G105,G165+G166)*'Battery Design'!G62</f>
        <v>3695.4674715489082</v>
      </c>
      <c r="H38" s="255">
        <f ca="1">IF(H67="EG-W",H105,H165+H166)*'Battery Design'!H62</f>
        <v>3086.879632937374</v>
      </c>
      <c r="I38" s="255">
        <f ca="1">IF(I67="EG-W",I105,I165+I166)*'Battery Design'!I62</f>
        <v>3064.4221696380969</v>
      </c>
      <c r="J38" s="255">
        <f ca="1">IF(J67="EG-W",J105,J165+J166)*'Battery Design'!J62</f>
        <v>3064.4221696380969</v>
      </c>
      <c r="K38" s="383"/>
      <c r="L38" s="383"/>
      <c r="M38" s="383"/>
      <c r="N38" s="383"/>
      <c r="O38" s="383"/>
    </row>
    <row r="39" spans="1:20" ht="15">
      <c r="A39" s="396" t="s">
        <v>852</v>
      </c>
      <c r="B39" s="395"/>
      <c r="C39" s="395"/>
      <c r="D39" s="395"/>
      <c r="E39" s="395"/>
      <c r="F39" s="398" t="str">
        <f ca="1">IF(AND('Battery Design'!F52="microHEV",'Battery Design'!F169/'Battery Design'!F168&gt;1.5),"X",IF(AND('Battery Design'!F52="HEV-HP",'Battery Design'!F169/'Battery Design'!F168&gt;1.2),"X",IF(AND('Battery Design'!F52="PHEV",'Battery Design'!F169/'Battery Design'!F168&gt;1),"X",IF(AND('Battery Design'!F52="EV",'Battery Design'!F169/'Battery Design'!F168&gt;1),"X"," "))))</f>
        <v xml:space="preserve"> </v>
      </c>
      <c r="G39" s="398" t="str">
        <f ca="1">IF(AND('Battery Design'!G52="microHEV",'Battery Design'!G169/'Battery Design'!G168&gt;1.5),"X",IF(AND('Battery Design'!G52="HEV-HP",'Battery Design'!G169/'Battery Design'!G168&gt;1.2),"X",IF(AND('Battery Design'!G52="PHEV",'Battery Design'!G169/'Battery Design'!G168&gt;1),"X",IF(AND('Battery Design'!G52="EV",'Battery Design'!G169/'Battery Design'!G168&gt;1),"X"," "))))</f>
        <v xml:space="preserve"> </v>
      </c>
      <c r="H39" s="398" t="str">
        <f ca="1">IF(AND('Battery Design'!H52="microHEV",'Battery Design'!H169/'Battery Design'!H168&gt;1.5),"X",IF(AND('Battery Design'!H52="HEV-HP",'Battery Design'!H169/'Battery Design'!H168&gt;1.2),"X",IF(AND('Battery Design'!H52="PHEV",'Battery Design'!H169/'Battery Design'!H168&gt;1),"X",IF(AND('Battery Design'!H52="EV",'Battery Design'!H169/'Battery Design'!H168&gt;1),"X"," "))))</f>
        <v xml:space="preserve"> </v>
      </c>
      <c r="I39" s="398" t="str">
        <f ca="1">IF(AND('Battery Design'!I52="microHEV",'Battery Design'!I169/'Battery Design'!I168&gt;1.5),"X",IF(AND('Battery Design'!I52="HEV-HP",'Battery Design'!I169/'Battery Design'!I168&gt;1.2),"X",IF(AND('Battery Design'!I52="PHEV",'Battery Design'!I169/'Battery Design'!I168&gt;1),"X",IF(AND('Battery Design'!I52="EV",'Battery Design'!I169/'Battery Design'!I168&gt;1),"X"," "))))</f>
        <v xml:space="preserve"> </v>
      </c>
      <c r="J39" s="398" t="str">
        <f ca="1">IF(AND('Battery Design'!J52="microHEV",'Battery Design'!J169/'Battery Design'!J168&gt;1.5),"X",IF(AND('Battery Design'!J52="HEV-HP",'Battery Design'!J169/'Battery Design'!J168&gt;1.2),"X",IF(AND('Battery Design'!J52="PHEV",'Battery Design'!J169/'Battery Design'!J168&gt;1),"X",IF(AND('Battery Design'!J52="EV",'Battery Design'!J169/'Battery Design'!J168&gt;1),"X"," "))))</f>
        <v xml:space="preserve"> </v>
      </c>
      <c r="K39" s="383"/>
      <c r="L39" s="383"/>
      <c r="M39" s="383"/>
      <c r="N39" s="383"/>
      <c r="O39" s="383"/>
    </row>
    <row r="40" spans="1:20" ht="15">
      <c r="A40" s="396" t="s">
        <v>738</v>
      </c>
      <c r="B40" s="395"/>
      <c r="C40" s="395"/>
      <c r="D40" s="395"/>
      <c r="E40" s="395"/>
      <c r="F40" s="397" t="str">
        <f ca="1">IF(F18&lt;35.01,"Excellent",IF(F18&lt;40.01,"Good",IF(F18&lt;45.01,"Fair","Poor")))</f>
        <v>Excellent</v>
      </c>
      <c r="G40" s="397" t="str">
        <f ca="1">IF(G18&lt;35.01,"Excellent",IF(G18&lt;40.01,"Good",IF(G18&lt;45.01,"Fair","Poor")))</f>
        <v>Excellent</v>
      </c>
      <c r="H40" s="397" t="str">
        <f ca="1">IF(H18&lt;35.01,"Excellent",IF(H18&lt;40.01,"Good",IF(H18&lt;45.01,"Fair","Poor")))</f>
        <v>Excellent</v>
      </c>
      <c r="I40" s="397" t="str">
        <f ca="1">IF(I18&lt;35.01,"Excellent",IF(I18&lt;40.01,"Good",IF(I18&lt;45.01,"Fair","Poor")))</f>
        <v>Excellent</v>
      </c>
      <c r="J40" s="397" t="str">
        <f ca="1">IF(J18&lt;35.01,"Excellent",IF(J18&lt;40.01,"Good",IF(J18&lt;45.01,"Fair","Poor")))</f>
        <v>Excellent</v>
      </c>
      <c r="K40" s="207"/>
      <c r="O40" s="321"/>
      <c r="P40" s="21"/>
      <c r="Q40" s="21"/>
      <c r="R40" s="21"/>
      <c r="S40" s="21"/>
      <c r="T40" s="21"/>
    </row>
    <row r="41" spans="1:20">
      <c r="A41" s="5" t="s">
        <v>574</v>
      </c>
      <c r="B41" s="7"/>
      <c r="C41" s="7"/>
      <c r="D41" s="7"/>
      <c r="E41" s="7"/>
      <c r="F41" s="255"/>
      <c r="G41" s="255"/>
      <c r="H41" s="255"/>
      <c r="I41" s="255"/>
      <c r="J41" s="255"/>
    </row>
    <row r="42" spans="1:20">
      <c r="A42" s="232" t="s">
        <v>414</v>
      </c>
      <c r="F42" s="6"/>
      <c r="G42" s="6"/>
      <c r="H42" s="6"/>
      <c r="I42" s="6"/>
      <c r="J42" s="6"/>
    </row>
    <row r="43" spans="1:20">
      <c r="A43" t="s">
        <v>415</v>
      </c>
      <c r="F43" s="6">
        <f>'Battery Design'!$D19</f>
        <v>20</v>
      </c>
      <c r="G43" s="6">
        <f>'Battery Design'!$D19</f>
        <v>20</v>
      </c>
      <c r="H43" s="6">
        <f>'Battery Design'!$D19</f>
        <v>20</v>
      </c>
      <c r="I43" s="6">
        <f>'Battery Design'!$D19</f>
        <v>20</v>
      </c>
      <c r="J43" s="6">
        <f>'Battery Design'!$D19</f>
        <v>20</v>
      </c>
    </row>
    <row r="44" spans="1:20">
      <c r="A44" t="s">
        <v>416</v>
      </c>
      <c r="F44" s="6">
        <f>'Battery Design'!$D20</f>
        <v>12</v>
      </c>
      <c r="G44" s="6">
        <f>'Battery Design'!$D20</f>
        <v>12</v>
      </c>
      <c r="H44" s="6">
        <f>'Battery Design'!$D20</f>
        <v>12</v>
      </c>
      <c r="I44" s="6">
        <f>'Battery Design'!$D20</f>
        <v>12</v>
      </c>
      <c r="J44" s="6">
        <f>'Battery Design'!$D20</f>
        <v>12</v>
      </c>
    </row>
    <row r="45" spans="1:20">
      <c r="A45" s="52" t="s">
        <v>417</v>
      </c>
      <c r="F45" s="6">
        <f ca="1">'Battery Design'!F98</f>
        <v>84.051030266522787</v>
      </c>
      <c r="G45" s="6">
        <f ca="1">'Battery Design'!G98</f>
        <v>84.051030266523099</v>
      </c>
      <c r="H45" s="6">
        <f ca="1">'Battery Design'!H98</f>
        <v>84.051030266523185</v>
      </c>
      <c r="I45" s="6">
        <f ca="1">'Battery Design'!I98</f>
        <v>84.051030266521067</v>
      </c>
      <c r="J45" s="6">
        <f ca="1">'Battery Design'!J98</f>
        <v>84.051030266521067</v>
      </c>
    </row>
    <row r="46" spans="1:20">
      <c r="A46" s="52" t="s">
        <v>418</v>
      </c>
      <c r="F46" s="6">
        <f ca="1">'Battery Design'!F99</f>
        <v>100</v>
      </c>
      <c r="G46" s="6">
        <f ca="1">'Battery Design'!G99</f>
        <v>100</v>
      </c>
      <c r="H46" s="6">
        <f ca="1">'Battery Design'!H99</f>
        <v>100</v>
      </c>
      <c r="I46" s="6">
        <f ca="1">'Battery Design'!I99</f>
        <v>100</v>
      </c>
      <c r="J46" s="6">
        <f ca="1">'Battery Design'!J99</f>
        <v>100</v>
      </c>
    </row>
    <row r="47" spans="1:20">
      <c r="A47" s="52" t="s">
        <v>217</v>
      </c>
      <c r="F47" s="6">
        <f>'Battery Design'!$D21</f>
        <v>20</v>
      </c>
      <c r="G47" s="6">
        <f>'Battery Design'!$D21</f>
        <v>20</v>
      </c>
      <c r="H47" s="6">
        <f>'Battery Design'!$D21</f>
        <v>20</v>
      </c>
      <c r="I47" s="6">
        <f>'Battery Design'!$D21</f>
        <v>20</v>
      </c>
      <c r="J47" s="6">
        <f>'Battery Design'!$D21</f>
        <v>20</v>
      </c>
    </row>
    <row r="48" spans="1:20">
      <c r="A48" s="52" t="s">
        <v>419</v>
      </c>
      <c r="F48" s="6">
        <f ca="1">F43+F44+2*(F45+F46+F47)</f>
        <v>440.10206053304557</v>
      </c>
      <c r="G48" s="6">
        <f t="shared" ref="G48:J48" ca="1" si="10">G43+G44+2*(G45+G46+G47)</f>
        <v>440.1020605330462</v>
      </c>
      <c r="H48" s="6">
        <f t="shared" ca="1" si="10"/>
        <v>440.10206053304637</v>
      </c>
      <c r="I48" s="6">
        <f t="shared" ca="1" si="10"/>
        <v>440.10206053304216</v>
      </c>
      <c r="J48" s="6">
        <f t="shared" ca="1" si="10"/>
        <v>440.10206053304216</v>
      </c>
    </row>
    <row r="49" spans="1:20">
      <c r="A49" s="233" t="s">
        <v>581</v>
      </c>
      <c r="B49" s="7"/>
      <c r="C49" s="110"/>
      <c r="D49" s="110"/>
      <c r="E49" s="110"/>
      <c r="F49" s="110"/>
      <c r="G49" s="110"/>
      <c r="H49" s="110"/>
      <c r="I49" s="110"/>
      <c r="J49" s="110"/>
    </row>
    <row r="50" spans="1:20">
      <c r="A50" s="47" t="s">
        <v>218</v>
      </c>
      <c r="B50" s="7"/>
      <c r="C50" s="7"/>
      <c r="D50" s="7"/>
      <c r="E50" s="110"/>
      <c r="F50" s="280">
        <v>2</v>
      </c>
      <c r="G50" s="280">
        <v>2</v>
      </c>
      <c r="H50" s="280">
        <v>2</v>
      </c>
      <c r="I50" s="280">
        <v>2</v>
      </c>
      <c r="J50" s="280">
        <v>2</v>
      </c>
    </row>
    <row r="51" spans="1:20">
      <c r="A51" s="47" t="s">
        <v>229</v>
      </c>
      <c r="B51" s="7"/>
      <c r="C51" s="7"/>
      <c r="D51" s="7"/>
      <c r="E51" s="110"/>
      <c r="F51" s="280">
        <v>3.8</v>
      </c>
      <c r="G51" s="280">
        <v>3.8</v>
      </c>
      <c r="H51" s="280">
        <v>3.8</v>
      </c>
      <c r="I51" s="280">
        <v>3.8</v>
      </c>
      <c r="J51" s="280">
        <v>3.8</v>
      </c>
    </row>
    <row r="52" spans="1:20">
      <c r="A52" s="52" t="s">
        <v>417</v>
      </c>
      <c r="B52" s="7"/>
      <c r="C52" s="7"/>
      <c r="D52" s="7"/>
      <c r="E52" s="110"/>
      <c r="F52" s="281">
        <v>1.2999999999999999E-2</v>
      </c>
      <c r="G52" s="281">
        <v>1.2999999999999999E-2</v>
      </c>
      <c r="H52" s="281">
        <v>1.2999999999999999E-2</v>
      </c>
      <c r="I52" s="281">
        <v>1.2999999999999999E-2</v>
      </c>
      <c r="J52" s="281">
        <v>1.2999999999999999E-2</v>
      </c>
    </row>
    <row r="53" spans="1:20">
      <c r="A53" s="52" t="s">
        <v>418</v>
      </c>
      <c r="B53" s="7"/>
      <c r="C53" s="7"/>
      <c r="D53" s="7"/>
      <c r="E53" s="110"/>
      <c r="F53" s="281">
        <v>1.2999999999999999E-2</v>
      </c>
      <c r="G53" s="281">
        <v>1.2999999999999999E-2</v>
      </c>
      <c r="H53" s="281">
        <v>1.2999999999999999E-2</v>
      </c>
      <c r="I53" s="281">
        <v>1.2999999999999999E-2</v>
      </c>
      <c r="J53" s="281">
        <v>1.2999999999999999E-2</v>
      </c>
    </row>
    <row r="54" spans="1:20">
      <c r="A54" s="52" t="s">
        <v>217</v>
      </c>
      <c r="B54" s="7"/>
      <c r="C54" s="7"/>
      <c r="D54" s="7"/>
      <c r="E54" s="110"/>
      <c r="F54" s="282">
        <v>2E-3</v>
      </c>
      <c r="G54" s="282">
        <v>2E-3</v>
      </c>
      <c r="H54" s="282">
        <v>2E-3</v>
      </c>
      <c r="I54" s="282">
        <v>2E-3</v>
      </c>
      <c r="J54" s="282">
        <v>2E-3</v>
      </c>
    </row>
    <row r="55" spans="1:20">
      <c r="A55" s="7" t="s">
        <v>582</v>
      </c>
      <c r="E55" s="94"/>
      <c r="F55" s="104">
        <f>0.01</f>
        <v>0.01</v>
      </c>
      <c r="G55" s="104">
        <f t="shared" ref="G55:J55" si="11">0.01</f>
        <v>0.01</v>
      </c>
      <c r="H55" s="104">
        <f t="shared" si="11"/>
        <v>0.01</v>
      </c>
      <c r="I55" s="104">
        <f t="shared" si="11"/>
        <v>0.01</v>
      </c>
      <c r="J55" s="104">
        <f t="shared" si="11"/>
        <v>0.01</v>
      </c>
    </row>
    <row r="56" spans="1:20">
      <c r="A56" s="47" t="s">
        <v>420</v>
      </c>
      <c r="B56" s="207"/>
      <c r="C56" s="207"/>
      <c r="D56" s="207"/>
      <c r="E56" s="110"/>
      <c r="F56" s="234">
        <f ca="1">F48/(F43/F50+F44/F51+2*(F45/F52+F46/F53+F47/F54))</f>
        <v>9.1064326437767674E-3</v>
      </c>
      <c r="G56" s="234">
        <f t="shared" ref="G56:J56" ca="1" si="12">G48/(G43/G50+G44/G51+2*(G45/G52+G46/G53+G47/G54))</f>
        <v>9.1064326437767726E-3</v>
      </c>
      <c r="H56" s="234">
        <f t="shared" ca="1" si="12"/>
        <v>9.1064326437767743E-3</v>
      </c>
      <c r="I56" s="234">
        <f t="shared" ca="1" si="12"/>
        <v>9.1064326437767483E-3</v>
      </c>
      <c r="J56" s="234">
        <f t="shared" ca="1" si="12"/>
        <v>9.1064326437767483E-3</v>
      </c>
    </row>
    <row r="57" spans="1:20">
      <c r="A57" s="52" t="s">
        <v>421</v>
      </c>
      <c r="B57" s="207"/>
      <c r="C57" s="207"/>
      <c r="D57" s="207"/>
      <c r="E57" s="110"/>
      <c r="F57" s="234">
        <f ca="1">(F50*F43+F51*F44+2*(F52*F45+F53*F46+F54*F47))/F48</f>
        <v>0.20555533568136267</v>
      </c>
      <c r="G57" s="234">
        <f t="shared" ref="G57:J57" ca="1" si="13">(G50*G43+G51*G44+2*(G52*G45+G53*G46+G54*G47))/G48</f>
        <v>0.20555533568136242</v>
      </c>
      <c r="H57" s="234">
        <f t="shared" ca="1" si="13"/>
        <v>0.20555533568136233</v>
      </c>
      <c r="I57" s="234">
        <f t="shared" ca="1" si="13"/>
        <v>0.20555533568136417</v>
      </c>
      <c r="J57" s="234">
        <f t="shared" ca="1" si="13"/>
        <v>0.20555533568136417</v>
      </c>
    </row>
    <row r="58" spans="1:20" ht="15">
      <c r="A58" s="52" t="s">
        <v>622</v>
      </c>
      <c r="F58" s="3">
        <v>2.5999999999999998E-4</v>
      </c>
      <c r="G58" s="328">
        <v>2.5999999999999998E-4</v>
      </c>
      <c r="H58" s="328">
        <v>2.5999999999999998E-4</v>
      </c>
      <c r="I58" s="328">
        <v>2.5999999999999998E-4</v>
      </c>
      <c r="J58" s="328">
        <v>2.5999999999999998E-4</v>
      </c>
      <c r="K58" s="20"/>
      <c r="L58" s="20"/>
      <c r="M58" s="20"/>
      <c r="N58" s="20"/>
      <c r="O58" s="20"/>
      <c r="P58" s="20"/>
      <c r="Q58" s="20"/>
      <c r="R58" s="20"/>
      <c r="S58" s="20"/>
      <c r="T58" s="20"/>
    </row>
    <row r="59" spans="1:20">
      <c r="A59" s="7" t="s">
        <v>460</v>
      </c>
      <c r="B59" s="207"/>
      <c r="C59" s="207"/>
      <c r="D59" s="207"/>
      <c r="E59" s="110"/>
      <c r="F59" s="282">
        <v>4.3E-3</v>
      </c>
      <c r="G59" s="282">
        <v>4.3E-3</v>
      </c>
      <c r="H59" s="282">
        <v>4.3E-3</v>
      </c>
      <c r="I59" s="282">
        <v>4.3E-3</v>
      </c>
      <c r="J59" s="282">
        <v>4.3E-3</v>
      </c>
      <c r="K59" s="162"/>
    </row>
    <row r="60" spans="1:20" ht="15.75">
      <c r="A60" s="19" t="s">
        <v>475</v>
      </c>
      <c r="F60" s="6"/>
      <c r="G60" s="6"/>
      <c r="H60" s="6"/>
      <c r="I60" s="6"/>
      <c r="J60" s="6"/>
    </row>
    <row r="61" spans="1:20" s="20" customFormat="1" ht="14.25" customHeight="1">
      <c r="A61" s="321" t="s">
        <v>739</v>
      </c>
      <c r="B61" s="321"/>
      <c r="C61" s="321"/>
      <c r="D61" s="321"/>
      <c r="E61" s="321"/>
      <c r="F61" s="361">
        <v>25</v>
      </c>
      <c r="G61" s="361">
        <v>25</v>
      </c>
      <c r="H61" s="361">
        <v>25</v>
      </c>
      <c r="I61" s="361">
        <v>25</v>
      </c>
      <c r="J61" s="361">
        <v>25</v>
      </c>
      <c r="K61"/>
      <c r="L61"/>
      <c r="M61"/>
      <c r="N61"/>
      <c r="O61"/>
      <c r="P61"/>
      <c r="Q61"/>
      <c r="R61"/>
      <c r="S61"/>
      <c r="T61"/>
    </row>
    <row r="62" spans="1:20" ht="14.25">
      <c r="A62" t="s">
        <v>474</v>
      </c>
      <c r="F62" s="106">
        <v>0.85</v>
      </c>
      <c r="G62" s="106">
        <v>0.85</v>
      </c>
      <c r="H62" s="106">
        <v>0.85</v>
      </c>
      <c r="I62" s="106">
        <v>0.85</v>
      </c>
      <c r="J62" s="106">
        <v>0.85</v>
      </c>
      <c r="K62" s="207"/>
    </row>
    <row r="63" spans="1:20">
      <c r="A63" t="s">
        <v>422</v>
      </c>
      <c r="F63" s="6">
        <f ca="1">'Battery Design'!F164-0.5*'Battery Design'!F163</f>
        <v>197.92688901444168</v>
      </c>
      <c r="G63" s="6">
        <f ca="1">'Battery Design'!G164-0.5*'Battery Design'!G163</f>
        <v>216.30306997036556</v>
      </c>
      <c r="H63" s="6">
        <f ca="1">'Battery Design'!H164-0.5*'Battery Design'!H163</f>
        <v>213.06559808187683</v>
      </c>
      <c r="I63" s="6">
        <f ca="1">'Battery Design'!I164-0.5*'Battery Design'!I163</f>
        <v>105.23535708566465</v>
      </c>
      <c r="J63" s="6">
        <f ca="1">'Battery Design'!J164-0.5*'Battery Design'!J163</f>
        <v>105.23535708566465</v>
      </c>
      <c r="K63" s="207"/>
    </row>
    <row r="64" spans="1:20">
      <c r="A64" t="s">
        <v>423</v>
      </c>
      <c r="F64" s="21">
        <f ca="1">'Battery Design'!F137</f>
        <v>30.000000000000163</v>
      </c>
      <c r="G64" s="21">
        <f ca="1">'Battery Design'!G137</f>
        <v>30.000000000000291</v>
      </c>
      <c r="H64" s="21">
        <f ca="1">'Battery Design'!H137</f>
        <v>30.000000000000288</v>
      </c>
      <c r="I64" s="21">
        <f ca="1">'Battery Design'!I137</f>
        <v>15.000000000000068</v>
      </c>
      <c r="J64" s="21">
        <f ca="1">'Battery Design'!J137</f>
        <v>15.000000000000068</v>
      </c>
      <c r="K64" s="207"/>
    </row>
    <row r="65" spans="1:12" ht="14.25">
      <c r="A65" s="321" t="s">
        <v>740</v>
      </c>
      <c r="F65" s="6">
        <f ca="1">IF(OR('Battery Design'!F52="microHEV",'Battery Design'!F52="HEV-HP"),"NA",F64*(100-F34)/100*1000*3600/F62/F63/1000+F61)</f>
        <v>97.833173581222226</v>
      </c>
      <c r="G65" s="6">
        <f ca="1">IF(OR('Battery Design'!G52="microHEV",'Battery Design'!G52="HEV-HP"),"NA",G64*(100-G34)/100*1000*3600/G62/G63/1000+G61)</f>
        <v>97.054627774391307</v>
      </c>
      <c r="H65" s="6">
        <f ca="1">IF(OR('Battery Design'!H52="microHEV",'Battery Design'!H52="HEV-HP"),"NA",H64*(100-H34)/100*1000*3600/H62/H63/1000+H61)</f>
        <v>91.003119472520723</v>
      </c>
      <c r="I65" s="6">
        <f ca="1">IF(OR('Battery Design'!I52="microHEV",'Battery Design'!I52="HEV-HP"),"NA",I64*(100-I34)/100*1000*3600/I62/I63/1000+I61)</f>
        <v>92.234437528354491</v>
      </c>
      <c r="J65" s="6">
        <f ca="1">IF(OR('Battery Design'!J52="microHEV",'Battery Design'!J52="HEV-HP"),"NA",J64*(100-J34)/100*1000*3600/J62/J63/1000+J61)</f>
        <v>92.234437528354491</v>
      </c>
      <c r="K65" s="6"/>
    </row>
    <row r="66" spans="1:12" ht="15.75">
      <c r="A66" s="19" t="s">
        <v>826</v>
      </c>
      <c r="K66" s="207"/>
    </row>
    <row r="67" spans="1:12" ht="15.75">
      <c r="A67" s="19" t="s">
        <v>737</v>
      </c>
      <c r="F67" s="362" t="str">
        <f>'Battery Design'!F53</f>
        <v>EG-W</v>
      </c>
      <c r="G67" s="362" t="str">
        <f>'Battery Design'!G53</f>
        <v>EG-W</v>
      </c>
      <c r="H67" s="362" t="str">
        <f>'Battery Design'!H53</f>
        <v>EG-W</v>
      </c>
      <c r="I67" s="362" t="str">
        <f>'Battery Design'!I53</f>
        <v>EG-W</v>
      </c>
      <c r="J67" s="362" t="str">
        <f>'Battery Design'!J53</f>
        <v>EG-W</v>
      </c>
      <c r="K67" s="207"/>
      <c r="L67" s="321"/>
    </row>
    <row r="68" spans="1:12" ht="15.75">
      <c r="A68" s="19" t="s">
        <v>613</v>
      </c>
      <c r="E68" s="94"/>
      <c r="F68" s="6"/>
      <c r="G68" s="6"/>
      <c r="H68" s="6"/>
      <c r="I68" s="6"/>
      <c r="J68" s="6"/>
    </row>
    <row r="69" spans="1:12">
      <c r="A69" s="5" t="s">
        <v>753</v>
      </c>
      <c r="C69" s="4"/>
      <c r="E69" s="241"/>
      <c r="F69" s="319" t="str">
        <f>IF(F67="EG-W"," ","NA")</f>
        <v xml:space="preserve"> </v>
      </c>
      <c r="G69" s="319" t="str">
        <f t="shared" ref="G69:J69" si="14">IF(G67="EG-W"," ","NA")</f>
        <v xml:space="preserve"> </v>
      </c>
      <c r="H69" s="319" t="str">
        <f t="shared" si="14"/>
        <v xml:space="preserve"> </v>
      </c>
      <c r="I69" s="319" t="str">
        <f t="shared" si="14"/>
        <v xml:space="preserve"> </v>
      </c>
      <c r="J69" s="319" t="str">
        <f t="shared" si="14"/>
        <v xml:space="preserve"> </v>
      </c>
    </row>
    <row r="70" spans="1:12">
      <c r="A70" s="7" t="s">
        <v>439</v>
      </c>
      <c r="C70" s="4"/>
      <c r="E70" s="241"/>
      <c r="F70" s="21">
        <f ca="1">F37/'Battery Design'!F64</f>
        <v>60.122334225517072</v>
      </c>
      <c r="G70" s="21">
        <f ca="1">G37/'Battery Design'!G64</f>
        <v>36.036957309697065</v>
      </c>
      <c r="H70" s="21">
        <f ca="1">H37/'Battery Design'!H64</f>
        <v>30.102213159438765</v>
      </c>
      <c r="I70" s="21">
        <f ca="1">I37/'Battery Design'!I64</f>
        <v>29.883215521810069</v>
      </c>
      <c r="J70" s="21">
        <f ca="1">J37/'Battery Design'!J64</f>
        <v>29.883215521810069</v>
      </c>
    </row>
    <row r="71" spans="1:12">
      <c r="A71" s="7" t="s">
        <v>440</v>
      </c>
      <c r="C71" s="4"/>
      <c r="E71" s="241"/>
      <c r="F71" s="21">
        <f ca="1">'Battery Design'!F125/10</f>
        <v>35.169579191328559</v>
      </c>
      <c r="G71" s="21">
        <f ca="1">'Battery Design'!G125/10</f>
        <v>35.977174160260155</v>
      </c>
      <c r="H71" s="21">
        <f ca="1">'Battery Design'!H125/10</f>
        <v>17.756281243982041</v>
      </c>
      <c r="I71" s="21">
        <f ca="1">'Battery Design'!I125/10</f>
        <v>17.579156399684429</v>
      </c>
      <c r="J71" s="21">
        <f ca="1">'Battery Design'!J125/10</f>
        <v>17.579156399684429</v>
      </c>
    </row>
    <row r="72" spans="1:12">
      <c r="A72" s="7" t="s">
        <v>570</v>
      </c>
      <c r="E72" s="94"/>
      <c r="F72" s="250"/>
      <c r="G72" s="250"/>
      <c r="H72" s="250"/>
      <c r="I72" s="250"/>
      <c r="J72" s="250"/>
    </row>
    <row r="73" spans="1:12">
      <c r="A73" s="7" t="s">
        <v>569</v>
      </c>
      <c r="E73" s="143"/>
      <c r="F73" s="252">
        <f>IF('Battery Design'!F52="PHEV",0.04,IF('Battery Design'!F52="EV",0.04,0.02))</f>
        <v>0.04</v>
      </c>
      <c r="G73" s="252">
        <f>IF('Battery Design'!G52="PHEV",0.04,IF('Battery Design'!G52="EV",0.04,0.02))</f>
        <v>0.04</v>
      </c>
      <c r="H73" s="252">
        <f>IF('Battery Design'!H52="PHEV",0.04,IF('Battery Design'!H52="EV",0.04,0.02))</f>
        <v>0.04</v>
      </c>
      <c r="I73" s="252">
        <f>IF('Battery Design'!I52="PHEV",0.04,IF('Battery Design'!I52="EV",0.04,0.02))</f>
        <v>0.04</v>
      </c>
      <c r="J73" s="252">
        <f>IF('Battery Design'!J52="PHEV",0.04,IF('Battery Design'!J52="EV",0.04,0.02))</f>
        <v>0.04</v>
      </c>
    </row>
    <row r="74" spans="1:12">
      <c r="A74" s="7" t="s">
        <v>441</v>
      </c>
      <c r="E74" s="94"/>
      <c r="F74" s="197">
        <f>'Battery Design'!F126/10+2*'Battery Design'!F25/10000</f>
        <v>0.06</v>
      </c>
      <c r="G74" s="197">
        <f>'Battery Design'!G126/10+2*'Battery Design'!G25/10000</f>
        <v>0.06</v>
      </c>
      <c r="H74" s="197">
        <f>'Battery Design'!H126/10+2*'Battery Design'!H25/10000</f>
        <v>0.06</v>
      </c>
      <c r="I74" s="197">
        <f>'Battery Design'!I126/10+2*'Battery Design'!I25/10000</f>
        <v>0.06</v>
      </c>
      <c r="J74" s="197">
        <f>'Battery Design'!J126/10+2*'Battery Design'!J25/10000</f>
        <v>0.06</v>
      </c>
    </row>
    <row r="75" spans="1:12">
      <c r="A75" s="7" t="s">
        <v>442</v>
      </c>
      <c r="E75" s="94"/>
      <c r="F75" s="21">
        <f>'Battery Design'!F31/10</f>
        <v>1.2</v>
      </c>
      <c r="G75" s="21">
        <f>'Battery Design'!G31/10</f>
        <v>0.6</v>
      </c>
      <c r="H75" s="21">
        <f>'Battery Design'!H31/10</f>
        <v>1.2</v>
      </c>
      <c r="I75" s="21">
        <f>'Battery Design'!I31/10</f>
        <v>1.2</v>
      </c>
      <c r="J75" s="21">
        <f>'Battery Design'!J31/10</f>
        <v>1.2</v>
      </c>
    </row>
    <row r="76" spans="1:12">
      <c r="A76" s="7" t="s">
        <v>443</v>
      </c>
      <c r="E76" s="242"/>
      <c r="F76" s="6">
        <f ca="1">'Battery Design'!F111/10</f>
        <v>11.923193063776186</v>
      </c>
      <c r="G76" s="6">
        <f ca="1">'Battery Design'!G111/10</f>
        <v>12.192391386753384</v>
      </c>
      <c r="H76" s="6">
        <f ca="1">'Battery Design'!H111/10</f>
        <v>12.037520829321362</v>
      </c>
      <c r="I76" s="6">
        <f ca="1">'Battery Design'!I111/10</f>
        <v>11.919437599789617</v>
      </c>
      <c r="J76" s="6">
        <f ca="1">'Battery Design'!J111/10</f>
        <v>11.919437599789617</v>
      </c>
    </row>
    <row r="77" spans="1:12">
      <c r="A77" s="7" t="s">
        <v>444</v>
      </c>
      <c r="E77" s="242"/>
      <c r="F77" s="21">
        <f>'Battery Design'!F32/10</f>
        <v>0.1</v>
      </c>
      <c r="G77" s="21">
        <f>'Battery Design'!G32/10</f>
        <v>0.1</v>
      </c>
      <c r="H77" s="21">
        <f>'Battery Design'!H32/10</f>
        <v>0.1</v>
      </c>
      <c r="I77" s="21">
        <f>'Battery Design'!I32/10</f>
        <v>0.1</v>
      </c>
      <c r="J77" s="21">
        <f>'Battery Design'!J32/10</f>
        <v>0.1</v>
      </c>
    </row>
    <row r="78" spans="1:12">
      <c r="A78" s="7" t="s">
        <v>504</v>
      </c>
      <c r="E78" s="242"/>
      <c r="F78" s="21">
        <f>F50</f>
        <v>2</v>
      </c>
      <c r="G78" s="21">
        <f t="shared" ref="G78:J78" si="15">G50</f>
        <v>2</v>
      </c>
      <c r="H78" s="21">
        <f t="shared" si="15"/>
        <v>2</v>
      </c>
      <c r="I78" s="21">
        <f t="shared" si="15"/>
        <v>2</v>
      </c>
      <c r="J78" s="21">
        <f t="shared" si="15"/>
        <v>2</v>
      </c>
    </row>
    <row r="79" spans="1:12">
      <c r="A79" s="7" t="s">
        <v>505</v>
      </c>
      <c r="E79" s="242"/>
      <c r="F79" s="215">
        <f t="shared" ref="F79" ca="1" si="16">F56</f>
        <v>9.1064326437767674E-3</v>
      </c>
      <c r="G79" s="215">
        <f t="shared" ref="G79:J79" ca="1" si="17">G56</f>
        <v>9.1064326437767726E-3</v>
      </c>
      <c r="H79" s="215">
        <f t="shared" ca="1" si="17"/>
        <v>9.1064326437767743E-3</v>
      </c>
      <c r="I79" s="215">
        <f t="shared" ca="1" si="17"/>
        <v>9.1064326437767483E-3</v>
      </c>
      <c r="J79" s="215">
        <f t="shared" ca="1" si="17"/>
        <v>9.1064326437767483E-3</v>
      </c>
    </row>
    <row r="80" spans="1:12">
      <c r="A80" s="7" t="s">
        <v>506</v>
      </c>
      <c r="E80" s="94"/>
      <c r="F80" s="215">
        <f t="shared" ref="F80" ca="1" si="18">F57</f>
        <v>0.20555533568136267</v>
      </c>
      <c r="G80" s="215">
        <f t="shared" ref="G80:J80" ca="1" si="19">G57</f>
        <v>0.20555533568136242</v>
      </c>
      <c r="H80" s="215">
        <f t="shared" ca="1" si="19"/>
        <v>0.20555533568136233</v>
      </c>
      <c r="I80" s="215">
        <f t="shared" ca="1" si="19"/>
        <v>0.20555533568136417</v>
      </c>
      <c r="J80" s="215">
        <f t="shared" ca="1" si="19"/>
        <v>0.20555533568136417</v>
      </c>
    </row>
    <row r="81" spans="1:11" ht="14.25">
      <c r="A81" s="7" t="s">
        <v>583</v>
      </c>
      <c r="F81" s="215">
        <f ca="1">3.917*F71/10*F80^0.58*F79^-0.19*F75^1.2*F76^-0.75</f>
        <v>2.6065515055022996</v>
      </c>
      <c r="G81" s="215">
        <f t="shared" ref="G81:J81" ca="1" si="20">3.917*G71/10*G80^0.58*G79^-0.19*G75^1.2*G76^-0.75</f>
        <v>1.1413476616060021</v>
      </c>
      <c r="H81" s="215">
        <f t="shared" ca="1" si="20"/>
        <v>1.306600432975396</v>
      </c>
      <c r="I81" s="215">
        <f t="shared" ca="1" si="20"/>
        <v>1.3031661122306681</v>
      </c>
      <c r="J81" s="215">
        <f t="shared" ca="1" si="20"/>
        <v>1.3031661122306681</v>
      </c>
    </row>
    <row r="82" spans="1:11" ht="14.25">
      <c r="A82" s="7" t="s">
        <v>584</v>
      </c>
      <c r="F82" s="215">
        <f ca="1">1628*F71/10*F80^0.55*F79^0.58*F74^-0.21*F76^-0.7*F74^0.72</f>
        <v>6.6029304680632359</v>
      </c>
      <c r="G82" s="215">
        <f t="shared" ref="G82:J82" ca="1" si="21">1628*G71/10*G80^0.55*G79^0.58*G74^-0.21*G76^-0.7*G74^0.72</f>
        <v>6.649809087113117</v>
      </c>
      <c r="H82" s="215">
        <f t="shared" ca="1" si="21"/>
        <v>3.3114670228658887</v>
      </c>
      <c r="I82" s="215">
        <f t="shared" ca="1" si="21"/>
        <v>3.3011354953174532</v>
      </c>
      <c r="J82" s="215">
        <f t="shared" ca="1" si="21"/>
        <v>3.3011354953174532</v>
      </c>
    </row>
    <row r="83" spans="1:11" ht="14.25">
      <c r="A83" s="7" t="s">
        <v>445</v>
      </c>
      <c r="F83" s="21">
        <f ca="1">F70/(F81+F82)</f>
        <v>6.5283079328554408</v>
      </c>
      <c r="G83" s="21">
        <f t="shared" ref="G83:J83" ca="1" si="22">G70/(G81+G82)</f>
        <v>4.6253667423161016</v>
      </c>
      <c r="H83" s="21">
        <f t="shared" ca="1" si="22"/>
        <v>6.5183571802016846</v>
      </c>
      <c r="I83" s="21">
        <f t="shared" ca="1" si="22"/>
        <v>6.4902819295809451</v>
      </c>
      <c r="J83" s="21">
        <f t="shared" ca="1" si="22"/>
        <v>6.4902819295809451</v>
      </c>
      <c r="K83" s="328" t="s">
        <v>901</v>
      </c>
    </row>
    <row r="84" spans="1:11">
      <c r="A84" s="5" t="s">
        <v>614</v>
      </c>
      <c r="F84" s="236"/>
      <c r="G84" s="236"/>
      <c r="H84" s="236"/>
      <c r="I84" s="236"/>
      <c r="J84" s="236"/>
      <c r="K84" s="328" t="s">
        <v>902</v>
      </c>
    </row>
    <row r="85" spans="1:11">
      <c r="A85" s="321" t="s">
        <v>752</v>
      </c>
      <c r="C85" s="140"/>
      <c r="D85" s="140"/>
      <c r="E85" s="140"/>
      <c r="F85" s="236"/>
      <c r="G85" s="236"/>
      <c r="H85" s="236"/>
      <c r="I85" s="236"/>
      <c r="J85" s="236"/>
      <c r="K85" s="328" t="s">
        <v>773</v>
      </c>
    </row>
    <row r="86" spans="1:11" ht="14.25">
      <c r="A86" s="321" t="s">
        <v>754</v>
      </c>
      <c r="C86" s="109"/>
      <c r="D86" s="113"/>
      <c r="E86" s="113"/>
      <c r="F86" s="104">
        <v>3.2639999999999998</v>
      </c>
      <c r="G86" s="104">
        <v>3.2639999999999998</v>
      </c>
      <c r="H86" s="104">
        <v>3.2639999999999998</v>
      </c>
      <c r="I86" s="104">
        <v>3.2639999999999998</v>
      </c>
      <c r="J86" s="104">
        <v>3.2639999999999998</v>
      </c>
      <c r="K86" s="104">
        <v>1.51</v>
      </c>
    </row>
    <row r="87" spans="1:11">
      <c r="A87" s="321" t="s">
        <v>756</v>
      </c>
      <c r="C87" s="140"/>
      <c r="D87" s="113"/>
      <c r="E87" s="113"/>
      <c r="F87" s="104">
        <v>1.07</v>
      </c>
      <c r="G87" s="104">
        <v>1.07</v>
      </c>
      <c r="H87" s="104">
        <v>1.07</v>
      </c>
      <c r="I87" s="104">
        <v>1.07</v>
      </c>
      <c r="J87" s="104">
        <v>1.07</v>
      </c>
      <c r="K87" s="104">
        <v>0.96</v>
      </c>
    </row>
    <row r="88" spans="1:11">
      <c r="A88" s="321" t="s">
        <v>757</v>
      </c>
      <c r="F88" s="104">
        <v>0.05</v>
      </c>
      <c r="G88" s="104">
        <v>0.05</v>
      </c>
      <c r="H88" s="104">
        <v>0.05</v>
      </c>
      <c r="I88" s="104">
        <v>0.05</v>
      </c>
      <c r="J88" s="104">
        <v>0.05</v>
      </c>
      <c r="K88" s="104">
        <v>0.5</v>
      </c>
    </row>
    <row r="89" spans="1:11" ht="14.25">
      <c r="A89" s="321" t="s">
        <v>758</v>
      </c>
      <c r="F89" s="373">
        <f t="shared" ref="F89:J89" si="23">F59</f>
        <v>4.3E-3</v>
      </c>
      <c r="G89" s="373">
        <f t="shared" si="23"/>
        <v>4.3E-3</v>
      </c>
      <c r="H89" s="373">
        <f t="shared" si="23"/>
        <v>4.3E-3</v>
      </c>
      <c r="I89" s="373">
        <f t="shared" si="23"/>
        <v>4.3E-3</v>
      </c>
      <c r="J89" s="373">
        <f t="shared" si="23"/>
        <v>4.3E-3</v>
      </c>
      <c r="K89" s="313">
        <v>1.5100000000000001E-3</v>
      </c>
    </row>
    <row r="90" spans="1:11">
      <c r="A90" s="7" t="s">
        <v>461</v>
      </c>
      <c r="F90" s="21">
        <f ca="1">F100*('Battery Design'!F147-2*'Battery Design'!F68)/10*Thermal!F96/1000</f>
        <v>10.277010949833503</v>
      </c>
      <c r="G90" s="21">
        <f ca="1">G100*('Battery Design'!G147-2*'Battery Design'!G68)/10*Thermal!G96/1000</f>
        <v>11.114913224267296</v>
      </c>
      <c r="H90" s="21">
        <f ca="1">H100*('Battery Design'!H147-2*'Battery Design'!H68)/10*Thermal!H96/1000</f>
        <v>11.031073637560876</v>
      </c>
      <c r="I90" s="21">
        <f ca="1">I100*('Battery Design'!I147-2*'Battery Design'!I68)/10*Thermal!I96/1000</f>
        <v>5.4674264249508937</v>
      </c>
      <c r="J90" s="21">
        <f ca="1">J100*('Battery Design'!J147-2*'Battery Design'!J68)/10*Thermal!J96/1000</f>
        <v>5.4674264249508937</v>
      </c>
    </row>
    <row r="91" spans="1:11">
      <c r="A91" s="7" t="s">
        <v>462</v>
      </c>
      <c r="F91" s="21">
        <f ca="1">F90*F87</f>
        <v>10.996401716321849</v>
      </c>
      <c r="G91" s="21">
        <f t="shared" ref="G91:J91" ca="1" si="24">G90*G87</f>
        <v>11.892957149966007</v>
      </c>
      <c r="H91" s="21">
        <f t="shared" ca="1" si="24"/>
        <v>11.803248792190137</v>
      </c>
      <c r="I91" s="21">
        <f t="shared" ca="1" si="24"/>
        <v>5.8501462746974564</v>
      </c>
      <c r="J91" s="21">
        <f t="shared" ca="1" si="24"/>
        <v>5.8501462746974564</v>
      </c>
    </row>
    <row r="92" spans="1:11" ht="14.25">
      <c r="A92" s="321" t="s">
        <v>832</v>
      </c>
      <c r="F92" s="324">
        <v>15</v>
      </c>
      <c r="G92" s="324">
        <v>15</v>
      </c>
      <c r="H92" s="324">
        <v>15</v>
      </c>
      <c r="I92" s="324">
        <v>15</v>
      </c>
      <c r="J92" s="324">
        <v>15</v>
      </c>
    </row>
    <row r="93" spans="1:11" ht="14.25">
      <c r="A93" t="s">
        <v>432</v>
      </c>
      <c r="E93" s="83"/>
      <c r="F93" s="238">
        <v>1</v>
      </c>
      <c r="G93" s="238">
        <v>1</v>
      </c>
      <c r="H93" s="238">
        <v>1</v>
      </c>
      <c r="I93" s="238">
        <v>1</v>
      </c>
      <c r="J93" s="238">
        <v>1</v>
      </c>
    </row>
    <row r="94" spans="1:11">
      <c r="A94" s="7" t="s">
        <v>433</v>
      </c>
      <c r="E94" s="94"/>
      <c r="F94" s="4">
        <f ca="1">F37/F86/F87/F93</f>
        <v>2203.4940159617768</v>
      </c>
      <c r="G94" s="4">
        <f t="shared" ref="G94:J94" ca="1" si="25">G37/G86/G87/G93</f>
        <v>2641.5215180280056</v>
      </c>
      <c r="H94" s="4">
        <f t="shared" ca="1" si="25"/>
        <v>2206.5027054747125</v>
      </c>
      <c r="I94" s="4">
        <f t="shared" ca="1" si="25"/>
        <v>1095.2250511933321</v>
      </c>
      <c r="J94" s="4">
        <f t="shared" ca="1" si="25"/>
        <v>1095.2250511933321</v>
      </c>
    </row>
    <row r="95" spans="1:11" ht="14.25">
      <c r="A95" s="7" t="s">
        <v>434</v>
      </c>
      <c r="E95" s="193"/>
      <c r="F95" s="21">
        <f ca="1">F94*F87/F98</f>
        <v>42.192145129615326</v>
      </c>
      <c r="G95" s="21">
        <f t="shared" ref="G95:J95" ca="1" si="26">G94*G87/G98</f>
        <v>46.905813290433031</v>
      </c>
      <c r="H95" s="21">
        <f t="shared" ca="1" si="26"/>
        <v>39.807424128258624</v>
      </c>
      <c r="I95" s="21">
        <f t="shared" ca="1" si="26"/>
        <v>39.847555069384917</v>
      </c>
      <c r="J95" s="21">
        <f t="shared" ca="1" si="26"/>
        <v>39.847555069384917</v>
      </c>
    </row>
    <row r="96" spans="1:11">
      <c r="A96" s="7" t="s">
        <v>435</v>
      </c>
      <c r="E96" s="94"/>
      <c r="F96" s="21">
        <f ca="1">IF(1/1.8*(48*F100*F95*F88/(F103*F87*1000000))^(1/2)&gt;0.3,1/1.8*(48*F100*F95*F88/(F103*F87*1000000))^(1/2),0.3)</f>
        <v>0.72819386371535066</v>
      </c>
      <c r="G96" s="21">
        <f t="shared" ref="G96:J96" ca="1" si="27">IF(1/1.8*(48*G100*G95*G88/(G103*G87*1000000))^(1/2)&gt;0.3,1/1.8*(48*G100*G95*G88/(G103*G87*1000000))^(1/2),0.3)</f>
        <v>0.76903863261293226</v>
      </c>
      <c r="H96" s="21">
        <f t="shared" ca="1" si="27"/>
        <v>0.7075383041949983</v>
      </c>
      <c r="I96" s="21">
        <f t="shared" ca="1" si="27"/>
        <v>0.70766474399554047</v>
      </c>
      <c r="J96" s="21">
        <f t="shared" ca="1" si="27"/>
        <v>0.70766474399554047</v>
      </c>
    </row>
    <row r="97" spans="1:10">
      <c r="A97" s="7" t="s">
        <v>424</v>
      </c>
      <c r="E97" s="193"/>
      <c r="F97" s="21">
        <f ca="1">F96*1.8</f>
        <v>1.3107489546876312</v>
      </c>
      <c r="G97" s="21">
        <f t="shared" ref="G97:J97" ca="1" si="28">G96*1.8</f>
        <v>1.3842695387032782</v>
      </c>
      <c r="H97" s="21">
        <f t="shared" ca="1" si="28"/>
        <v>1.273568947550997</v>
      </c>
      <c r="I97" s="21">
        <f t="shared" ca="1" si="28"/>
        <v>1.2737965391919728</v>
      </c>
      <c r="J97" s="21">
        <f t="shared" ca="1" si="28"/>
        <v>1.2737965391919728</v>
      </c>
    </row>
    <row r="98" spans="1:10" ht="14.25">
      <c r="A98" s="7" t="s">
        <v>436</v>
      </c>
      <c r="E98" s="94"/>
      <c r="F98" s="6">
        <f ca="1">IF('Battery Design'!F193=0,25,'Battery Design'!F129/10*'Battery Design'!F59*F96)</f>
        <v>55.880984240931319</v>
      </c>
      <c r="G98" s="6">
        <f ca="1">IF('Battery Design'!G193=0,25,'Battery Design'!G129/10*'Battery Design'!G59*G96)</f>
        <v>60.257520891690341</v>
      </c>
      <c r="H98" s="6">
        <f ca="1">IF('Battery Design'!H193=0,25,'Battery Design'!H129/10*'Battery Design'!H59*H96)</f>
        <v>59.309486774402011</v>
      </c>
      <c r="I98" s="6">
        <f ca="1">IF('Battery Design'!I193=0,25,'Battery Design'!I129/10*'Battery Design'!I59*I96)</f>
        <v>29.409352788051955</v>
      </c>
      <c r="J98" s="6">
        <f ca="1">IF('Battery Design'!J193=0,25,'Battery Design'!J129/10*'Battery Design'!J59*J96)</f>
        <v>29.409352788051955</v>
      </c>
    </row>
    <row r="99" spans="1:10">
      <c r="A99" s="7" t="s">
        <v>437</v>
      </c>
      <c r="E99" s="193"/>
      <c r="F99" s="6">
        <f ca="1">F94/F98</f>
        <v>39.431911336088753</v>
      </c>
      <c r="G99" s="6">
        <f t="shared" ref="G99:J99" ca="1" si="29">G94/G98</f>
        <v>43.837208682647244</v>
      </c>
      <c r="H99" s="6">
        <f t="shared" ca="1" si="29"/>
        <v>37.203200119867496</v>
      </c>
      <c r="I99" s="6">
        <f t="shared" ca="1" si="29"/>
        <v>37.240705672322235</v>
      </c>
      <c r="J99" s="6">
        <f t="shared" ca="1" si="29"/>
        <v>37.240705672322235</v>
      </c>
    </row>
    <row r="100" spans="1:10">
      <c r="A100" s="7" t="s">
        <v>425</v>
      </c>
      <c r="E100" s="83"/>
      <c r="F100" s="4">
        <f ca="1">('Battery Design'!F58*'Battery Design'!F130*2+'Battery Design'!F131)/10</f>
        <v>181.54319306377619</v>
      </c>
      <c r="G100" s="4">
        <f ca="1">('Battery Design'!G58*'Battery Design'!G130*2+'Battery Design'!G131)/10</f>
        <v>182.1323913867534</v>
      </c>
      <c r="H100" s="4">
        <f ca="1">('Battery Design'!H58*'Battery Design'!H130*2+'Battery Design'!H131)/10</f>
        <v>181.65752082932138</v>
      </c>
      <c r="I100" s="4">
        <f ca="1">('Battery Design'!I58*'Battery Design'!I130*2+'Battery Design'!I131)/10</f>
        <v>181.53943759978964</v>
      </c>
      <c r="J100" s="4">
        <f ca="1">('Battery Design'!J58*'Battery Design'!J130*2+'Battery Design'!J131)/10</f>
        <v>181.53943759978964</v>
      </c>
    </row>
    <row r="101" spans="1:10">
      <c r="A101" s="7" t="s">
        <v>426</v>
      </c>
      <c r="E101" s="193"/>
      <c r="F101" s="4">
        <f ca="1">F97*F99*F87/F88</f>
        <v>1106.0662024934329</v>
      </c>
      <c r="G101" s="4">
        <f t="shared" ref="G101:J101" ca="1" si="30">G97*G99*G87/G88</f>
        <v>1298.6057705209832</v>
      </c>
      <c r="H101" s="4">
        <f t="shared" ca="1" si="30"/>
        <v>1013.9499850348399</v>
      </c>
      <c r="I101" s="4">
        <f t="shared" ca="1" si="30"/>
        <v>1015.153554852878</v>
      </c>
      <c r="J101" s="4">
        <f t="shared" ca="1" si="30"/>
        <v>1015.153554852878</v>
      </c>
    </row>
    <row r="102" spans="1:10">
      <c r="A102" s="321" t="s">
        <v>755</v>
      </c>
      <c r="E102" s="83"/>
      <c r="F102" s="71">
        <f ca="1">48*F88*F95*F100/(F87*F97^2)/1000000</f>
        <v>1.0000000000000004E-2</v>
      </c>
      <c r="G102" s="71">
        <f t="shared" ref="G102:J102" ca="1" si="31">48*G88*G95*G100/(G87*G97^2)/1000000</f>
        <v>9.999999999999995E-3</v>
      </c>
      <c r="H102" s="71">
        <f t="shared" ca="1" si="31"/>
        <v>1.0000000000000004E-2</v>
      </c>
      <c r="I102" s="71">
        <f t="shared" ca="1" si="31"/>
        <v>1.0000000000000002E-2</v>
      </c>
      <c r="J102" s="71">
        <f t="shared" ca="1" si="31"/>
        <v>1.0000000000000002E-2</v>
      </c>
    </row>
    <row r="103" spans="1:10">
      <c r="A103" s="7" t="s">
        <v>427</v>
      </c>
      <c r="E103" s="239"/>
      <c r="F103" s="235">
        <v>0.01</v>
      </c>
      <c r="G103" s="235">
        <v>0.01</v>
      </c>
      <c r="H103" s="235">
        <v>0.01</v>
      </c>
      <c r="I103" s="235">
        <v>0.01</v>
      </c>
      <c r="J103" s="235">
        <v>0.01</v>
      </c>
    </row>
    <row r="104" spans="1:10">
      <c r="A104" s="7" t="s">
        <v>438</v>
      </c>
      <c r="F104" s="191">
        <v>50</v>
      </c>
      <c r="G104" s="191">
        <v>50</v>
      </c>
      <c r="H104" s="191">
        <v>50</v>
      </c>
      <c r="I104" s="191">
        <v>50</v>
      </c>
      <c r="J104" s="191">
        <v>50</v>
      </c>
    </row>
    <row r="105" spans="1:10">
      <c r="A105" s="321" t="s">
        <v>877</v>
      </c>
      <c r="E105" s="143"/>
      <c r="F105" s="4">
        <f ca="1">IF(F67="CA","NA",F94*F102/(F104/100)/10+F37/IF('Battery Design'!F172="Refrig 1",Thermal!$H$195,IF('Battery Design'!F172="Refrig 2",Thermal!$H$196,IF('Battery Design'!F172="Refrig 3",Thermal!$H$197,IF('Battery Design'!F172="Refrig 4",Thermal!$H$198)))))</f>
        <v>3082.6705003783977</v>
      </c>
      <c r="G105" s="4">
        <f ca="1">IF(G67="CA","NA",G94*G102/(G104/100)/10+G37/IF('Battery Design'!G172="Refrig 1",Thermal!$H$195,IF('Battery Design'!G172="Refrig 2",Thermal!$H$196,IF('Battery Design'!G172="Refrig 3",Thermal!$H$197,IF('Battery Design'!G172="Refrig 4",Thermal!$H$198)))))</f>
        <v>3695.4674715490355</v>
      </c>
      <c r="H105" s="4">
        <f ca="1">IF(H67="CA","NA",H94*H102/(H104/100)/10+H37/IF('Battery Design'!H172="Refrig 1",Thermal!$H$195,IF('Battery Design'!H172="Refrig 2",Thermal!$H$196,IF('Battery Design'!H172="Refrig 3",Thermal!$H$197,IF('Battery Design'!H172="Refrig 4",Thermal!$H$198)))))</f>
        <v>3086.8796329374791</v>
      </c>
      <c r="I105" s="4">
        <f ca="1">IF(I67="CA","NA",I94*I102/(I104/100)/10+I37/IF('Battery Design'!I172="Refrig 1",Thermal!$H$195,IF('Battery Design'!I172="Refrig 2",Thermal!$H$196,IF('Battery Design'!I172="Refrig 3",Thermal!$H$197,IF('Battery Design'!I172="Refrig 4",Thermal!$H$198)))))</f>
        <v>1532.2110848190621</v>
      </c>
      <c r="J105" s="4">
        <f ca="1">IF(J67="CA","NA",J94*J102/(J104/100)/10+J37/IF('Battery Design'!J172="Refrig 1",Thermal!$H$195,IF('Battery Design'!J172="Refrig 2",Thermal!$H$196,IF('Battery Design'!J172="Refrig 3",Thermal!$H$197,IF('Battery Design'!J172="Refrig 4",Thermal!$H$198)))))</f>
        <v>1532.2110848190621</v>
      </c>
    </row>
    <row r="106" spans="1:10">
      <c r="A106" s="5" t="s">
        <v>611</v>
      </c>
      <c r="E106" s="239"/>
      <c r="F106" s="319" t="str">
        <f>IF(F67="CA","NA"," ")</f>
        <v xml:space="preserve"> </v>
      </c>
      <c r="G106" s="319" t="str">
        <f t="shared" ref="G106:J106" si="32">IF(G67="CA","NA"," ")</f>
        <v xml:space="preserve"> </v>
      </c>
      <c r="H106" s="319" t="str">
        <f t="shared" si="32"/>
        <v xml:space="preserve"> </v>
      </c>
      <c r="I106" s="319" t="str">
        <f t="shared" si="32"/>
        <v xml:space="preserve"> </v>
      </c>
      <c r="J106" s="319" t="str">
        <f t="shared" si="32"/>
        <v xml:space="preserve"> </v>
      </c>
    </row>
    <row r="107" spans="1:10">
      <c r="A107" s="7" t="s">
        <v>428</v>
      </c>
      <c r="E107" s="240"/>
      <c r="F107" s="4">
        <f ca="1">2*F94*F87*F86*F97/(F89*F100*F98/F96)</f>
        <v>336.76725866110758</v>
      </c>
      <c r="G107" s="4">
        <f t="shared" ref="G107:J107" ca="1" si="33">2*G94*G87*G86*G97/(G89*G100*G98/G96)</f>
        <v>416.21716820437177</v>
      </c>
      <c r="H107" s="4">
        <f t="shared" ca="1" si="33"/>
        <v>299.77457858918166</v>
      </c>
      <c r="I107" s="4">
        <f t="shared" ca="1" si="33"/>
        <v>300.3793049803665</v>
      </c>
      <c r="J107" s="4">
        <f t="shared" ca="1" si="33"/>
        <v>300.3793049803665</v>
      </c>
    </row>
    <row r="108" spans="1:10">
      <c r="A108" s="7" t="s">
        <v>429</v>
      </c>
      <c r="E108" s="193"/>
      <c r="F108" s="21">
        <f t="shared" ref="F108" ca="1" si="34">(5.385^3.592+(2.255*F107^(1/3))^3.592)^(1/3.592)</f>
        <v>15.781866957739613</v>
      </c>
      <c r="G108" s="21">
        <f t="shared" ref="G108:J108" ca="1" si="35">(5.385^3.592+(2.255*G107^(1/3))^3.592)^(1/3.592)</f>
        <v>16.914186043345847</v>
      </c>
      <c r="H108" s="21">
        <f t="shared" ca="1" si="35"/>
        <v>15.194719880287604</v>
      </c>
      <c r="I108" s="21">
        <f t="shared" ca="1" si="35"/>
        <v>15.204684576473575</v>
      </c>
      <c r="J108" s="21">
        <f t="shared" ca="1" si="35"/>
        <v>15.204684576473575</v>
      </c>
    </row>
    <row r="109" spans="1:10" ht="14.25">
      <c r="A109" s="7" t="s">
        <v>430</v>
      </c>
      <c r="E109" s="94"/>
      <c r="F109" s="237">
        <f ca="1">F108*F89/F97</f>
        <v>5.1773474756997041E-2</v>
      </c>
      <c r="G109" s="237">
        <f t="shared" ref="G109:J109" ca="1" si="36">G108*G89/G97</f>
        <v>5.2541068016651073E-2</v>
      </c>
      <c r="H109" s="237">
        <f t="shared" ca="1" si="36"/>
        <v>5.1302519279287334E-2</v>
      </c>
      <c r="I109" s="237">
        <f t="shared" ca="1" si="36"/>
        <v>5.1326991138090222E-2</v>
      </c>
      <c r="J109" s="237">
        <f t="shared" ca="1" si="36"/>
        <v>5.1326991138090222E-2</v>
      </c>
    </row>
    <row r="110" spans="1:10" ht="14.25">
      <c r="A110" s="7" t="s">
        <v>431</v>
      </c>
      <c r="F110" s="4">
        <f ca="1">2*'Battery Design'!F60*'Battery Design'!F107/10*'Battery Design'!F130/10</f>
        <v>11918.266996357423</v>
      </c>
      <c r="G110" s="4">
        <f ca="1">2*'Battery Design'!G60*'Battery Design'!G107/10*'Battery Design'!G130/10</f>
        <v>12214.970170891529</v>
      </c>
      <c r="H110" s="4">
        <f ca="1">2*'Battery Design'!H60*'Battery Design'!H107/10*'Battery Design'!H130/10</f>
        <v>12034.497175921268</v>
      </c>
      <c r="I110" s="4">
        <f ca="1">2*'Battery Design'!I60*'Battery Design'!I107/10*'Battery Design'!I130/10</f>
        <v>5957.2245207250598</v>
      </c>
      <c r="J110" s="4">
        <f ca="1">2*'Battery Design'!J60*'Battery Design'!J107/10*'Battery Design'!J130/10</f>
        <v>5957.2245207250598</v>
      </c>
    </row>
    <row r="111" spans="1:10" ht="14.25">
      <c r="A111" s="7" t="s">
        <v>572</v>
      </c>
      <c r="F111" s="21">
        <f ca="1">F37/F109/F110</f>
        <v>12.471692067143406</v>
      </c>
      <c r="G111" s="21">
        <f t="shared" ref="G111:J111" ca="1" si="37">G37/G109/G110</f>
        <v>14.374633257682623</v>
      </c>
      <c r="H111" s="21">
        <f t="shared" ca="1" si="37"/>
        <v>12.481642819797083</v>
      </c>
      <c r="I111" s="21">
        <f t="shared" ca="1" si="37"/>
        <v>12.509718070418691</v>
      </c>
      <c r="J111" s="21">
        <f t="shared" ca="1" si="37"/>
        <v>12.509718070418691</v>
      </c>
    </row>
    <row r="112" spans="1:10" ht="14.25">
      <c r="A112" s="5" t="s">
        <v>642</v>
      </c>
      <c r="F112" s="6">
        <f ca="1">IF(F106="NA","NA",MIN(F83+F111+F92+F93,F65))</f>
        <v>34.999999999998849</v>
      </c>
      <c r="G112" s="6">
        <f t="shared" ref="G112:J112" ca="1" si="38">IF(G106="NA","NA",MIN(G83+G111+G92+G93,G65))</f>
        <v>34.999999999998721</v>
      </c>
      <c r="H112" s="6">
        <f t="shared" ca="1" si="38"/>
        <v>34.999999999998764</v>
      </c>
      <c r="I112" s="6">
        <f t="shared" ca="1" si="38"/>
        <v>34.999999999999638</v>
      </c>
      <c r="J112" s="6">
        <f t="shared" ca="1" si="38"/>
        <v>34.999999999999638</v>
      </c>
    </row>
    <row r="113" spans="1:11" ht="15.75">
      <c r="A113" s="19" t="s">
        <v>845</v>
      </c>
      <c r="F113" s="311" t="str">
        <f>IF(F67="CA"," ","NA")</f>
        <v>NA</v>
      </c>
      <c r="G113" s="311" t="str">
        <f t="shared" ref="G113:J113" si="39">IF(G67="CA"," ","NA")</f>
        <v>NA</v>
      </c>
      <c r="H113" s="311" t="str">
        <f t="shared" si="39"/>
        <v>NA</v>
      </c>
      <c r="I113" s="311" t="str">
        <f t="shared" si="39"/>
        <v>NA</v>
      </c>
      <c r="J113" s="311" t="str">
        <f t="shared" si="39"/>
        <v>NA</v>
      </c>
    </row>
    <row r="114" spans="1:11" ht="15.75">
      <c r="A114" s="5" t="s">
        <v>615</v>
      </c>
      <c r="F114" s="311"/>
      <c r="G114" s="311"/>
      <c r="H114" s="311"/>
      <c r="I114" s="311"/>
      <c r="J114" s="311"/>
    </row>
    <row r="115" spans="1:11">
      <c r="A115" s="321" t="s">
        <v>439</v>
      </c>
      <c r="E115" s="94"/>
      <c r="F115" s="21">
        <f ca="1">F37/'Battery Design'!F64</f>
        <v>60.122334225517072</v>
      </c>
      <c r="G115" s="21">
        <f ca="1">G37/'Battery Design'!G64</f>
        <v>36.036957309697065</v>
      </c>
      <c r="H115" s="21">
        <f ca="1">H37/'Battery Design'!H64</f>
        <v>30.102213159438765</v>
      </c>
      <c r="I115" s="21">
        <f ca="1">I37/'Battery Design'!I64</f>
        <v>29.883215521810069</v>
      </c>
      <c r="J115" s="21">
        <f ca="1">J37/'Battery Design'!J64</f>
        <v>29.883215521810069</v>
      </c>
    </row>
    <row r="116" spans="1:11">
      <c r="A116" s="7" t="s">
        <v>442</v>
      </c>
      <c r="E116" s="143"/>
      <c r="F116" s="21">
        <f>'Battery Design'!F31/10</f>
        <v>1.2</v>
      </c>
      <c r="G116" s="21">
        <f>'Battery Design'!G31/10</f>
        <v>0.6</v>
      </c>
      <c r="H116" s="21">
        <f>'Battery Design'!H31/10</f>
        <v>1.2</v>
      </c>
      <c r="I116" s="21">
        <f>'Battery Design'!I31/10</f>
        <v>1.2</v>
      </c>
      <c r="J116" s="21">
        <f>'Battery Design'!J31/10</f>
        <v>1.2</v>
      </c>
    </row>
    <row r="117" spans="1:11">
      <c r="A117" s="7" t="s">
        <v>443</v>
      </c>
      <c r="E117" s="242"/>
      <c r="F117" s="6">
        <f ca="1">'Battery Design'!F111/10</f>
        <v>11.923193063776186</v>
      </c>
      <c r="G117" s="6">
        <f ca="1">'Battery Design'!G111/10</f>
        <v>12.192391386753384</v>
      </c>
      <c r="H117" s="6">
        <f ca="1">'Battery Design'!H111/10</f>
        <v>12.037520829321362</v>
      </c>
      <c r="I117" s="6">
        <f ca="1">'Battery Design'!I111/10</f>
        <v>11.919437599789617</v>
      </c>
      <c r="J117" s="6">
        <f ca="1">'Battery Design'!J111/10</f>
        <v>11.919437599789617</v>
      </c>
    </row>
    <row r="118" spans="1:11">
      <c r="A118" s="7" t="s">
        <v>505</v>
      </c>
      <c r="F118" s="215">
        <f ca="1">F56</f>
        <v>9.1064326437767674E-3</v>
      </c>
      <c r="G118" s="215">
        <f t="shared" ref="G118:J118" ca="1" si="40">G56</f>
        <v>9.1064326437767726E-3</v>
      </c>
      <c r="H118" s="215">
        <f t="shared" ca="1" si="40"/>
        <v>9.1064326437767743E-3</v>
      </c>
      <c r="I118" s="215">
        <f t="shared" ca="1" si="40"/>
        <v>9.1064326437767483E-3</v>
      </c>
      <c r="J118" s="215">
        <f t="shared" ca="1" si="40"/>
        <v>9.1064326437767483E-3</v>
      </c>
    </row>
    <row r="119" spans="1:11" ht="14.25">
      <c r="A119" s="7" t="s">
        <v>618</v>
      </c>
      <c r="F119" s="21">
        <f ca="1">F115/2*F116/2/(F118*F71*F117)</f>
        <v>4.7233383894823122</v>
      </c>
      <c r="G119" s="21">
        <f t="shared" ref="G119:J119" ca="1" si="41">G115/2*G116/2/(G118*G71*G117)</f>
        <v>1.3532410102020529</v>
      </c>
      <c r="H119" s="21">
        <f t="shared" ca="1" si="41"/>
        <v>4.6396191779602507</v>
      </c>
      <c r="I119" s="21">
        <f t="shared" ca="1" si="41"/>
        <v>4.6983623502529328</v>
      </c>
      <c r="J119" s="21">
        <f t="shared" ca="1" si="41"/>
        <v>4.6983623502529328</v>
      </c>
    </row>
    <row r="120" spans="1:11">
      <c r="A120" s="5" t="s">
        <v>643</v>
      </c>
      <c r="F120" s="314" t="str">
        <f>F113</f>
        <v>NA</v>
      </c>
      <c r="G120" s="314" t="str">
        <f t="shared" ref="G120:J120" si="42">G113</f>
        <v>NA</v>
      </c>
      <c r="H120" s="314" t="str">
        <f t="shared" si="42"/>
        <v>NA</v>
      </c>
      <c r="I120" s="314" t="str">
        <f t="shared" si="42"/>
        <v>NA</v>
      </c>
      <c r="J120" s="314" t="str">
        <f t="shared" si="42"/>
        <v>NA</v>
      </c>
    </row>
    <row r="121" spans="1:11">
      <c r="A121" s="321" t="s">
        <v>752</v>
      </c>
      <c r="F121" s="314"/>
      <c r="G121" s="314"/>
      <c r="H121" s="314"/>
      <c r="I121" s="314"/>
      <c r="J121" s="314"/>
    </row>
    <row r="122" spans="1:11" ht="14.25">
      <c r="A122" s="321" t="s">
        <v>754</v>
      </c>
      <c r="F122" s="104">
        <v>1</v>
      </c>
      <c r="G122" s="104">
        <v>1</v>
      </c>
      <c r="H122" s="104">
        <v>1</v>
      </c>
      <c r="I122" s="104">
        <v>1</v>
      </c>
      <c r="J122" s="104">
        <v>1</v>
      </c>
    </row>
    <row r="123" spans="1:11">
      <c r="A123" s="321" t="s">
        <v>756</v>
      </c>
      <c r="F123" s="313">
        <f>1.2928/1000/298*273</f>
        <v>1.184343624161074E-3</v>
      </c>
      <c r="G123" s="313">
        <f t="shared" ref="G123:J123" si="43">1.2928/1000/298*273</f>
        <v>1.184343624161074E-3</v>
      </c>
      <c r="H123" s="313">
        <f t="shared" si="43"/>
        <v>1.184343624161074E-3</v>
      </c>
      <c r="I123" s="313">
        <f t="shared" si="43"/>
        <v>1.184343624161074E-3</v>
      </c>
      <c r="J123" s="313">
        <f t="shared" si="43"/>
        <v>1.184343624161074E-3</v>
      </c>
    </row>
    <row r="124" spans="1:11">
      <c r="A124" s="321" t="s">
        <v>757</v>
      </c>
      <c r="F124" s="106">
        <v>1.7999999999999999E-2</v>
      </c>
      <c r="G124" s="106">
        <v>1.7999999999999999E-2</v>
      </c>
      <c r="H124" s="106">
        <v>1.7999999999999999E-2</v>
      </c>
      <c r="I124" s="106">
        <v>1.7999999999999999E-2</v>
      </c>
      <c r="J124" s="106">
        <v>1.7999999999999999E-2</v>
      </c>
    </row>
    <row r="125" spans="1:11" ht="14.25">
      <c r="A125" s="321" t="s">
        <v>758</v>
      </c>
      <c r="F125" s="374">
        <f>F58</f>
        <v>2.5999999999999998E-4</v>
      </c>
      <c r="G125" s="374">
        <f t="shared" ref="G125:J125" si="44">G58</f>
        <v>2.5999999999999998E-4</v>
      </c>
      <c r="H125" s="374">
        <f t="shared" si="44"/>
        <v>2.5999999999999998E-4</v>
      </c>
      <c r="I125" s="374">
        <f t="shared" si="44"/>
        <v>2.5999999999999998E-4</v>
      </c>
      <c r="J125" s="374">
        <f t="shared" si="44"/>
        <v>2.5999999999999998E-4</v>
      </c>
    </row>
    <row r="126" spans="1:11">
      <c r="A126" s="321" t="s">
        <v>731</v>
      </c>
      <c r="F126" s="21">
        <f ca="1">'Battery Design'!F111/10</f>
        <v>11.923193063776186</v>
      </c>
      <c r="G126" s="21">
        <f ca="1">'Battery Design'!G111/10</f>
        <v>12.192391386753384</v>
      </c>
      <c r="H126" s="21">
        <f ca="1">'Battery Design'!H111/10</f>
        <v>12.037520829321362</v>
      </c>
      <c r="I126" s="21">
        <f ca="1">'Battery Design'!I111/10</f>
        <v>11.919437599789617</v>
      </c>
      <c r="J126" s="21">
        <f ca="1">'Battery Design'!J111/10</f>
        <v>11.919437599789617</v>
      </c>
      <c r="K126" s="207"/>
    </row>
    <row r="127" spans="1:11">
      <c r="A127" s="7" t="s">
        <v>655</v>
      </c>
      <c r="F127" s="365">
        <v>0.4</v>
      </c>
      <c r="G127" s="365">
        <v>0.4</v>
      </c>
      <c r="H127" s="365">
        <v>0.4</v>
      </c>
      <c r="I127" s="365">
        <v>0.4</v>
      </c>
      <c r="J127" s="365">
        <v>0.4</v>
      </c>
      <c r="K127" s="207"/>
    </row>
    <row r="128" spans="1:11">
      <c r="A128" s="7" t="s">
        <v>656</v>
      </c>
      <c r="F128" s="252">
        <f ca="1">F130*10+2*F127</f>
        <v>6.433588742562562</v>
      </c>
      <c r="G128" s="252">
        <f t="shared" ref="G128:J128" ca="1" si="45">G130*10+2*G127</f>
        <v>5.3454143154826577</v>
      </c>
      <c r="H128" s="252">
        <f t="shared" ca="1" si="45"/>
        <v>6.2999208272582736</v>
      </c>
      <c r="I128" s="252">
        <f t="shared" ca="1" si="45"/>
        <v>6.305960222087811</v>
      </c>
      <c r="J128" s="252">
        <f t="shared" ca="1" si="45"/>
        <v>6.305960222087811</v>
      </c>
    </row>
    <row r="129" spans="1:11">
      <c r="A129" s="7" t="s">
        <v>657</v>
      </c>
      <c r="F129" s="6">
        <f ca="1">F128+'Battery Design'!F31</f>
        <v>18.433588742562563</v>
      </c>
      <c r="G129" s="6">
        <f ca="1">G128+'Battery Design'!G31</f>
        <v>11.345414315482657</v>
      </c>
      <c r="H129" s="6">
        <f ca="1">H128+'Battery Design'!H31</f>
        <v>18.299920827258273</v>
      </c>
      <c r="I129" s="6">
        <f ca="1">I128+'Battery Design'!I31</f>
        <v>18.305960222087812</v>
      </c>
      <c r="J129" s="6">
        <f ca="1">J128+'Battery Design'!J31</f>
        <v>18.305960222087812</v>
      </c>
    </row>
    <row r="130" spans="1:11">
      <c r="A130" s="7" t="s">
        <v>633</v>
      </c>
      <c r="F130" s="316">
        <f ca="1">IF('Battery Design'!F193=0,0.2,IF(F154=F145*F146/100,F131,F131+5*(F154-F145*F146/100)))</f>
        <v>0.56335887425628184</v>
      </c>
      <c r="G130" s="316">
        <f ca="1">IF('Battery Design'!G193=0,0.2,IF(G154=G145*G146/100,G131,G131+5*(G154-G145*G146/100)))</f>
        <v>0.45454143154828169</v>
      </c>
      <c r="H130" s="316">
        <f ca="1">IF('Battery Design'!H193=0,0.2,IF(H154=H145*H146/100,H131,H131+5*(H154-H145*H146/100)))</f>
        <v>0.54999208272585443</v>
      </c>
      <c r="I130" s="316">
        <f ca="1">IF('Battery Design'!I193=0,0.2,IF(I154=I145*I146/100,I131,I131+5*(I154-I145*I146/100)))</f>
        <v>0.55059602220878856</v>
      </c>
      <c r="J130" s="316">
        <f ca="1">IF('Battery Design'!J193=0,0.2,IF(J154=J145*J146/100,J131,J131+5*(J154-J145*J146/100)))</f>
        <v>0.55059602220878856</v>
      </c>
    </row>
    <row r="131" spans="1:11">
      <c r="A131" s="321" t="s">
        <v>749</v>
      </c>
      <c r="F131" s="316">
        <f t="shared" ref="F131" ca="1" si="46">F130</f>
        <v>0.56335887425628184</v>
      </c>
      <c r="G131" s="316">
        <f t="shared" ref="G131:J131" ca="1" si="47">G130</f>
        <v>0.45454143154828169</v>
      </c>
      <c r="H131" s="316">
        <f t="shared" ca="1" si="47"/>
        <v>0.54999208272585443</v>
      </c>
      <c r="I131" s="316">
        <f t="shared" ca="1" si="47"/>
        <v>0.55059602220878856</v>
      </c>
      <c r="J131" s="316">
        <f t="shared" ca="1" si="47"/>
        <v>0.55059602220878856</v>
      </c>
    </row>
    <row r="132" spans="1:11">
      <c r="A132" s="321" t="s">
        <v>747</v>
      </c>
      <c r="F132" s="371">
        <v>1</v>
      </c>
      <c r="G132" s="371">
        <v>1</v>
      </c>
      <c r="H132" s="371">
        <v>1</v>
      </c>
      <c r="I132" s="371">
        <v>1</v>
      </c>
      <c r="J132" s="371">
        <v>1</v>
      </c>
    </row>
    <row r="133" spans="1:11">
      <c r="A133" s="7" t="s">
        <v>616</v>
      </c>
      <c r="F133" s="21">
        <f ca="1">(F136-(F135-1)*F134)/F135</f>
        <v>1.0196406617699465</v>
      </c>
      <c r="G133" s="21">
        <f t="shared" ref="G133:J133" ca="1" si="48">(G136-(G135-1)*G134)/G135</f>
        <v>1.0059058053420047</v>
      </c>
      <c r="H133" s="21">
        <f t="shared" ca="1" si="48"/>
        <v>1.0825915174272882</v>
      </c>
      <c r="I133" s="21">
        <f t="shared" ca="1" si="48"/>
        <v>1.0699397428346009</v>
      </c>
      <c r="J133" s="21">
        <f t="shared" ca="1" si="48"/>
        <v>1.0699397428346009</v>
      </c>
    </row>
    <row r="134" spans="1:11">
      <c r="A134" s="7" t="s">
        <v>617</v>
      </c>
      <c r="F134" s="366">
        <v>0.2</v>
      </c>
      <c r="G134" s="366">
        <v>0.2</v>
      </c>
      <c r="H134" s="366">
        <v>0.2</v>
      </c>
      <c r="I134" s="366">
        <v>0.2</v>
      </c>
      <c r="J134" s="366">
        <v>0.2</v>
      </c>
    </row>
    <row r="135" spans="1:11">
      <c r="A135" s="7" t="s">
        <v>632</v>
      </c>
      <c r="F135" s="4">
        <f ca="1">ROUNDDOWN((F136+F134)/(F132+F134),0)</f>
        <v>29</v>
      </c>
      <c r="G135" s="4">
        <f t="shared" ref="G135:J135" ca="1" si="49">ROUNDDOWN((G136+G134)/(G132+G134),0)</f>
        <v>30</v>
      </c>
      <c r="H135" s="4">
        <f t="shared" ca="1" si="49"/>
        <v>14</v>
      </c>
      <c r="I135" s="4">
        <f t="shared" ca="1" si="49"/>
        <v>14</v>
      </c>
      <c r="J135" s="4">
        <f t="shared" ca="1" si="49"/>
        <v>14</v>
      </c>
    </row>
    <row r="136" spans="1:11">
      <c r="A136" s="7" t="s">
        <v>630</v>
      </c>
      <c r="F136" s="6">
        <f ca="1">'Battery Design'!F107/10</f>
        <v>35.169579191328559</v>
      </c>
      <c r="G136" s="6">
        <f ca="1">'Battery Design'!G107/10</f>
        <v>35.977174160260155</v>
      </c>
      <c r="H136" s="6">
        <f ca="1">'Battery Design'!H107/10</f>
        <v>17.756281243982041</v>
      </c>
      <c r="I136" s="6">
        <f ca="1">'Battery Design'!I107/10</f>
        <v>17.579156399684429</v>
      </c>
      <c r="J136" s="6">
        <f ca="1">'Battery Design'!J107/10</f>
        <v>17.579156399684429</v>
      </c>
    </row>
    <row r="137" spans="1:11">
      <c r="A137" s="321" t="s">
        <v>760</v>
      </c>
      <c r="F137" s="6">
        <f ca="1">'Battery Design'!F125/10</f>
        <v>35.169579191328559</v>
      </c>
      <c r="G137" s="6">
        <f ca="1">'Battery Design'!G125/10</f>
        <v>35.977174160260155</v>
      </c>
      <c r="H137" s="6">
        <f ca="1">'Battery Design'!H125/10</f>
        <v>17.756281243982041</v>
      </c>
      <c r="I137" s="6">
        <f ca="1">'Battery Design'!I125/10</f>
        <v>17.579156399684429</v>
      </c>
      <c r="J137" s="6">
        <f ca="1">'Battery Design'!J125/10</f>
        <v>17.579156399684429</v>
      </c>
    </row>
    <row r="138" spans="1:11">
      <c r="A138" s="321" t="s">
        <v>830</v>
      </c>
    </row>
    <row r="139" spans="1:11" ht="14.25">
      <c r="A139" s="321" t="s">
        <v>829</v>
      </c>
      <c r="F139" s="393">
        <f>IF(F67="EG-W",15,IF(F67="CoolA",15,25))</f>
        <v>15</v>
      </c>
      <c r="G139" s="393">
        <f>IF(G67="EG-W",15,IF(G67="CoolA",15,25))</f>
        <v>15</v>
      </c>
      <c r="H139" s="393">
        <f>IF(H67="EG-W",15,IF(H67="CoolA",15,25))</f>
        <v>15</v>
      </c>
      <c r="I139" s="393">
        <f>IF(I67="EG-W",15,IF(I67="CoolA",15,25))</f>
        <v>15</v>
      </c>
      <c r="J139" s="393">
        <f>IF(J67="EG-W",15,IF(J67="CoolA",15,25))</f>
        <v>15</v>
      </c>
    </row>
    <row r="140" spans="1:11" ht="14.25">
      <c r="A140" s="321" t="s">
        <v>828</v>
      </c>
      <c r="F140" s="277"/>
      <c r="G140" s="277"/>
      <c r="H140" s="277"/>
      <c r="I140" s="277"/>
      <c r="J140" s="277"/>
    </row>
    <row r="141" spans="1:11" ht="14.25">
      <c r="A141" s="321" t="s">
        <v>831</v>
      </c>
      <c r="F141" s="394">
        <f>IF(F140&gt;0,F140,F139)</f>
        <v>15</v>
      </c>
      <c r="G141" s="394">
        <f t="shared" ref="G141:J141" si="50">IF(G140&gt;0,G140,G139)</f>
        <v>15</v>
      </c>
      <c r="H141" s="394">
        <f t="shared" si="50"/>
        <v>15</v>
      </c>
      <c r="I141" s="394">
        <f t="shared" si="50"/>
        <v>15</v>
      </c>
      <c r="J141" s="394">
        <f t="shared" si="50"/>
        <v>15</v>
      </c>
    </row>
    <row r="142" spans="1:11" ht="14.25">
      <c r="A142" t="s">
        <v>641</v>
      </c>
      <c r="F142" s="277">
        <v>5</v>
      </c>
      <c r="G142" s="277">
        <v>5</v>
      </c>
      <c r="H142" s="277">
        <v>5</v>
      </c>
      <c r="I142" s="277">
        <v>5</v>
      </c>
      <c r="J142" s="277">
        <v>5</v>
      </c>
    </row>
    <row r="143" spans="1:11">
      <c r="A143" s="7" t="s">
        <v>637</v>
      </c>
      <c r="E143" s="109"/>
      <c r="F143" s="315">
        <f ca="1">(F37+F163)/F122/F123/F142</f>
        <v>1962318.1839712765</v>
      </c>
      <c r="G143" s="315">
        <f ca="1">(G37+G163)/G122/G123/G142</f>
        <v>2352402.8976839576</v>
      </c>
      <c r="H143" s="315">
        <f ca="1">(H37+H163)/H122/H123/H142</f>
        <v>1964997.5677582871</v>
      </c>
      <c r="I143" s="315">
        <f ca="1">(I37+I163)/I122/I123/I142</f>
        <v>975350.97346724791</v>
      </c>
      <c r="J143" s="315">
        <f ca="1">(J37+J163)/J122/J123/J142</f>
        <v>975350.97346724791</v>
      </c>
      <c r="K143" s="315"/>
    </row>
    <row r="144" spans="1:11">
      <c r="A144" s="7" t="s">
        <v>621</v>
      </c>
      <c r="E144" s="145"/>
      <c r="F144" s="4">
        <f ca="1">F143/F135/'Battery Design'!F64</f>
        <v>528.64175214743443</v>
      </c>
      <c r="G144" s="4">
        <f ca="1">G143/G135/'Battery Design'!G64</f>
        <v>306.30246063593199</v>
      </c>
      <c r="H144" s="4">
        <f ca="1">H143/H135/'Battery Design'!H64</f>
        <v>548.26941064684354</v>
      </c>
      <c r="I144" s="4">
        <f ca="1">I143/I135/'Battery Design'!I64</f>
        <v>544.28067715806242</v>
      </c>
      <c r="J144" s="4">
        <f ca="1">J143/J135/'Battery Design'!J64</f>
        <v>544.28067715806242</v>
      </c>
      <c r="K144" s="4"/>
    </row>
    <row r="145" spans="1:11">
      <c r="A145" s="7" t="s">
        <v>639</v>
      </c>
      <c r="E145" s="185"/>
      <c r="F145" s="148">
        <v>0.02</v>
      </c>
      <c r="G145" s="148">
        <v>0.02</v>
      </c>
      <c r="H145" s="148">
        <v>0.02</v>
      </c>
      <c r="I145" s="148">
        <v>0.02</v>
      </c>
      <c r="J145" s="148">
        <v>0.02</v>
      </c>
    </row>
    <row r="146" spans="1:11">
      <c r="A146" s="7" t="s">
        <v>640</v>
      </c>
      <c r="E146" s="185"/>
      <c r="F146" s="367">
        <f>90</f>
        <v>90</v>
      </c>
      <c r="G146" s="367">
        <f>90</f>
        <v>90</v>
      </c>
      <c r="H146" s="367">
        <f>90</f>
        <v>90</v>
      </c>
      <c r="I146" s="367">
        <f>90</f>
        <v>90</v>
      </c>
      <c r="J146" s="367">
        <f>90</f>
        <v>90</v>
      </c>
    </row>
    <row r="147" spans="1:11" ht="14.25">
      <c r="A147" s="7" t="s">
        <v>434</v>
      </c>
      <c r="E147" s="109"/>
      <c r="F147" s="21">
        <f t="shared" ref="F147:I147" ca="1" si="51">F144*F123/F150</f>
        <v>1.089950816573052</v>
      </c>
      <c r="G147" s="21">
        <f t="shared" ca="1" si="51"/>
        <v>0.79340954717677459</v>
      </c>
      <c r="H147" s="21">
        <f t="shared" ca="1" si="51"/>
        <v>1.0905628136871204</v>
      </c>
      <c r="I147" s="21">
        <f t="shared" ca="1" si="51"/>
        <v>1.0942290834323254</v>
      </c>
      <c r="J147" s="21">
        <f ca="1">J144*J123/J150</f>
        <v>1.0942290834323254</v>
      </c>
    </row>
    <row r="148" spans="1:11">
      <c r="A148" s="321" t="s">
        <v>748</v>
      </c>
      <c r="E148" s="109"/>
      <c r="F148" s="71">
        <f t="shared" ref="F148:I148" ca="1" si="52">4*F130*F133/(2*(F130+F133))</f>
        <v>0.72574072485531016</v>
      </c>
      <c r="G148" s="71">
        <f t="shared" ca="1" si="52"/>
        <v>0.62614499615398345</v>
      </c>
      <c r="H148" s="71">
        <f t="shared" ca="1" si="52"/>
        <v>0.72941656813816447</v>
      </c>
      <c r="I148" s="71">
        <f t="shared" ca="1" si="52"/>
        <v>0.72704913907537538</v>
      </c>
      <c r="J148" s="71">
        <f ca="1">4*J130*J133/(2*(J130+J133))</f>
        <v>0.72704913907537538</v>
      </c>
    </row>
    <row r="149" spans="1:11">
      <c r="A149" s="7" t="s">
        <v>620</v>
      </c>
      <c r="E149" s="109"/>
      <c r="F149" s="71">
        <f t="shared" ref="F149:I149" ca="1" si="53">F115/F135</f>
        <v>2.0731839388109337</v>
      </c>
      <c r="G149" s="71">
        <f t="shared" ca="1" si="53"/>
        <v>1.2012319103232356</v>
      </c>
      <c r="H149" s="71">
        <f t="shared" ca="1" si="53"/>
        <v>2.1501580828170548</v>
      </c>
      <c r="I149" s="71">
        <f t="shared" ca="1" si="53"/>
        <v>2.134515394415005</v>
      </c>
      <c r="J149" s="71">
        <f ca="1">J115/J135</f>
        <v>2.134515394415005</v>
      </c>
      <c r="K149" s="207"/>
    </row>
    <row r="150" spans="1:11" ht="14.25">
      <c r="A150" s="7" t="s">
        <v>619</v>
      </c>
      <c r="E150" s="316"/>
      <c r="F150" s="21">
        <f t="shared" ref="F150:I150" ca="1" si="54">F133*F130</f>
        <v>0.57442361536064734</v>
      </c>
      <c r="G150" s="21">
        <f t="shared" ca="1" si="54"/>
        <v>0.45722586476288202</v>
      </c>
      <c r="H150" s="21">
        <f t="shared" ca="1" si="54"/>
        <v>0.59541676341117733</v>
      </c>
      <c r="I150" s="21">
        <f t="shared" ca="1" si="54"/>
        <v>0.58910456640782549</v>
      </c>
      <c r="J150" s="21">
        <f ca="1">J133*J130</f>
        <v>0.58910456640782549</v>
      </c>
    </row>
    <row r="151" spans="1:11" ht="15.75">
      <c r="A151" s="321" t="s">
        <v>855</v>
      </c>
      <c r="E151" s="142"/>
      <c r="F151" s="4">
        <f t="shared" ref="F151:I151" ca="1" si="55">F144/F150</f>
        <v>920.29947587640675</v>
      </c>
      <c r="G151" s="4">
        <f t="shared" ca="1" si="55"/>
        <v>669.91499003404124</v>
      </c>
      <c r="H151" s="4">
        <f t="shared" ca="1" si="55"/>
        <v>920.816215361113</v>
      </c>
      <c r="I151" s="4">
        <f t="shared" ca="1" si="55"/>
        <v>923.91182855178829</v>
      </c>
      <c r="J151" s="4">
        <f t="shared" ref="J151" ca="1" si="56">J144/J150</f>
        <v>923.91182855178829</v>
      </c>
    </row>
    <row r="152" spans="1:11">
      <c r="A152" s="7" t="s">
        <v>631</v>
      </c>
      <c r="E152" s="145"/>
      <c r="F152" s="21">
        <f t="shared" ref="F152:I152" ca="1" si="57">F126</f>
        <v>11.923193063776186</v>
      </c>
      <c r="G152" s="21">
        <f t="shared" ca="1" si="57"/>
        <v>12.192391386753384</v>
      </c>
      <c r="H152" s="21">
        <f t="shared" ca="1" si="57"/>
        <v>12.037520829321362</v>
      </c>
      <c r="I152" s="21">
        <f t="shared" ca="1" si="57"/>
        <v>11.919437599789617</v>
      </c>
      <c r="J152" s="21">
        <f ca="1">J126</f>
        <v>11.919437599789617</v>
      </c>
    </row>
    <row r="153" spans="1:11">
      <c r="A153" s="7" t="s">
        <v>426</v>
      </c>
      <c r="E153" s="145"/>
      <c r="F153" s="4">
        <f t="shared" ref="F153:I153" ca="1" si="58">F148*F151*F123/F124</f>
        <v>43.94564975979592</v>
      </c>
      <c r="G153" s="4">
        <f t="shared" ca="1" si="58"/>
        <v>27.599412103639864</v>
      </c>
      <c r="H153" s="4">
        <f t="shared" ca="1" si="58"/>
        <v>44.193032494373291</v>
      </c>
      <c r="I153" s="4">
        <f t="shared" ca="1" si="58"/>
        <v>44.197684058927663</v>
      </c>
      <c r="J153" s="4">
        <f ca="1">J148*J151*J123/J124</f>
        <v>44.197684058927663</v>
      </c>
    </row>
    <row r="154" spans="1:11">
      <c r="A154" s="321" t="s">
        <v>800</v>
      </c>
      <c r="E154" s="185"/>
      <c r="F154" s="236">
        <f t="shared" ref="F154:I154" ca="1" si="59">48*F124*F147*F152/(F123*F148^2)/1000000</f>
        <v>1.8000000000003503E-2</v>
      </c>
      <c r="G154" s="236">
        <f t="shared" ca="1" si="59"/>
        <v>1.8000000000002164E-2</v>
      </c>
      <c r="H154" s="236">
        <f t="shared" ca="1" si="59"/>
        <v>1.8000000000003732E-2</v>
      </c>
      <c r="I154" s="236">
        <f t="shared" ca="1" si="59"/>
        <v>1.8000000000001026E-2</v>
      </c>
      <c r="J154" s="236">
        <f ca="1">48*J124*J147*J152/(J123*J148^2)/1000000</f>
        <v>1.8000000000001026E-2</v>
      </c>
    </row>
    <row r="155" spans="1:11">
      <c r="A155" s="7" t="s">
        <v>625</v>
      </c>
      <c r="E155" s="185"/>
      <c r="F155" s="317">
        <f t="shared" ref="F155:I155" si="60">F145*(100-F146)/100</f>
        <v>2E-3</v>
      </c>
      <c r="G155" s="317">
        <f t="shared" si="60"/>
        <v>2E-3</v>
      </c>
      <c r="H155" s="317">
        <f t="shared" si="60"/>
        <v>2E-3</v>
      </c>
      <c r="I155" s="317">
        <f t="shared" si="60"/>
        <v>2E-3</v>
      </c>
      <c r="J155" s="317">
        <f t="shared" ref="J155" si="61">J145*(100-J146)/100</f>
        <v>2E-3</v>
      </c>
    </row>
    <row r="156" spans="1:11" ht="14.25">
      <c r="A156" s="7" t="s">
        <v>626</v>
      </c>
      <c r="E156" s="185"/>
      <c r="F156" s="316">
        <f t="shared" ref="F156:I156" ca="1" si="62">F143*F123/F159/F160</f>
        <v>2.1618937281016493</v>
      </c>
      <c r="G156" s="316">
        <f t="shared" ca="1" si="62"/>
        <v>2.3754474827235774</v>
      </c>
      <c r="H156" s="316">
        <f t="shared" ca="1" si="62"/>
        <v>2.1512621113385366</v>
      </c>
      <c r="I156" s="316">
        <f t="shared" ca="1" si="62"/>
        <v>1.5373877986347144</v>
      </c>
      <c r="J156" s="316">
        <f ca="1">J143*J123/J159/J160</f>
        <v>1.5373877986347144</v>
      </c>
      <c r="K156" s="310"/>
    </row>
    <row r="157" spans="1:11" ht="15.75">
      <c r="A157" s="321" t="s">
        <v>856</v>
      </c>
      <c r="E157" s="185"/>
      <c r="F157" s="145">
        <f t="shared" ref="F157:I157" ca="1" si="63">F156/F123</f>
        <v>1825.3939853250106</v>
      </c>
      <c r="G157" s="145">
        <f t="shared" ca="1" si="63"/>
        <v>2005.7080008398898</v>
      </c>
      <c r="H157" s="145">
        <f t="shared" ca="1" si="63"/>
        <v>1816.4171845501141</v>
      </c>
      <c r="I157" s="145">
        <f t="shared" ca="1" si="63"/>
        <v>1298.0926880268539</v>
      </c>
      <c r="J157" s="145">
        <f ca="1">J156/J123</f>
        <v>1298.0926880268539</v>
      </c>
      <c r="K157" s="310"/>
    </row>
    <row r="158" spans="1:11">
      <c r="A158" s="321" t="s">
        <v>857</v>
      </c>
      <c r="E158" s="185"/>
      <c r="F158" s="400">
        <f t="shared" ref="F158:I158" ca="1" si="64">2*(F157^2-F151^2)/2*F123/1000000</f>
        <v>2.9432266429654207E-3</v>
      </c>
      <c r="G158" s="400">
        <f t="shared" ca="1" si="64"/>
        <v>4.2329370727838319E-3</v>
      </c>
      <c r="H158" s="400">
        <f t="shared" ca="1" si="64"/>
        <v>2.9033815447939895E-3</v>
      </c>
      <c r="I158" s="400">
        <f t="shared" ca="1" si="64"/>
        <v>9.8470066674093181E-4</v>
      </c>
      <c r="J158" s="400">
        <f ca="1">2*(J157^2-J151^2)/2*J123/1000000</f>
        <v>9.8470066674093181E-4</v>
      </c>
      <c r="K158" s="310"/>
    </row>
    <row r="159" spans="1:11">
      <c r="A159" s="7" t="s">
        <v>627</v>
      </c>
      <c r="E159" s="185"/>
      <c r="F159" s="142">
        <f>'Battery Design'!F58*'Battery Design'!F130/10</f>
        <v>84.72</v>
      </c>
      <c r="G159" s="142">
        <f>'Battery Design'!G58*'Battery Design'!G130/10</f>
        <v>84.88000000000001</v>
      </c>
      <c r="H159" s="142">
        <f>'Battery Design'!H58*'Battery Design'!H130/10</f>
        <v>84.72</v>
      </c>
      <c r="I159" s="142">
        <f>'Battery Design'!I58*'Battery Design'!I130/10</f>
        <v>84.72</v>
      </c>
      <c r="J159" s="142">
        <f>'Battery Design'!J58*'Battery Design'!J130/10</f>
        <v>84.72</v>
      </c>
    </row>
    <row r="160" spans="1:11">
      <c r="A160" s="7" t="s">
        <v>636</v>
      </c>
      <c r="E160" s="185"/>
      <c r="F160" s="109">
        <f ca="1">IF('Battery Design'!F193=0,10,(48/1.8^2/1000000*F124*F143*F161/F159/F155)^(1/3))</f>
        <v>12.688984474276682</v>
      </c>
      <c r="G160" s="109">
        <f ca="1">IF('Battery Design'!G193=0,10,(48/1.8^2/1000000*G124*G143*G161/G159/G155)^(1/3))</f>
        <v>13.817791266297563</v>
      </c>
      <c r="H160" s="109">
        <f ca="1">IF('Battery Design'!H193=0,10,(48/1.8^2/1000000*H124*H143*H161/H159/H155)^(1/3))</f>
        <v>12.769105291231227</v>
      </c>
      <c r="I160" s="109">
        <f ca="1">IF('Battery Design'!I193=0,10,(48/1.8^2/1000000*I124*I143*I161/I159/I155)^(1/3))</f>
        <v>8.8688900538970898</v>
      </c>
      <c r="J160" s="109">
        <f ca="1">IF('Battery Design'!J193=0,10,(48/1.8^2/1000000*J124*J143*J161/J159/J155)^(1/3))</f>
        <v>8.8688900538970898</v>
      </c>
    </row>
    <row r="161" spans="1:15">
      <c r="A161" s="321" t="s">
        <v>726</v>
      </c>
      <c r="E161" s="185"/>
      <c r="F161" s="145">
        <f ca="1">'Battery Design'!F147/10+2*'Battery Design'!F149/10+45*F160</f>
        <v>661.54345972510771</v>
      </c>
      <c r="G161" s="145">
        <f ca="1">'Battery Design'!G147/10+2*'Battery Design'!G149/10+45*G160</f>
        <v>713.95495530391065</v>
      </c>
      <c r="H161" s="145">
        <f ca="1">'Battery Design'!H147/10+2*'Battery Design'!H149/10+45*H160</f>
        <v>673.2348630813334</v>
      </c>
      <c r="I161" s="145">
        <f ca="1">'Battery Design'!I147/10+2*'Battery Design'!I149/10+45*I160</f>
        <v>454.45836522473786</v>
      </c>
      <c r="J161" s="145">
        <f ca="1">'Battery Design'!J147/10+2*'Battery Design'!J149/10+45*J160</f>
        <v>454.45836522473786</v>
      </c>
    </row>
    <row r="162" spans="1:15">
      <c r="A162" s="7" t="s">
        <v>638</v>
      </c>
      <c r="E162" s="185"/>
      <c r="F162" s="142">
        <f t="shared" ref="F162:I162" ca="1" si="65">1.8*F143/(F159*F160)*F123/F124</f>
        <v>216.18937281016022</v>
      </c>
      <c r="G162" s="142">
        <f t="shared" ca="1" si="65"/>
        <v>237.5447482723516</v>
      </c>
      <c r="H162" s="142">
        <f t="shared" ca="1" si="65"/>
        <v>215.12621113384833</v>
      </c>
      <c r="I162" s="142">
        <f t="shared" ca="1" si="65"/>
        <v>153.7387798634702</v>
      </c>
      <c r="J162" s="142">
        <f ca="1">1.8*J143/(J159*J160)*J123/J124</f>
        <v>153.7387798634702</v>
      </c>
    </row>
    <row r="163" spans="1:15">
      <c r="A163" s="321" t="s">
        <v>792</v>
      </c>
      <c r="F163" s="6">
        <f ca="1">IF('Battery Design'!F193=0,50,F145/10*F143)</f>
        <v>3924.6363679425531</v>
      </c>
      <c r="G163" s="6">
        <f ca="1">IF('Battery Design'!G193=0,50,G145/10*G143)</f>
        <v>4704.8057953679154</v>
      </c>
      <c r="H163" s="6">
        <f ca="1">IF('Battery Design'!H193=0,50,H145/10*H143)</f>
        <v>3929.995135516574</v>
      </c>
      <c r="I163" s="6">
        <f ca="1">IF('Battery Design'!I193=0,50,I145/10*I143)</f>
        <v>1950.7019469344959</v>
      </c>
      <c r="J163" s="6">
        <f ca="1">IF('Battery Design'!J193=0,50,J145/10*J143)</f>
        <v>1950.7019469344959</v>
      </c>
    </row>
    <row r="164" spans="1:15">
      <c r="A164" s="7" t="s">
        <v>649</v>
      </c>
      <c r="E164" s="145"/>
      <c r="F164" s="318">
        <v>50</v>
      </c>
      <c r="G164" s="318">
        <v>50</v>
      </c>
      <c r="H164" s="318">
        <v>50</v>
      </c>
      <c r="I164" s="318">
        <v>50</v>
      </c>
      <c r="J164" s="318">
        <v>50</v>
      </c>
    </row>
    <row r="165" spans="1:15">
      <c r="A165" s="7" t="s">
        <v>650</v>
      </c>
      <c r="E165" s="4"/>
      <c r="F165" s="4">
        <f ca="1">F163/F164*100</f>
        <v>7849.2727358851052</v>
      </c>
      <c r="G165" s="4">
        <f ca="1">G163/G164*100</f>
        <v>9409.6115907358308</v>
      </c>
      <c r="H165" s="4">
        <f t="shared" ref="H165:J165" ca="1" si="66">H163/H164*100</f>
        <v>7859.990271033148</v>
      </c>
      <c r="I165" s="4">
        <f t="shared" ca="1" si="66"/>
        <v>3901.4038938689923</v>
      </c>
      <c r="J165" s="4">
        <f t="shared" ca="1" si="66"/>
        <v>3901.4038938689923</v>
      </c>
    </row>
    <row r="166" spans="1:15">
      <c r="A166" s="321" t="s">
        <v>833</v>
      </c>
      <c r="E166" s="4"/>
      <c r="F166" s="4">
        <f ca="1">IF(F67="CA",0,F37/IF('Battery Design'!F172="Refrig 1",Thermal!$H$195,IF('Battery Design'!F172="Refrig 2",Thermal!$H$196,IF('Battery Design'!F172="Refrig 3",Thermal!$H$197,IF('Battery Design'!F172="Refrig 4",Thermal!$H$198)))))</f>
        <v>3078.2635123464743</v>
      </c>
      <c r="G166" s="4">
        <f ca="1">IF(G67="CA",0,G37/IF('Battery Design'!G172="Refrig 1",Thermal!$H$195,IF('Battery Design'!G172="Refrig 2",Thermal!$H$196,IF('Battery Design'!G172="Refrig 3",Thermal!$H$197,IF('Battery Design'!G172="Refrig 4",Thermal!$H$198)))))</f>
        <v>3690.1844285129796</v>
      </c>
      <c r="H166" s="4">
        <f ca="1">IF(H67="CA",0,H37/IF('Battery Design'!H172="Refrig 1",Thermal!$H$195,IF('Battery Design'!H172="Refrig 2",Thermal!$H$196,IF('Battery Design'!H172="Refrig 3",Thermal!$H$197,IF('Battery Design'!H172="Refrig 4",Thermal!$H$198)))))</f>
        <v>3082.4666275265295</v>
      </c>
      <c r="I166" s="4">
        <f ca="1">IF(I67="CA",0,I37/IF('Battery Design'!I172="Refrig 1",Thermal!$H$195,IF('Battery Design'!I172="Refrig 2",Thermal!$H$196,IF('Battery Design'!I172="Refrig 3",Thermal!$H$197,IF('Battery Design'!I172="Refrig 4",Thermal!$H$198)))))</f>
        <v>1530.0206347166754</v>
      </c>
      <c r="J166" s="4">
        <f ca="1">IF(J67="CA",0,J37/IF('Battery Design'!J172="Refrig 1",Thermal!$H$195,IF('Battery Design'!J172="Refrig 2",Thermal!$H$196,IF('Battery Design'!J172="Refrig 3",Thermal!$H$197,IF('Battery Design'!J172="Refrig 4",Thermal!$H$198)))))</f>
        <v>1530.0206347166754</v>
      </c>
      <c r="K166" s="4"/>
    </row>
    <row r="167" spans="1:15">
      <c r="A167" s="5" t="s">
        <v>651</v>
      </c>
      <c r="E167" s="236"/>
      <c r="F167" s="320" t="str">
        <f>IF(F67="CA"," ","NA")</f>
        <v>NA</v>
      </c>
      <c r="G167" s="320" t="str">
        <f>IF(G67="CA"," ","NA")</f>
        <v>NA</v>
      </c>
      <c r="H167" s="320" t="str">
        <f>IF(H67="CA"," ","NA")</f>
        <v>NA</v>
      </c>
      <c r="I167" s="320" t="str">
        <f>IF(I67="CA"," ","NA")</f>
        <v>NA</v>
      </c>
      <c r="J167" s="320" t="str">
        <f>IF(J67="CA"," ","NA")</f>
        <v>NA</v>
      </c>
    </row>
    <row r="168" spans="1:15">
      <c r="A168" s="7" t="s">
        <v>428</v>
      </c>
      <c r="E168" s="4"/>
      <c r="F168" s="4">
        <f ca="1">2*F144*F123*F122*F148/(F125*F152*F150/F130)</f>
        <v>287.49983950470892</v>
      </c>
      <c r="G168" s="4">
        <f ca="1">2*G144*G123*G122*G148/(G125*G152*G150/G130)</f>
        <v>142.46676536064703</v>
      </c>
      <c r="H168" s="4">
        <f ca="1">2*H144*H123*H122*H148/(H125*H152*H150/H130)</f>
        <v>279.57758073997303</v>
      </c>
      <c r="I168" s="4">
        <f ca="1">2*I144*I123*I122*I148/(I125*I152*I150/I130)</f>
        <v>282.68708726923734</v>
      </c>
      <c r="J168" s="4">
        <f ca="1">2*J144*J123*J122*J148/(J125*J152*J150/J130)</f>
        <v>282.68708726923734</v>
      </c>
    </row>
    <row r="169" spans="1:15">
      <c r="A169" s="7" t="s">
        <v>429</v>
      </c>
      <c r="E169" s="21"/>
      <c r="F169" s="21">
        <f t="shared" ref="F169" ca="1" si="67">(8.235^3.592+(2.255*F168^(1/3))^3.592)^(1/3.592)</f>
        <v>15.357561847273585</v>
      </c>
      <c r="G169" s="21">
        <f t="shared" ref="G169:J169" ca="1" si="68">(8.235^3.592+(2.255*G168^(1/3))^3.592)^(1/3.592)</f>
        <v>12.605965640026264</v>
      </c>
      <c r="H169" s="21">
        <f t="shared" ca="1" si="68"/>
        <v>15.230526955137105</v>
      </c>
      <c r="I169" s="21">
        <f t="shared" ca="1" si="68"/>
        <v>15.280631370280936</v>
      </c>
      <c r="J169" s="21">
        <f t="shared" ca="1" si="68"/>
        <v>15.280631370280936</v>
      </c>
    </row>
    <row r="170" spans="1:15" ht="14.25">
      <c r="A170" s="7" t="s">
        <v>430</v>
      </c>
      <c r="E170" s="237"/>
      <c r="F170" s="237">
        <f ca="1">F169*F125/F148</f>
        <v>5.5019181693120554E-3</v>
      </c>
      <c r="G170" s="237">
        <f ca="1">G169*G125/G148</f>
        <v>5.2344921488453504E-3</v>
      </c>
      <c r="H170" s="237">
        <f ca="1">H169*H125/H148</f>
        <v>5.4289101472473874E-3</v>
      </c>
      <c r="I170" s="237">
        <f ca="1">I169*I125/I148</f>
        <v>5.4645056884678519E-3</v>
      </c>
      <c r="J170" s="237">
        <f ca="1">J169*J125/J148</f>
        <v>5.4645056884678519E-3</v>
      </c>
    </row>
    <row r="171" spans="1:15" ht="14.25">
      <c r="A171" s="7" t="s">
        <v>645</v>
      </c>
      <c r="E171" s="4"/>
      <c r="F171" s="4">
        <f ca="1">2*F152*F133</f>
        <v>24.314744931919172</v>
      </c>
      <c r="G171" s="4">
        <f ca="1">2*G152*G133</f>
        <v>24.528794553874167</v>
      </c>
      <c r="H171" s="4">
        <f ca="1">2*H152*H133</f>
        <v>26.063435881355204</v>
      </c>
      <c r="I171" s="4">
        <f ca="1">2*I152*I133</f>
        <v>25.506160000503954</v>
      </c>
      <c r="J171" s="4">
        <f ca="1">2*J152*J133</f>
        <v>25.506160000503954</v>
      </c>
    </row>
    <row r="172" spans="1:15" ht="14.25">
      <c r="A172" s="7" t="s">
        <v>572</v>
      </c>
      <c r="E172" s="21"/>
      <c r="F172" s="21">
        <f ca="1">F149/F170/F171</f>
        <v>15.497226866697922</v>
      </c>
      <c r="G172" s="21">
        <f ca="1">G149/G170/G171</f>
        <v>9.355696011296903</v>
      </c>
      <c r="H172" s="21">
        <f ca="1">H149/H170/H171</f>
        <v>15.195887514819972</v>
      </c>
      <c r="I172" s="21">
        <f ca="1">I149/I170/I171</f>
        <v>15.314517880921407</v>
      </c>
      <c r="J172" s="21">
        <f ca="1">J149/J170/J171</f>
        <v>15.314517880921407</v>
      </c>
    </row>
    <row r="173" spans="1:15" ht="14.25">
      <c r="A173" s="5" t="s">
        <v>642</v>
      </c>
      <c r="E173" s="21"/>
      <c r="F173" s="6">
        <f ca="1">F141+F142+F119+F172</f>
        <v>40.220565256180237</v>
      </c>
      <c r="G173" s="6">
        <f ca="1">G141+G142+G119+G172</f>
        <v>30.708937021498954</v>
      </c>
      <c r="H173" s="6">
        <f ca="1">H141+H142+H119+H172</f>
        <v>39.835506692780221</v>
      </c>
      <c r="I173" s="6">
        <f ca="1">I141+I142+I119+I172</f>
        <v>40.012880231174336</v>
      </c>
      <c r="J173" s="6">
        <f ca="1">J141+J142+J119+J172</f>
        <v>40.012880231174336</v>
      </c>
    </row>
    <row r="174" spans="1:15" ht="15.75">
      <c r="A174" s="19" t="s">
        <v>498</v>
      </c>
      <c r="K174" s="193"/>
      <c r="L174" s="193"/>
      <c r="M174" s="193"/>
      <c r="N174" s="193"/>
      <c r="O174" s="193"/>
    </row>
    <row r="175" spans="1:15">
      <c r="A175" s="80" t="s">
        <v>500</v>
      </c>
      <c r="F175" s="4"/>
      <c r="G175" s="4"/>
      <c r="H175" s="4"/>
      <c r="I175" s="4"/>
      <c r="J175" s="4"/>
    </row>
    <row r="176" spans="1:15" ht="14.25">
      <c r="A176" s="7" t="s">
        <v>501</v>
      </c>
      <c r="F176" s="191">
        <v>50</v>
      </c>
      <c r="G176" s="191">
        <v>50</v>
      </c>
      <c r="H176" s="191">
        <v>50</v>
      </c>
      <c r="I176" s="191">
        <v>50</v>
      </c>
      <c r="J176" s="191">
        <v>50</v>
      </c>
    </row>
    <row r="177" spans="1:10" ht="14.25">
      <c r="A177" s="7" t="s">
        <v>497</v>
      </c>
      <c r="F177" s="191">
        <v>25</v>
      </c>
      <c r="G177" s="191">
        <v>25</v>
      </c>
      <c r="H177" s="191">
        <v>25</v>
      </c>
      <c r="I177" s="191">
        <v>25</v>
      </c>
      <c r="J177" s="191">
        <v>25</v>
      </c>
    </row>
    <row r="178" spans="1:10">
      <c r="A178" s="7" t="s">
        <v>477</v>
      </c>
      <c r="F178" s="3">
        <f>'Battery Design'!F67/10</f>
        <v>1</v>
      </c>
      <c r="G178" s="328">
        <f>'Battery Design'!G67/10</f>
        <v>1</v>
      </c>
      <c r="H178" s="328">
        <f>'Battery Design'!H67/10</f>
        <v>1</v>
      </c>
      <c r="I178" s="328">
        <f>'Battery Design'!I67/10</f>
        <v>1</v>
      </c>
      <c r="J178" s="328">
        <f>'Battery Design'!J67/10</f>
        <v>1</v>
      </c>
    </row>
    <row r="179" spans="1:10" ht="14.25">
      <c r="A179" s="7" t="s">
        <v>478</v>
      </c>
      <c r="F179" s="145">
        <f ca="1">(2*('Battery Design'!F146-'Battery Design'!F68)*('Battery Design'!F147-'Battery Design'!F68)+2*('Battery Design'!F146-'Battery Design'!F68)*('Battery Design'!F148-'Battery Design'!F68)+2*('Battery Design'!F147-'Battery Design'!F68)*('Battery Design'!F148-'Battery Design'!F68))/100</f>
        <v>18768.847594857121</v>
      </c>
      <c r="G179" s="145">
        <f ca="1">(2*('Battery Design'!G146-'Battery Design'!G68)*('Battery Design'!G147-'Battery Design'!G68)+2*('Battery Design'!G146-'Battery Design'!G68)*('Battery Design'!G148-'Battery Design'!G68)+2*('Battery Design'!G147-'Battery Design'!G68)*('Battery Design'!G148-'Battery Design'!G68))/100</f>
        <v>19255.112654876182</v>
      </c>
      <c r="H179" s="145">
        <f ca="1">(2*('Battery Design'!H146-'Battery Design'!H68)*('Battery Design'!H147-'Battery Design'!H68)+2*('Battery Design'!H146-'Battery Design'!H68)*('Battery Design'!H148-'Battery Design'!H68)+2*('Battery Design'!H147-'Battery Design'!H68)*('Battery Design'!H148-'Battery Design'!H68))/100</f>
        <v>20441.367633422611</v>
      </c>
      <c r="I179" s="145">
        <f ca="1">(2*('Battery Design'!I146-'Battery Design'!I68)*('Battery Design'!I147-'Battery Design'!I68)+2*('Battery Design'!I146-'Battery Design'!I68)*('Battery Design'!I148-'Battery Design'!I68)+2*('Battery Design'!I147-'Battery Design'!I68)*('Battery Design'!I148-'Battery Design'!I68))/100</f>
        <v>11570.203927656858</v>
      </c>
      <c r="J179" s="145">
        <f ca="1">(2*('Battery Design'!J146-'Battery Design'!J68)*('Battery Design'!J147-'Battery Design'!J68)+2*('Battery Design'!J146-'Battery Design'!J68)*('Battery Design'!J148-'Battery Design'!J68)+2*('Battery Design'!J147-'Battery Design'!J68)*('Battery Design'!J148-'Battery Design'!J68))/100</f>
        <v>11570.203927656858</v>
      </c>
    </row>
    <row r="180" spans="1:10">
      <c r="A180" s="7" t="s">
        <v>507</v>
      </c>
      <c r="F180" s="106">
        <v>2.7E-4</v>
      </c>
      <c r="G180" s="106">
        <v>2.7E-4</v>
      </c>
      <c r="H180" s="106">
        <v>2.7E-4</v>
      </c>
      <c r="I180" s="106">
        <v>2.7E-4</v>
      </c>
      <c r="J180" s="106">
        <v>2.7E-4</v>
      </c>
    </row>
    <row r="181" spans="1:10">
      <c r="A181" s="321" t="s">
        <v>843</v>
      </c>
      <c r="F181" s="4">
        <f ca="1">(F176-F177)/(F184-F183)*F185</f>
        <v>126.68972126528517</v>
      </c>
      <c r="G181" s="4">
        <f t="shared" ref="G181:H181" ca="1" si="69">(G176-G177)/(G184-G183)*G185</f>
        <v>129.97201042041414</v>
      </c>
      <c r="H181" s="4">
        <f t="shared" ca="1" si="69"/>
        <v>137.9792315256025</v>
      </c>
      <c r="I181" s="4">
        <f t="shared" ref="I181:J181" ca="1" si="70">(I176-I177)/(I184-I183)*I185</f>
        <v>78.098876511683699</v>
      </c>
      <c r="J181" s="4">
        <f t="shared" ca="1" si="70"/>
        <v>78.098876511683699</v>
      </c>
    </row>
    <row r="182" spans="1:10">
      <c r="A182" s="232" t="s">
        <v>499</v>
      </c>
      <c r="F182" s="3"/>
      <c r="G182" s="328"/>
      <c r="H182" s="328"/>
      <c r="I182" s="328"/>
      <c r="J182" s="328"/>
    </row>
    <row r="183" spans="1:10" ht="14.25">
      <c r="A183" s="7" t="s">
        <v>479</v>
      </c>
      <c r="F183" s="148">
        <v>-15</v>
      </c>
      <c r="G183" s="148">
        <v>-15</v>
      </c>
      <c r="H183" s="148">
        <v>-15</v>
      </c>
      <c r="I183" s="148">
        <v>-15</v>
      </c>
      <c r="J183" s="148">
        <v>-15</v>
      </c>
    </row>
    <row r="184" spans="1:10" ht="14.25">
      <c r="A184" s="7" t="s">
        <v>497</v>
      </c>
      <c r="F184" s="148">
        <v>5</v>
      </c>
      <c r="G184" s="148">
        <v>5</v>
      </c>
      <c r="H184" s="148">
        <v>5</v>
      </c>
      <c r="I184" s="148">
        <v>5</v>
      </c>
      <c r="J184" s="148">
        <v>5</v>
      </c>
    </row>
    <row r="185" spans="1:10">
      <c r="A185" s="321" t="s">
        <v>844</v>
      </c>
      <c r="F185" s="4">
        <f ca="1">F180*F179/F178*(F184-F183)</f>
        <v>101.35177701222845</v>
      </c>
      <c r="G185" s="4">
        <f t="shared" ref="G185:H185" ca="1" si="71">G180*G179/G178*(G184-G183)</f>
        <v>103.9776083363314</v>
      </c>
      <c r="H185" s="4">
        <f t="shared" ca="1" si="71"/>
        <v>110.3833852204821</v>
      </c>
      <c r="I185" s="4">
        <f t="shared" ref="I185:J185" ca="1" si="72">I180*I179/I178*(I184-I183)</f>
        <v>62.479101209347036</v>
      </c>
      <c r="J185" s="4">
        <f t="shared" ca="1" si="72"/>
        <v>62.479101209347036</v>
      </c>
    </row>
    <row r="186" spans="1:10" ht="15.75">
      <c r="A186" s="19" t="s">
        <v>879</v>
      </c>
    </row>
    <row r="187" spans="1:10" ht="14.25">
      <c r="A187" s="7" t="s">
        <v>483</v>
      </c>
      <c r="F187" s="148">
        <v>-15</v>
      </c>
      <c r="G187" s="148">
        <v>-15</v>
      </c>
      <c r="H187" s="148">
        <v>-15</v>
      </c>
      <c r="I187" s="148">
        <v>-15</v>
      </c>
      <c r="J187" s="148">
        <v>-15</v>
      </c>
    </row>
    <row r="188" spans="1:10" ht="14.25">
      <c r="A188" s="7" t="s">
        <v>484</v>
      </c>
      <c r="F188" s="148">
        <v>5</v>
      </c>
      <c r="G188" s="148">
        <v>5</v>
      </c>
      <c r="H188" s="148">
        <v>5</v>
      </c>
      <c r="I188" s="148">
        <v>5</v>
      </c>
      <c r="J188" s="148">
        <v>5</v>
      </c>
    </row>
    <row r="189" spans="1:10">
      <c r="A189" s="321" t="s">
        <v>878</v>
      </c>
      <c r="F189" s="4">
        <f ca="1">(F188-F187)*F62*F63/3600*1000</f>
        <v>934.65475367930799</v>
      </c>
      <c r="G189" s="4">
        <f ca="1">(G188-G187)*G62*G63/3600*1000</f>
        <v>1021.4311637489484</v>
      </c>
      <c r="H189" s="4">
        <f ca="1">(H188-H187)*H62*H63/3600*1000</f>
        <v>1006.1431020533074</v>
      </c>
      <c r="I189" s="4">
        <f ca="1">(I188-I187)*I62*I63/3600*1000</f>
        <v>496.94474179341637</v>
      </c>
      <c r="J189" s="4">
        <f ca="1">(J188-J187)*J62*J63/3600*1000</f>
        <v>496.94474179341637</v>
      </c>
    </row>
    <row r="190" spans="1:10">
      <c r="A190" s="7" t="s">
        <v>571</v>
      </c>
      <c r="C190" s="232"/>
      <c r="F190" s="3">
        <f>IF('Battery Design'!F52="microHEV", 500,IF('Battery Design'!F52="HEV-HP",1000,IF('Battery Design'!F52="PHEV",2000,IF('Battery Design'!F52="EV", 3000))))</f>
        <v>3000</v>
      </c>
      <c r="G190" s="328">
        <f>IF('Battery Design'!G52="microHEV", 500,IF('Battery Design'!G52="HEV-HP",1000,IF('Battery Design'!G52="PHEV",2000,IF('Battery Design'!G52="EV", 3000))))</f>
        <v>3000</v>
      </c>
      <c r="H190" s="328">
        <f>IF('Battery Design'!H52="microHEV", 500,IF('Battery Design'!H52="HEV-HP",1000,IF('Battery Design'!H52="PHEV",2000,IF('Battery Design'!H52="EV", 3000))))</f>
        <v>3000</v>
      </c>
      <c r="I190" s="328">
        <f>IF('Battery Design'!I52="microHEV", 500,IF('Battery Design'!I52="HEV-HP",1000,IF('Battery Design'!I52="PHEV",2000,IF('Battery Design'!I52="EV", 3000))))</f>
        <v>3000</v>
      </c>
      <c r="J190" s="328">
        <f>IF('Battery Design'!J52="microHEV", 500,IF('Battery Design'!J52="HEV-HP",1000,IF('Battery Design'!J52="PHEV",2000,IF('Battery Design'!J52="EV", 3000))))</f>
        <v>3000</v>
      </c>
    </row>
    <row r="191" spans="1:10">
      <c r="A191" s="7" t="s">
        <v>502</v>
      </c>
      <c r="F191" s="6">
        <f ca="1">F189/F190*60</f>
        <v>18.693095073586161</v>
      </c>
      <c r="G191" s="6">
        <f t="shared" ref="G191:H191" ca="1" si="73">G189/G190*60</f>
        <v>20.428623274978968</v>
      </c>
      <c r="H191" s="6">
        <f t="shared" ca="1" si="73"/>
        <v>20.122862041066149</v>
      </c>
      <c r="I191" s="6">
        <f t="shared" ref="I191:J191" ca="1" si="74">I189/I190*60</f>
        <v>9.9388948358683269</v>
      </c>
      <c r="J191" s="6">
        <f t="shared" ca="1" si="74"/>
        <v>9.9388948358683269</v>
      </c>
    </row>
    <row r="192" spans="1:10" ht="15.75">
      <c r="A192" s="19" t="s">
        <v>508</v>
      </c>
    </row>
    <row r="193" spans="1:8">
      <c r="D193" s="3"/>
      <c r="E193" s="3" t="s">
        <v>480</v>
      </c>
      <c r="F193" s="142" t="s">
        <v>486</v>
      </c>
      <c r="G193" s="142" t="s">
        <v>486</v>
      </c>
      <c r="H193" s="142" t="s">
        <v>464</v>
      </c>
    </row>
    <row r="194" spans="1:8">
      <c r="D194" s="245" t="s">
        <v>450</v>
      </c>
      <c r="E194" s="245" t="s">
        <v>481</v>
      </c>
      <c r="F194" s="246" t="s">
        <v>503</v>
      </c>
      <c r="G194" s="246" t="s">
        <v>449</v>
      </c>
      <c r="H194" s="251" t="s">
        <v>465</v>
      </c>
    </row>
    <row r="195" spans="1:8">
      <c r="D195" s="109" t="s">
        <v>455</v>
      </c>
      <c r="E195" s="106">
        <v>500</v>
      </c>
      <c r="F195" s="182">
        <v>2</v>
      </c>
      <c r="G195" s="182">
        <f>F195/2.5</f>
        <v>0.8</v>
      </c>
      <c r="H195" s="182">
        <v>2.5</v>
      </c>
    </row>
    <row r="196" spans="1:8">
      <c r="D196" s="109" t="s">
        <v>456</v>
      </c>
      <c r="E196" s="106">
        <v>1000</v>
      </c>
      <c r="F196" s="182">
        <v>3</v>
      </c>
      <c r="G196" s="182">
        <f>F196/2.5</f>
        <v>1.2</v>
      </c>
      <c r="H196" s="182">
        <v>2.5</v>
      </c>
    </row>
    <row r="197" spans="1:8">
      <c r="D197" s="109" t="s">
        <v>457</v>
      </c>
      <c r="E197" s="106">
        <v>3000</v>
      </c>
      <c r="F197" s="182">
        <v>5</v>
      </c>
      <c r="G197" s="182">
        <f>F197/2.5</f>
        <v>2</v>
      </c>
      <c r="H197" s="182">
        <v>2.5</v>
      </c>
    </row>
    <row r="198" spans="1:8">
      <c r="D198" s="109" t="s">
        <v>458</v>
      </c>
      <c r="E198" s="106">
        <v>6000</v>
      </c>
      <c r="F198" s="182">
        <v>7</v>
      </c>
      <c r="G198" s="182">
        <f>F198/2.5</f>
        <v>2.8</v>
      </c>
      <c r="H198" s="182">
        <v>2.5</v>
      </c>
    </row>
    <row r="199" spans="1:8">
      <c r="A199" t="s">
        <v>575</v>
      </c>
      <c r="C199" s="284"/>
    </row>
    <row r="200" spans="1:8">
      <c r="A200" t="s">
        <v>576</v>
      </c>
      <c r="C200" s="283"/>
    </row>
  </sheetData>
  <mergeCells count="1">
    <mergeCell ref="A1:J1"/>
  </mergeCells>
  <phoneticPr fontId="5" type="noConversion"/>
  <pageMargins left="0.5" right="0.5" top="0.75" bottom="0.5" header="0.3" footer="0.3"/>
  <pageSetup scale="86" fitToHeight="0" orientation="portrait" r:id="rId1"/>
  <headerFooter alignWithMargins="0"/>
  <rowBreaks count="3" manualBreakCount="3">
    <brk id="59" max="16383" man="1"/>
    <brk id="112" max="9" man="1"/>
    <brk id="173" max="9"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dimension ref="A1:S481"/>
  <sheetViews>
    <sheetView zoomScaleNormal="100" workbookViewId="0">
      <selection activeCell="F4" sqref="F4"/>
    </sheetView>
  </sheetViews>
  <sheetFormatPr defaultRowHeight="12.75"/>
  <cols>
    <col min="1" max="1" width="9" customWidth="1"/>
    <col min="2" max="2" width="8.42578125" customWidth="1"/>
    <col min="3" max="3" width="17.85546875" customWidth="1"/>
    <col min="4" max="4" width="9.7109375" customWidth="1"/>
    <col min="5" max="5" width="7.28515625" customWidth="1"/>
    <col min="6" max="6" width="11.140625" customWidth="1"/>
    <col min="7" max="7" width="11" customWidth="1"/>
    <col min="8" max="10" width="11.140625" customWidth="1"/>
  </cols>
  <sheetData>
    <row r="1" spans="1:10" ht="18">
      <c r="A1" s="423" t="s">
        <v>687</v>
      </c>
      <c r="B1" s="423"/>
      <c r="C1" s="423"/>
      <c r="D1" s="423"/>
      <c r="E1" s="423"/>
      <c r="F1" s="423"/>
      <c r="G1" s="423"/>
      <c r="H1" s="423"/>
      <c r="I1" s="423"/>
      <c r="J1" s="423"/>
    </row>
    <row r="2" spans="1:10" s="321" customFormat="1" ht="15.75">
      <c r="A2" s="16" t="s">
        <v>688</v>
      </c>
      <c r="B2" s="341"/>
      <c r="C2" s="341"/>
      <c r="D2" s="341"/>
      <c r="E2" s="341"/>
      <c r="F2" s="341"/>
      <c r="G2" s="341"/>
      <c r="H2" s="341"/>
      <c r="I2" s="341"/>
      <c r="J2" s="341"/>
    </row>
    <row r="3" spans="1:10" s="321" customFormat="1">
      <c r="A3" s="36"/>
      <c r="B3" s="341"/>
      <c r="C3" s="341"/>
      <c r="D3" s="341"/>
      <c r="E3" s="341"/>
      <c r="F3" s="8" t="s">
        <v>0</v>
      </c>
      <c r="G3" s="8" t="s">
        <v>1</v>
      </c>
      <c r="H3" s="8" t="s">
        <v>2</v>
      </c>
      <c r="I3" s="8" t="s">
        <v>3</v>
      </c>
      <c r="J3" s="8" t="s">
        <v>4</v>
      </c>
    </row>
    <row r="4" spans="1:10" s="321" customFormat="1">
      <c r="A4" s="321" t="s">
        <v>407</v>
      </c>
      <c r="B4"/>
      <c r="C4"/>
      <c r="D4"/>
      <c r="E4"/>
      <c r="F4" s="3" t="str">
        <f>'Battery Design'!F52</f>
        <v>EV</v>
      </c>
      <c r="G4" s="3" t="str">
        <f>'Battery Design'!G52</f>
        <v>EV</v>
      </c>
      <c r="H4" s="3" t="str">
        <f>'Battery Design'!H52</f>
        <v>EV</v>
      </c>
      <c r="I4" s="3" t="str">
        <f>'Battery Design'!I52</f>
        <v>EV</v>
      </c>
      <c r="J4" s="3" t="str">
        <f>'Battery Design'!J52</f>
        <v>EV</v>
      </c>
    </row>
    <row r="5" spans="1:10" s="321" customFormat="1">
      <c r="A5" s="321" t="s">
        <v>662</v>
      </c>
      <c r="B5"/>
      <c r="C5"/>
      <c r="D5"/>
      <c r="E5"/>
      <c r="F5" s="323">
        <f>'Battery Design'!F46</f>
        <v>100</v>
      </c>
      <c r="G5" s="323">
        <f>'Battery Design'!G46</f>
        <v>100</v>
      </c>
      <c r="H5" s="323">
        <f>'Battery Design'!H46</f>
        <v>100</v>
      </c>
      <c r="I5" s="323">
        <f>'Battery Design'!I46</f>
        <v>100</v>
      </c>
      <c r="J5" s="323">
        <f>'Battery Design'!J46</f>
        <v>100</v>
      </c>
    </row>
    <row r="6" spans="1:10" s="321" customFormat="1">
      <c r="A6" t="s">
        <v>378</v>
      </c>
      <c r="B6"/>
      <c r="C6"/>
      <c r="D6"/>
      <c r="E6"/>
      <c r="F6" s="3">
        <f>'Battery Design'!F57</f>
        <v>1</v>
      </c>
      <c r="G6" s="328">
        <f>'Battery Design'!G57</f>
        <v>2</v>
      </c>
      <c r="H6" s="3">
        <f>'Battery Design'!H57</f>
        <v>1</v>
      </c>
      <c r="I6" s="3">
        <f>'Battery Design'!I57</f>
        <v>1</v>
      </c>
      <c r="J6" s="3">
        <f>'Battery Design'!J57</f>
        <v>1</v>
      </c>
    </row>
    <row r="7" spans="1:10" s="321" customFormat="1">
      <c r="A7" s="321" t="s">
        <v>710</v>
      </c>
      <c r="B7"/>
      <c r="C7"/>
      <c r="D7"/>
      <c r="E7"/>
      <c r="F7" s="348">
        <v>50</v>
      </c>
      <c r="G7" s="348">
        <v>50</v>
      </c>
      <c r="H7" s="348">
        <v>50</v>
      </c>
      <c r="I7" s="348">
        <v>50</v>
      </c>
      <c r="J7" s="348">
        <v>50</v>
      </c>
    </row>
    <row r="8" spans="1:10" s="321" customFormat="1">
      <c r="A8" s="321" t="s">
        <v>707</v>
      </c>
      <c r="B8"/>
      <c r="C8"/>
      <c r="D8"/>
      <c r="E8"/>
      <c r="F8" s="142">
        <f ca="1">'Battery Design'!F78</f>
        <v>75.036279629692174</v>
      </c>
      <c r="G8" s="142">
        <f ca="1">'Battery Design'!G78</f>
        <v>38.295538549956383</v>
      </c>
      <c r="H8" s="142">
        <f ca="1">'Battery Design'!H78</f>
        <v>38.253482241809159</v>
      </c>
      <c r="I8" s="142">
        <f ca="1">'Battery Design'!I78</f>
        <v>37.494106182681563</v>
      </c>
      <c r="J8" s="142">
        <f ca="1">'Battery Design'!J78</f>
        <v>37.494106182681563</v>
      </c>
    </row>
    <row r="9" spans="1:10" s="321" customFormat="1">
      <c r="A9" s="321" t="s">
        <v>708</v>
      </c>
      <c r="F9" s="325">
        <f ca="1">IF(F6=2,0,IF(F8&lt;50,0,IF(F8&gt;100,1,(F8-F7)/50)))*100</f>
        <v>50.072559259384356</v>
      </c>
      <c r="G9" s="325">
        <f>IF(G6=2,0,IF(G8&lt;50,0,IF(G8&gt;100,1,(G8-G7)/50)))*100</f>
        <v>0</v>
      </c>
      <c r="H9" s="325">
        <f ca="1">IF(H6=2,0,IF(H8&lt;50,0,IF(H8&gt;100,1,(H8-H7)/50)))*100</f>
        <v>0</v>
      </c>
      <c r="I9" s="325">
        <f ca="1">IF(I6=2,0,IF(I8&lt;50,0,IF(I8&gt;100,1,(I8-I7)/50)))*100</f>
        <v>0</v>
      </c>
      <c r="J9" s="325">
        <f ca="1">IF(J6=2,0,IF(J8&lt;50,0,IF(J8&gt;100,1,(J8-J7)/50)))*100</f>
        <v>0</v>
      </c>
    </row>
    <row r="10" spans="1:10" s="321" customFormat="1">
      <c r="A10" s="321" t="s">
        <v>691</v>
      </c>
      <c r="B10"/>
      <c r="C10"/>
      <c r="D10"/>
      <c r="E10"/>
      <c r="F10" s="3"/>
      <c r="G10" s="3"/>
      <c r="H10" s="3"/>
      <c r="I10" s="3"/>
      <c r="J10" s="3"/>
    </row>
    <row r="11" spans="1:10" s="321" customFormat="1">
      <c r="A11" s="321" t="s">
        <v>659</v>
      </c>
      <c r="B11"/>
      <c r="C11"/>
      <c r="D11"/>
      <c r="E11"/>
      <c r="F11" s="3">
        <f>IF(F4="EV",70,50)</f>
        <v>70</v>
      </c>
      <c r="G11" s="328">
        <f>IF(G4="EV",70,50)</f>
        <v>70</v>
      </c>
      <c r="H11" s="328">
        <f>IF(H4="EV",70,50)</f>
        <v>70</v>
      </c>
      <c r="I11" s="328">
        <f>IF(I4="EV",70,50)</f>
        <v>70</v>
      </c>
      <c r="J11" s="328">
        <f>IF(J4="EV",70,50)</f>
        <v>70</v>
      </c>
    </row>
    <row r="12" spans="1:10" s="321" customFormat="1">
      <c r="A12" s="321" t="s">
        <v>660</v>
      </c>
      <c r="B12"/>
      <c r="C12"/>
      <c r="D12"/>
      <c r="E12"/>
      <c r="F12" s="3">
        <v>100</v>
      </c>
      <c r="G12" s="328">
        <v>100</v>
      </c>
      <c r="H12" s="328">
        <v>100</v>
      </c>
      <c r="I12" s="328">
        <v>100</v>
      </c>
      <c r="J12" s="328">
        <v>100</v>
      </c>
    </row>
    <row r="13" spans="1:10" s="321" customFormat="1">
      <c r="A13" s="321" t="s">
        <v>661</v>
      </c>
      <c r="B13"/>
      <c r="C13"/>
      <c r="D13"/>
      <c r="E13"/>
      <c r="F13" s="3">
        <f>IF(F4="EV",200,150)</f>
        <v>200</v>
      </c>
      <c r="G13" s="328">
        <f>IF(G4="EV",200,150)</f>
        <v>200</v>
      </c>
      <c r="H13" s="328">
        <f>IF(H4="EV",200,150)</f>
        <v>200</v>
      </c>
      <c r="I13" s="328">
        <f>IF(I4="EV",200,150)</f>
        <v>200</v>
      </c>
      <c r="J13" s="328">
        <f>IF(J4="EV",200,150)</f>
        <v>200</v>
      </c>
    </row>
    <row r="14" spans="1:10" s="321" customFormat="1">
      <c r="A14" s="321" t="s">
        <v>692</v>
      </c>
      <c r="B14" s="341"/>
      <c r="C14" s="341"/>
      <c r="D14" s="341"/>
      <c r="E14" s="341"/>
      <c r="F14" s="346">
        <f ca="1">'Summary of Results'!F71</f>
        <v>6824.9592247935952</v>
      </c>
      <c r="G14" s="346">
        <f ca="1">'Summary of Results'!G71</f>
        <v>7548.4640023830143</v>
      </c>
      <c r="H14" s="346">
        <f ca="1">'Summary of Results'!H71</f>
        <v>7943.1932346146041</v>
      </c>
      <c r="I14" s="346">
        <f ca="1">'Summary of Results'!I71</f>
        <v>3963.6105814829029</v>
      </c>
      <c r="J14" s="346">
        <f ca="1">'Summary of Results'!J71</f>
        <v>3963.6105814829029</v>
      </c>
    </row>
    <row r="15" spans="1:10" s="321" customFormat="1">
      <c r="A15" s="5" t="s">
        <v>693</v>
      </c>
      <c r="B15" s="341"/>
      <c r="C15" s="341"/>
      <c r="D15" s="341"/>
      <c r="E15" s="341"/>
      <c r="F15" s="346"/>
      <c r="G15" s="346"/>
      <c r="H15" s="346"/>
      <c r="I15" s="346"/>
      <c r="J15" s="346"/>
    </row>
    <row r="16" spans="1:10" s="321" customFormat="1">
      <c r="A16" s="321" t="s">
        <v>694</v>
      </c>
      <c r="B16"/>
      <c r="C16"/>
      <c r="D16"/>
      <c r="E16"/>
      <c r="F16" s="3">
        <v>10</v>
      </c>
      <c r="G16" s="3">
        <v>10</v>
      </c>
      <c r="H16" s="3">
        <v>10</v>
      </c>
      <c r="I16" s="3">
        <v>10</v>
      </c>
      <c r="J16" s="3">
        <v>10</v>
      </c>
    </row>
    <row r="17" spans="1:11" s="321" customFormat="1">
      <c r="A17" s="321" t="s">
        <v>695</v>
      </c>
      <c r="B17" s="341"/>
      <c r="C17" s="341"/>
      <c r="D17" s="341"/>
      <c r="E17" s="341"/>
      <c r="F17" s="346"/>
      <c r="G17" s="346"/>
      <c r="H17" s="346"/>
      <c r="I17" s="346"/>
      <c r="J17" s="346"/>
    </row>
    <row r="18" spans="1:11" s="321" customFormat="1">
      <c r="A18" s="321" t="s">
        <v>904</v>
      </c>
      <c r="B18" s="408"/>
      <c r="C18" s="408"/>
      <c r="D18" s="408"/>
      <c r="E18" s="408"/>
      <c r="F18" s="346">
        <f>'Battery Design'!F95</f>
        <v>100</v>
      </c>
      <c r="G18" s="346">
        <f>'Battery Design'!G95</f>
        <v>100</v>
      </c>
      <c r="H18" s="346">
        <f>'Battery Design'!H95</f>
        <v>100</v>
      </c>
      <c r="I18" s="346">
        <f>'Battery Design'!I95</f>
        <v>100</v>
      </c>
      <c r="J18" s="346">
        <f>'Battery Design'!J95</f>
        <v>100</v>
      </c>
    </row>
    <row r="19" spans="1:11" s="321" customFormat="1">
      <c r="A19" s="321" t="s">
        <v>696</v>
      </c>
      <c r="B19" s="341"/>
      <c r="C19" s="341"/>
      <c r="D19" s="341"/>
      <c r="E19" s="341"/>
      <c r="F19" s="346">
        <f ca="1">IF(NOT(F5=100),0,IF(F5=100,(F245-F14)/F14*100))</f>
        <v>8.4445288814559518</v>
      </c>
      <c r="G19" s="346">
        <f ca="1">IF(NOT(G5=100),0,IF(G5=100,(G245-G14)/G14*100))</f>
        <v>7.8112061237446824</v>
      </c>
      <c r="H19" s="346">
        <f ca="1">IF(NOT(H5=100),0,IF(H5=100,(H245-H14)/H14*100))</f>
        <v>7.601596916596157</v>
      </c>
      <c r="I19" s="346">
        <f ca="1">IF(NOT(I5=100),0,IF(I5=100,(I245-I14)/I14*100))</f>
        <v>7.4765831750916734</v>
      </c>
      <c r="J19" s="346">
        <f ca="1">IF(NOT(J5=100),0,IF(J5=100,(J245-J14)/J14*100))</f>
        <v>7.4765831750916734</v>
      </c>
      <c r="K19" s="346"/>
    </row>
    <row r="20" spans="1:11" s="321" customFormat="1">
      <c r="A20" s="347" t="s">
        <v>698</v>
      </c>
      <c r="B20" s="341"/>
      <c r="C20" s="341"/>
      <c r="D20" s="341"/>
      <c r="E20" s="341"/>
      <c r="F20" s="346">
        <f ca="1">IF(NOT(F5=100),0,IF(F5=100,(F14-F281)/F14*100))</f>
        <v>5.2906006821820926</v>
      </c>
      <c r="G20" s="346">
        <f ca="1">IF(NOT(G5=100),0,IF(G5=100,(G14-G281)/G14*100))</f>
        <v>5.286283466308995</v>
      </c>
      <c r="H20" s="346">
        <f ca="1">IF(NOT(H5=100),0,IF(H5=100,(H14-H281)/H14*100))</f>
        <v>5.7426386380711438</v>
      </c>
      <c r="I20" s="346">
        <f ca="1">IF(NOT(I5=100),0,IF(I5=100,(I14-I281)/I14*100))</f>
        <v>5.4070259595618761</v>
      </c>
      <c r="J20" s="346">
        <f ca="1">IF(NOT(J5=100),0,IF(J5=100,(J14-J281)/J14*100))</f>
        <v>5.4070259595618761</v>
      </c>
      <c r="K20" s="346"/>
    </row>
    <row r="21" spans="1:11" s="321" customFormat="1">
      <c r="A21" s="347" t="s">
        <v>699</v>
      </c>
      <c r="B21" s="341"/>
      <c r="C21" s="341"/>
      <c r="D21" s="341"/>
      <c r="E21" s="341"/>
      <c r="F21" s="346">
        <f ca="1">IF(F9/100*F481&lt;0,0,F9/100*F481)</f>
        <v>3.1160461998118834</v>
      </c>
      <c r="G21" s="346">
        <f ca="1">IF(G9/100*G481&lt;0,0,G9/100*G481)</f>
        <v>0</v>
      </c>
      <c r="H21" s="346">
        <f ca="1">IF(H9/100*H481&lt;0,0,H9/100*H481)</f>
        <v>0</v>
      </c>
      <c r="I21" s="346">
        <f ca="1">IF(I9/100*I481&lt;0,0,I9/100*I481)</f>
        <v>0</v>
      </c>
      <c r="J21" s="346">
        <f ca="1">IF(J9/100*J481&lt;0,0,J9/100*J481)</f>
        <v>0</v>
      </c>
    </row>
    <row r="22" spans="1:11" s="321" customFormat="1">
      <c r="A22" s="36" t="s">
        <v>697</v>
      </c>
      <c r="B22" s="341"/>
      <c r="C22" s="341"/>
      <c r="D22" s="341"/>
      <c r="E22" s="341"/>
      <c r="F22" s="346"/>
      <c r="G22" s="346"/>
      <c r="H22" s="346"/>
      <c r="I22" s="346"/>
      <c r="J22" s="346"/>
    </row>
    <row r="23" spans="1:11">
      <c r="A23" s="5" t="s">
        <v>696</v>
      </c>
      <c r="F23" s="346">
        <f ca="1">F16+F19+F21</f>
        <v>21.560575081267835</v>
      </c>
      <c r="G23" s="346">
        <f ca="1">G16+G19+G21</f>
        <v>17.811206123744682</v>
      </c>
      <c r="H23" s="346">
        <f ca="1">H16+H19+H21</f>
        <v>17.601596916596158</v>
      </c>
      <c r="I23" s="346">
        <f ca="1">I16+I19+I21</f>
        <v>17.476583175091672</v>
      </c>
      <c r="J23" s="346">
        <f ca="1">J16+J19+J21</f>
        <v>17.476583175091672</v>
      </c>
    </row>
    <row r="24" spans="1:11">
      <c r="A24" s="36" t="s">
        <v>698</v>
      </c>
      <c r="F24" s="346">
        <f ca="1">F16+F20</f>
        <v>15.290600682182092</v>
      </c>
      <c r="G24" s="346">
        <f ca="1">G16+G20</f>
        <v>15.286283466308994</v>
      </c>
      <c r="H24" s="346">
        <f ca="1">H16+H20</f>
        <v>15.742638638071144</v>
      </c>
      <c r="I24" s="346">
        <f ca="1">I16+I20</f>
        <v>15.407025959561876</v>
      </c>
      <c r="J24" s="346">
        <f ca="1">J16+J20</f>
        <v>15.407025959561876</v>
      </c>
    </row>
    <row r="25" spans="1:11" ht="15.75">
      <c r="A25" s="19" t="s">
        <v>689</v>
      </c>
      <c r="F25" s="3"/>
      <c r="G25" s="3"/>
      <c r="H25" s="3"/>
      <c r="I25" s="3"/>
      <c r="J25" s="3"/>
    </row>
    <row r="26" spans="1:11">
      <c r="A26" s="5" t="s">
        <v>690</v>
      </c>
    </row>
    <row r="27" spans="1:11">
      <c r="A27" s="321" t="s">
        <v>658</v>
      </c>
      <c r="F27" s="6">
        <f ca="1">'Battery Design'!F96</f>
        <v>114.39025439938301</v>
      </c>
      <c r="G27" s="6">
        <f ca="1">'Battery Design'!G96</f>
        <v>117.78096927692678</v>
      </c>
      <c r="H27" s="6">
        <f ca="1">'Battery Design'!H96</f>
        <v>123.51798835788345</v>
      </c>
      <c r="I27" s="6">
        <f ca="1">'Battery Design'!I96</f>
        <v>121.10511592173681</v>
      </c>
      <c r="J27" s="6">
        <f ca="1">'Battery Design'!J96</f>
        <v>121.10511592173681</v>
      </c>
    </row>
    <row r="28" spans="1:11">
      <c r="A28" t="s">
        <v>561</v>
      </c>
      <c r="F28" s="6">
        <f ca="1">'Battery Design'!F97</f>
        <v>136.09619541445133</v>
      </c>
      <c r="G28" s="6">
        <f ca="1">'Battery Design'!G97</f>
        <v>140.13031000744564</v>
      </c>
      <c r="H28" s="6">
        <f ca="1">'Battery Design'!H97</f>
        <v>146.95594803087616</v>
      </c>
      <c r="I28" s="6">
        <f ca="1">'Battery Design'!I97</f>
        <v>144.08522481844722</v>
      </c>
      <c r="J28" s="6">
        <f ca="1">'Battery Design'!J97</f>
        <v>144.08522481844722</v>
      </c>
    </row>
    <row r="29" spans="1:11">
      <c r="A29" s="7" t="s">
        <v>195</v>
      </c>
      <c r="F29" s="6">
        <f ca="1">'Battery Design'!F98</f>
        <v>84.051030266522787</v>
      </c>
      <c r="G29" s="6">
        <f ca="1">'Battery Design'!G98</f>
        <v>84.051030266523099</v>
      </c>
      <c r="H29" s="6">
        <f ca="1">'Battery Design'!H98</f>
        <v>84.051030266523185</v>
      </c>
      <c r="I29" s="6">
        <f ca="1">'Battery Design'!I98</f>
        <v>84.051030266521067</v>
      </c>
      <c r="J29" s="6">
        <f ca="1">'Battery Design'!J98</f>
        <v>84.051030266521067</v>
      </c>
    </row>
    <row r="30" spans="1:11">
      <c r="A30" s="7" t="s">
        <v>196</v>
      </c>
      <c r="F30" s="6">
        <f ca="1">'Battery Design'!F99</f>
        <v>100</v>
      </c>
      <c r="G30" s="6">
        <f ca="1">'Battery Design'!G99</f>
        <v>100</v>
      </c>
      <c r="H30" s="6">
        <f ca="1">'Battery Design'!H99</f>
        <v>100</v>
      </c>
      <c r="I30" s="6">
        <f ca="1">'Battery Design'!I99</f>
        <v>100</v>
      </c>
      <c r="J30" s="6">
        <f ca="1">'Battery Design'!J99</f>
        <v>100</v>
      </c>
    </row>
    <row r="31" spans="1:11" ht="14.25">
      <c r="A31" s="5" t="s">
        <v>663</v>
      </c>
      <c r="F31" s="3"/>
      <c r="G31" s="3"/>
      <c r="H31" s="3"/>
      <c r="I31" s="3"/>
      <c r="J31" s="3"/>
    </row>
    <row r="32" spans="1:11">
      <c r="A32" t="s">
        <v>202</v>
      </c>
      <c r="F32" s="4">
        <f ca="1">'Battery Design'!F101</f>
        <v>15640.351038232504</v>
      </c>
      <c r="G32" s="4">
        <f ca="1">'Battery Design'!G101</f>
        <v>7752.419876138043</v>
      </c>
      <c r="H32" s="4">
        <f ca="1">'Battery Design'!H101</f>
        <v>7384.2262421422629</v>
      </c>
      <c r="I32" s="4">
        <f ca="1">'Battery Design'!I101</f>
        <v>7381.8419807424634</v>
      </c>
      <c r="J32" s="4">
        <f ca="1">'Battery Design'!J101</f>
        <v>7381.8419807424634</v>
      </c>
    </row>
    <row r="33" spans="1:10">
      <c r="A33" s="321" t="s">
        <v>664</v>
      </c>
      <c r="F33" s="4">
        <f ca="1">'Battery Design'!F102</f>
        <v>21285.922712499076</v>
      </c>
      <c r="G33" s="4">
        <f ca="1">'Battery Design'!G102</f>
        <v>10863.490005511074</v>
      </c>
      <c r="H33" s="4">
        <f ca="1">'Battery Design'!H102</f>
        <v>10851.559678884903</v>
      </c>
      <c r="I33" s="4">
        <f ca="1">'Battery Design'!I102</f>
        <v>10636.143613695294</v>
      </c>
      <c r="J33" s="4">
        <f ca="1">'Battery Design'!J102</f>
        <v>10636.143613695294</v>
      </c>
    </row>
    <row r="34" spans="1:10">
      <c r="A34" s="321" t="s">
        <v>665</v>
      </c>
      <c r="F34" s="4">
        <f ca="1">MAX(F32:F33)</f>
        <v>21285.922712499076</v>
      </c>
      <c r="G34" s="4">
        <f ca="1">MAX(G32:G33)</f>
        <v>10863.490005511074</v>
      </c>
      <c r="H34" s="4">
        <f ca="1">MAX(H32:H33)</f>
        <v>10851.559678884903</v>
      </c>
      <c r="I34" s="4">
        <f ca="1">MAX(I32:I33)</f>
        <v>10636.143613695294</v>
      </c>
      <c r="J34" s="4">
        <f ca="1">MAX(J32:J33)</f>
        <v>10636.143613695294</v>
      </c>
    </row>
    <row r="35" spans="1:10">
      <c r="A35" s="321" t="s">
        <v>667</v>
      </c>
      <c r="F35" s="4">
        <f ca="1">F33*F12/F11</f>
        <v>30408.461017855821</v>
      </c>
      <c r="G35" s="4">
        <f ca="1">G33*G12/G11</f>
        <v>15519.271436444391</v>
      </c>
      <c r="H35" s="4">
        <f ca="1">H33*H12/H11</f>
        <v>15502.228112692719</v>
      </c>
      <c r="I35" s="4">
        <f ca="1">I33*I12/I11</f>
        <v>15194.490876707565</v>
      </c>
      <c r="J35" s="4">
        <f ca="1">J33*J12/J11</f>
        <v>15194.490876707565</v>
      </c>
    </row>
    <row r="36" spans="1:10">
      <c r="A36" s="321" t="s">
        <v>668</v>
      </c>
      <c r="F36" s="4">
        <f ca="1">MAX(F32,F35)</f>
        <v>30408.461017855821</v>
      </c>
      <c r="G36" s="4">
        <f ca="1">MAX(G32,G35)</f>
        <v>15519.271436444391</v>
      </c>
      <c r="H36" s="4">
        <f ca="1">MAX(H32,H35)</f>
        <v>15502.228112692719</v>
      </c>
      <c r="I36" s="4">
        <f ca="1">MAX(I32,I35)</f>
        <v>15194.490876707565</v>
      </c>
      <c r="J36" s="4">
        <f ca="1">MAX(J32,J35)</f>
        <v>15194.490876707565</v>
      </c>
    </row>
    <row r="37" spans="1:10">
      <c r="A37" s="321" t="s">
        <v>666</v>
      </c>
      <c r="F37" s="4">
        <f ca="1">F33*F12/F13</f>
        <v>10642.961356249538</v>
      </c>
      <c r="G37" s="4">
        <f ca="1">G33*G12/G13</f>
        <v>5431.7450027555369</v>
      </c>
      <c r="H37" s="4">
        <f ca="1">H33*H12/H13</f>
        <v>5425.7798394424517</v>
      </c>
      <c r="I37" s="4">
        <f ca="1">I33*I12/I13</f>
        <v>5318.0718068476472</v>
      </c>
      <c r="J37" s="4">
        <f ca="1">J33*J12/J13</f>
        <v>5318.0718068476472</v>
      </c>
    </row>
    <row r="38" spans="1:10">
      <c r="A38" s="321" t="s">
        <v>701</v>
      </c>
      <c r="F38" s="4">
        <f ca="1">MAX(F32,F37)</f>
        <v>15640.351038232504</v>
      </c>
      <c r="G38" s="4">
        <f ca="1">MAX(G32,G37)</f>
        <v>7752.419876138043</v>
      </c>
      <c r="H38" s="4">
        <f ca="1">MAX(H32,H37)</f>
        <v>7384.2262421422629</v>
      </c>
      <c r="I38" s="4">
        <f ca="1">MAX(I32,I37)</f>
        <v>7381.8419807424634</v>
      </c>
      <c r="J38" s="4">
        <f ca="1">MAX(J32,J37)</f>
        <v>7381.8419807424634</v>
      </c>
    </row>
    <row r="39" spans="1:10">
      <c r="A39" s="5" t="s">
        <v>674</v>
      </c>
      <c r="F39" s="326"/>
      <c r="G39" s="326"/>
      <c r="H39" s="326"/>
      <c r="I39" s="326"/>
      <c r="J39" s="326"/>
    </row>
    <row r="40" spans="1:10">
      <c r="A40" s="233" t="s">
        <v>669</v>
      </c>
      <c r="F40" s="327"/>
      <c r="G40" s="327"/>
      <c r="H40" s="327"/>
      <c r="I40" s="327"/>
      <c r="J40" s="327"/>
    </row>
    <row r="41" spans="1:10">
      <c r="A41" s="7" t="s">
        <v>326</v>
      </c>
      <c r="F41" s="330">
        <f ca="1">'Manufacturing Cost Calculations'!F81</f>
        <v>1.0501293623012902</v>
      </c>
      <c r="G41" s="330">
        <f ca="1">'Manufacturing Cost Calculations'!G81</f>
        <v>0.52683986921232495</v>
      </c>
      <c r="H41" s="330">
        <f ca="1">'Manufacturing Cost Calculations'!H81</f>
        <v>0.56360546609448636</v>
      </c>
      <c r="I41" s="330">
        <f ca="1">'Manufacturing Cost Calculations'!I81</f>
        <v>0.55298071635818347</v>
      </c>
      <c r="J41" s="330">
        <f ca="1">'Manufacturing Cost Calculations'!J81</f>
        <v>0.55298071635818347</v>
      </c>
    </row>
    <row r="42" spans="1:10">
      <c r="A42" s="7" t="s">
        <v>327</v>
      </c>
      <c r="F42" s="330">
        <f ca="1">'Manufacturing Cost Calculations'!F82</f>
        <v>2.5096263273606816</v>
      </c>
      <c r="G42" s="330">
        <f ca="1">'Manufacturing Cost Calculations'!G82</f>
        <v>1.3078473172714633</v>
      </c>
      <c r="H42" s="330">
        <f ca="1">'Manufacturing Cost Calculations'!H82</f>
        <v>1.353053426736851</v>
      </c>
      <c r="I42" s="330">
        <f ca="1">'Manufacturing Cost Calculations'!I82</f>
        <v>1.3278891030802473</v>
      </c>
      <c r="J42" s="330">
        <f ca="1">'Manufacturing Cost Calculations'!J82</f>
        <v>1.3278891030802473</v>
      </c>
    </row>
    <row r="43" spans="1:10">
      <c r="A43" s="7" t="s">
        <v>128</v>
      </c>
      <c r="F43" s="330">
        <f ca="1">'Manufacturing Cost Calculations'!F83</f>
        <v>4.8093962320417036</v>
      </c>
      <c r="G43" s="330">
        <f ca="1">'Manufacturing Cost Calculations'!G83</f>
        <v>2.4517834710067281</v>
      </c>
      <c r="H43" s="330">
        <f ca="1">'Manufacturing Cost Calculations'!H83</f>
        <v>2.4913678370341956</v>
      </c>
      <c r="I43" s="330">
        <f ca="1">'Manufacturing Cost Calculations'!I83</f>
        <v>2.4435200074291767</v>
      </c>
      <c r="J43" s="330">
        <f ca="1">'Manufacturing Cost Calculations'!J83</f>
        <v>2.4435200074291767</v>
      </c>
    </row>
    <row r="44" spans="1:10">
      <c r="A44" s="321" t="s">
        <v>672</v>
      </c>
      <c r="F44" s="330">
        <f ca="1">SUM(F41:F43)</f>
        <v>8.3691519217036756</v>
      </c>
      <c r="G44" s="330">
        <f ca="1">SUM(G41:G43)</f>
        <v>4.2864706574905167</v>
      </c>
      <c r="H44" s="330">
        <f ca="1">SUM(H41:H43)</f>
        <v>4.4080267298655329</v>
      </c>
      <c r="I44" s="330">
        <f ca="1">SUM(I41:I43)</f>
        <v>4.3243898268676073</v>
      </c>
      <c r="J44" s="330">
        <f ca="1">SUM(J41:J43)</f>
        <v>4.3243898268676073</v>
      </c>
    </row>
    <row r="45" spans="1:10">
      <c r="A45" s="80" t="s">
        <v>670</v>
      </c>
      <c r="F45" s="326"/>
      <c r="G45" s="326"/>
      <c r="H45" s="326"/>
      <c r="I45" s="326"/>
      <c r="J45" s="326"/>
    </row>
    <row r="46" spans="1:10">
      <c r="A46" s="7" t="s">
        <v>326</v>
      </c>
      <c r="F46" s="330">
        <f ca="1">F41*F$36/F$34</f>
        <v>1.5001848032875573</v>
      </c>
      <c r="G46" s="330">
        <f ca="1">G41*G$36/G$34</f>
        <v>0.75262838458903569</v>
      </c>
      <c r="H46" s="330">
        <f ca="1">H41*H$36/H$34</f>
        <v>0.80515066584926631</v>
      </c>
      <c r="I46" s="330">
        <f ca="1">I41*I$36/I$34</f>
        <v>0.78997245194026211</v>
      </c>
      <c r="J46" s="330">
        <f ca="1">J41*J$36/J$34</f>
        <v>0.78997245194026211</v>
      </c>
    </row>
    <row r="47" spans="1:10">
      <c r="A47" s="7" t="s">
        <v>327</v>
      </c>
      <c r="F47" s="330">
        <f t="shared" ref="F47:J48" ca="1" si="0">F42*F$36/F$34</f>
        <v>3.5851804676581165</v>
      </c>
      <c r="G47" s="330">
        <f t="shared" ca="1" si="0"/>
        <v>1.8683533103878047</v>
      </c>
      <c r="H47" s="330">
        <f t="shared" ca="1" si="0"/>
        <v>1.93293346676693</v>
      </c>
      <c r="I47" s="330">
        <f t="shared" ca="1" si="0"/>
        <v>1.8969844329717822</v>
      </c>
      <c r="J47" s="330">
        <f t="shared" ca="1" si="0"/>
        <v>1.8969844329717822</v>
      </c>
    </row>
    <row r="48" spans="1:10">
      <c r="A48" s="7" t="s">
        <v>128</v>
      </c>
      <c r="F48" s="330">
        <f t="shared" ca="1" si="0"/>
        <v>6.8705660457738622</v>
      </c>
      <c r="G48" s="330">
        <f t="shared" ca="1" si="0"/>
        <v>3.5025478157238972</v>
      </c>
      <c r="H48" s="330">
        <f t="shared" ca="1" si="0"/>
        <v>3.5590969100488508</v>
      </c>
      <c r="I48" s="330">
        <f t="shared" ca="1" si="0"/>
        <v>3.4907428677559675</v>
      </c>
      <c r="J48" s="330">
        <f t="shared" ca="1" si="0"/>
        <v>3.4907428677559675</v>
      </c>
    </row>
    <row r="49" spans="1:19">
      <c r="A49" s="321" t="s">
        <v>672</v>
      </c>
      <c r="F49" s="330">
        <f ca="1">SUM(F46:F48)</f>
        <v>11.955931316719536</v>
      </c>
      <c r="G49" s="330">
        <f ca="1">SUM(G46:G48)</f>
        <v>6.1235295107007381</v>
      </c>
      <c r="H49" s="330">
        <f ca="1">SUM(H46:H48)</f>
        <v>6.2971810426650467</v>
      </c>
      <c r="I49" s="330">
        <f ca="1">SUM(I46:I48)</f>
        <v>6.177699752668012</v>
      </c>
      <c r="J49" s="330">
        <f ca="1">SUM(J46:J48)</f>
        <v>6.177699752668012</v>
      </c>
    </row>
    <row r="50" spans="1:19">
      <c r="A50" s="321" t="s">
        <v>673</v>
      </c>
      <c r="F50" s="330">
        <f ca="1">'Battery Design'!F64*(F49-F44)</f>
        <v>459.10776256203008</v>
      </c>
      <c r="G50" s="330">
        <f ca="1">'Battery Design'!G64*(G49-G44)</f>
        <v>470.28706642181669</v>
      </c>
      <c r="H50" s="330">
        <f ca="1">'Battery Design'!H64*(H49-H44)</f>
        <v>483.62350407667554</v>
      </c>
      <c r="I50" s="330">
        <f ca="1">'Battery Design'!I64*(I49-I44)</f>
        <v>237.2236705024518</v>
      </c>
      <c r="J50" s="330">
        <f ca="1">'Battery Design'!J64*(J49-J44)</f>
        <v>237.2236705024518</v>
      </c>
    </row>
    <row r="51" spans="1:19">
      <c r="A51" s="80" t="s">
        <v>671</v>
      </c>
      <c r="F51" s="327"/>
      <c r="G51" s="327"/>
      <c r="H51" s="327"/>
      <c r="I51" s="327"/>
      <c r="J51" s="327"/>
    </row>
    <row r="52" spans="1:19">
      <c r="A52" s="7" t="s">
        <v>326</v>
      </c>
      <c r="B52" s="331"/>
      <c r="C52" s="331"/>
      <c r="D52" s="331"/>
      <c r="E52" s="331"/>
      <c r="F52" s="330">
        <f t="shared" ref="F52:J54" ca="1" si="1">F41*F$38/F$34</f>
        <v>0.77160816957693035</v>
      </c>
      <c r="G52" s="330">
        <f t="shared" ca="1" si="1"/>
        <v>0.37596425012142765</v>
      </c>
      <c r="H52" s="330">
        <f t="shared" ca="1" si="1"/>
        <v>0.38352000966716232</v>
      </c>
      <c r="I52" s="330">
        <f t="shared" ca="1" si="1"/>
        <v>0.38378724609338671</v>
      </c>
      <c r="J52" s="330">
        <f t="shared" ca="1" si="1"/>
        <v>0.38378724609338671</v>
      </c>
    </row>
    <row r="53" spans="1:19">
      <c r="A53" s="7" t="s">
        <v>327</v>
      </c>
      <c r="F53" s="330">
        <f t="shared" ca="1" si="1"/>
        <v>1.8440091728634744</v>
      </c>
      <c r="G53" s="330">
        <f t="shared" ca="1" si="1"/>
        <v>0.93330794544161955</v>
      </c>
      <c r="H53" s="330">
        <f t="shared" ca="1" si="1"/>
        <v>0.92072042327444137</v>
      </c>
      <c r="I53" s="330">
        <f t="shared" ca="1" si="1"/>
        <v>0.92159977176940777</v>
      </c>
      <c r="J53" s="330">
        <f t="shared" ca="1" si="1"/>
        <v>0.92159977176940777</v>
      </c>
    </row>
    <row r="54" spans="1:19">
      <c r="A54" s="7" t="s">
        <v>128</v>
      </c>
      <c r="F54" s="330">
        <f t="shared" ca="1" si="1"/>
        <v>3.5338212191720237</v>
      </c>
      <c r="G54" s="330">
        <f t="shared" ca="1" si="1"/>
        <v>1.7496453628600803</v>
      </c>
      <c r="H54" s="330">
        <f t="shared" ca="1" si="1"/>
        <v>1.6953160933035165</v>
      </c>
      <c r="I54" s="330">
        <f t="shared" ca="1" si="1"/>
        <v>1.6958852030165508</v>
      </c>
      <c r="J54" s="330">
        <f t="shared" ca="1" si="1"/>
        <v>1.6958852030165508</v>
      </c>
    </row>
    <row r="55" spans="1:19">
      <c r="A55" s="321" t="s">
        <v>672</v>
      </c>
      <c r="F55" s="330">
        <f ca="1">SUM(F52:F54)</f>
        <v>6.1494385616124285</v>
      </c>
      <c r="G55" s="330">
        <f ca="1">SUM(G52:G54)</f>
        <v>3.0589175584231274</v>
      </c>
      <c r="H55" s="330">
        <f ca="1">SUM(H52:H54)</f>
        <v>2.9995565262451205</v>
      </c>
      <c r="I55" s="330">
        <f ca="1">SUM(I52:I54)</f>
        <v>3.0012722208793452</v>
      </c>
      <c r="J55" s="330">
        <f ca="1">SUM(J52:J54)</f>
        <v>3.0012722208793452</v>
      </c>
    </row>
    <row r="56" spans="1:19">
      <c r="A56" s="321" t="s">
        <v>673</v>
      </c>
      <c r="F56" s="330">
        <f ca="1">'Battery Design'!F64*(F55-F44)</f>
        <v>-284.12331009167963</v>
      </c>
      <c r="G56" s="330">
        <f ca="1">'Battery Design'!G64*(G55-G44)</f>
        <v>-314.25359336125166</v>
      </c>
      <c r="H56" s="330">
        <f ca="1">'Battery Design'!H64*(H55-H44)</f>
        <v>-360.56837212682558</v>
      </c>
      <c r="I56" s="330">
        <f ca="1">'Battery Design'!I64*(I55-I44)</f>
        <v>-169.35905356649755</v>
      </c>
      <c r="J56" s="330">
        <f ca="1">'Battery Design'!J64*(J55-J44)</f>
        <v>-169.35905356649755</v>
      </c>
    </row>
    <row r="57" spans="1:19" ht="15">
      <c r="A57" s="338" t="s">
        <v>675</v>
      </c>
      <c r="B57" s="5"/>
      <c r="C57" s="5"/>
      <c r="D57" s="332"/>
      <c r="E57" s="333"/>
      <c r="F57" s="3"/>
      <c r="G57" s="3"/>
      <c r="H57" s="3"/>
      <c r="I57" s="3"/>
      <c r="J57" s="3"/>
    </row>
    <row r="58" spans="1:19" s="321" customFormat="1" ht="14.25">
      <c r="A58" s="5" t="s">
        <v>914</v>
      </c>
      <c r="B58"/>
      <c r="C58"/>
      <c r="D58"/>
      <c r="E58"/>
      <c r="F58" s="330"/>
      <c r="G58" s="330"/>
      <c r="H58" s="330"/>
      <c r="I58" s="330"/>
      <c r="J58" s="330"/>
    </row>
    <row r="59" spans="1:19" s="321" customFormat="1">
      <c r="A59" s="321" t="s">
        <v>676</v>
      </c>
      <c r="B59"/>
      <c r="C59"/>
      <c r="D59"/>
      <c r="E59"/>
      <c r="F59" s="261">
        <f ca="1">F34*'Manufacturing Cost Calculations'!F$9/10000</f>
        <v>28679980.075788226</v>
      </c>
      <c r="G59" s="261">
        <f ca="1">G34*'Manufacturing Cost Calculations'!G$9/10000</f>
        <v>29274246.751692992</v>
      </c>
      <c r="H59" s="261">
        <f ca="1">H34*'Manufacturing Cost Calculations'!H$9/10000</f>
        <v>29242097.660995103</v>
      </c>
      <c r="I59" s="261">
        <f ca="1">I34*'Manufacturing Cost Calculations'!I$9/10000</f>
        <v>28661608.053747315</v>
      </c>
      <c r="J59" s="261">
        <f ca="1">J34*'Manufacturing Cost Calculations'!J$9/10000</f>
        <v>28661608.053747315</v>
      </c>
    </row>
    <row r="60" spans="1:19" s="321" customFormat="1">
      <c r="A60" s="321" t="s">
        <v>677</v>
      </c>
      <c r="B60"/>
      <c r="C60"/>
      <c r="D60"/>
      <c r="E60"/>
      <c r="F60" s="261">
        <f ca="1">F36*'Manufacturing Cost Calculations'!F$9/10000</f>
        <v>40971400.108268887</v>
      </c>
      <c r="G60" s="261">
        <f ca="1">G36*'Manufacturing Cost Calculations'!G$9/10000</f>
        <v>41820352.502418563</v>
      </c>
      <c r="H60" s="261">
        <f ca="1">H36*'Manufacturing Cost Calculations'!H$9/10000</f>
        <v>41774425.229993008</v>
      </c>
      <c r="I60" s="261">
        <f ca="1">I36*'Manufacturing Cost Calculations'!I$9/10000</f>
        <v>40945154.362496167</v>
      </c>
      <c r="J60" s="261">
        <f ca="1">J36*'Manufacturing Cost Calculations'!J$9/10000</f>
        <v>40945154.362496167</v>
      </c>
    </row>
    <row r="61" spans="1:19" s="321" customFormat="1">
      <c r="A61" s="321" t="s">
        <v>678</v>
      </c>
      <c r="B61"/>
      <c r="C61"/>
      <c r="D61"/>
      <c r="E61"/>
      <c r="F61" s="261">
        <f ca="1">F38*'Manufacturing Cost Calculations'!F$9/10000</f>
        <v>21073315.083092213</v>
      </c>
      <c r="G61" s="261">
        <f ca="1">G38*'Manufacturing Cost Calculations'!G$9/10000</f>
        <v>20890731.455698304</v>
      </c>
      <c r="H61" s="261">
        <f ca="1">H38*'Manufacturing Cost Calculations'!H$9/10000</f>
        <v>19898546.505141255</v>
      </c>
      <c r="I61" s="261">
        <f ca="1">I38*'Manufacturing Cost Calculations'!I$9/10000</f>
        <v>19892121.548106004</v>
      </c>
      <c r="J61" s="261">
        <f ca="1">J38*'Manufacturing Cost Calculations'!J$9/10000</f>
        <v>19892121.548106004</v>
      </c>
    </row>
    <row r="62" spans="1:19">
      <c r="A62" s="340" t="s">
        <v>702</v>
      </c>
      <c r="B62" s="331"/>
      <c r="C62" s="331"/>
      <c r="D62" s="331"/>
      <c r="E62" s="331"/>
      <c r="F62" s="331"/>
      <c r="G62" s="331"/>
      <c r="H62" s="331"/>
      <c r="I62" s="331"/>
      <c r="J62" s="331"/>
    </row>
    <row r="63" spans="1:19">
      <c r="A63" s="10"/>
      <c r="B63" s="10"/>
      <c r="C63" s="10"/>
      <c r="D63" s="72" t="s">
        <v>43</v>
      </c>
      <c r="E63" s="73"/>
      <c r="F63" s="328"/>
      <c r="G63" s="328"/>
      <c r="H63" s="328"/>
      <c r="I63" s="328"/>
      <c r="J63" s="328"/>
      <c r="L63" s="10"/>
      <c r="M63" s="10"/>
      <c r="N63" s="72"/>
      <c r="O63" s="73"/>
      <c r="P63" s="328"/>
      <c r="Q63" s="328"/>
      <c r="R63" s="328"/>
      <c r="S63" s="10"/>
    </row>
    <row r="64" spans="1:19">
      <c r="A64" s="74" t="s">
        <v>135</v>
      </c>
      <c r="B64" s="329"/>
      <c r="C64" s="329"/>
      <c r="D64" s="75" t="s">
        <v>66</v>
      </c>
      <c r="E64" s="64" t="s">
        <v>45</v>
      </c>
      <c r="F64" s="331"/>
      <c r="G64" s="331"/>
      <c r="H64" s="331"/>
      <c r="I64" s="331"/>
      <c r="J64" s="331"/>
      <c r="K64" s="156"/>
      <c r="L64" s="64"/>
      <c r="M64" s="64"/>
      <c r="N64" s="339"/>
      <c r="O64" s="64"/>
      <c r="P64" s="430"/>
      <c r="Q64" s="430"/>
      <c r="R64" s="430"/>
      <c r="S64" s="430"/>
    </row>
    <row r="65" spans="1:19">
      <c r="A65" s="321" t="s">
        <v>81</v>
      </c>
      <c r="B65" s="321"/>
      <c r="C65" s="321"/>
      <c r="D65" s="332"/>
      <c r="E65" s="333"/>
      <c r="F65" s="410"/>
      <c r="K65" s="321"/>
      <c r="L65" s="321"/>
      <c r="M65" s="321"/>
      <c r="N65" s="332"/>
      <c r="O65" s="333"/>
    </row>
    <row r="66" spans="1:19">
      <c r="A66" s="321" t="s">
        <v>139</v>
      </c>
      <c r="B66" s="321"/>
      <c r="C66" s="321"/>
      <c r="D66" s="332"/>
      <c r="E66" s="333"/>
      <c r="F66" s="71"/>
      <c r="K66" s="321"/>
      <c r="L66" s="321"/>
      <c r="M66" s="321"/>
      <c r="N66" s="332"/>
      <c r="O66" s="333"/>
    </row>
    <row r="67" spans="1:19">
      <c r="A67" s="321" t="s">
        <v>136</v>
      </c>
      <c r="B67" s="321"/>
      <c r="C67" s="321"/>
      <c r="D67" s="332">
        <v>14400</v>
      </c>
      <c r="E67" s="333">
        <v>0.5</v>
      </c>
      <c r="F67" s="91">
        <f ca="1">F59/'Cost Input'!$E$11</f>
        <v>3.4937073410832573</v>
      </c>
      <c r="G67" s="91">
        <f ca="1">G59/'Cost Input'!$E$11</f>
        <v>3.5660990876145719</v>
      </c>
      <c r="H67" s="91">
        <f ca="1">H59/'Cost Input'!$E$11</f>
        <v>3.5621827838415725</v>
      </c>
      <c r="I67" s="91">
        <f ca="1">I59/'Cost Input'!$E$11</f>
        <v>3.491469317622109</v>
      </c>
      <c r="J67" s="91">
        <f ca="1">J59/'Cost Input'!$E$11</f>
        <v>3.491469317622109</v>
      </c>
      <c r="L67" s="321"/>
      <c r="M67" s="321"/>
      <c r="N67" s="332"/>
      <c r="O67" s="333"/>
      <c r="P67" s="91"/>
      <c r="Q67" s="91"/>
      <c r="R67" s="91"/>
      <c r="S67" s="91"/>
    </row>
    <row r="68" spans="1:19" ht="14.25">
      <c r="A68" s="321" t="s">
        <v>915</v>
      </c>
      <c r="B68" s="321"/>
      <c r="C68" s="321"/>
      <c r="D68" s="334">
        <v>2</v>
      </c>
      <c r="E68" s="333">
        <v>0.7</v>
      </c>
      <c r="F68" s="411">
        <f ca="1">'Manufacturing Cost Calculations'!F145</f>
        <v>0.29457852407998114</v>
      </c>
      <c r="G68" s="411">
        <f ca="1">'Manufacturing Cost Calculations'!G145</f>
        <v>0.29457852407998764</v>
      </c>
      <c r="H68" s="411">
        <f ca="1">'Manufacturing Cost Calculations'!H145</f>
        <v>0.29457852407998775</v>
      </c>
      <c r="I68" s="411">
        <f ca="1">'Manufacturing Cost Calculations'!I145</f>
        <v>0.29457852407997304</v>
      </c>
      <c r="J68" s="411">
        <f ca="1">'Manufacturing Cost Calculations'!J145</f>
        <v>0.29457852407997304</v>
      </c>
      <c r="L68" s="321"/>
      <c r="M68" s="321"/>
      <c r="N68" s="334"/>
      <c r="O68" s="333"/>
      <c r="P68" s="91"/>
      <c r="Q68" s="76"/>
      <c r="R68" s="76"/>
      <c r="S68" s="76"/>
    </row>
    <row r="69" spans="1:19">
      <c r="A69" s="321" t="s">
        <v>69</v>
      </c>
      <c r="B69" s="321"/>
      <c r="C69" s="321"/>
      <c r="D69" s="332">
        <v>600</v>
      </c>
      <c r="E69" s="333">
        <v>0.6</v>
      </c>
      <c r="F69" s="76">
        <f ca="1">'Manufacturing Cost Calculations'!$D146*F$67^'Manufacturing Cost Calculations'!$E146</f>
        <v>53831.409204925119</v>
      </c>
      <c r="G69" s="76">
        <f ca="1">'Manufacturing Cost Calculations'!$D146*G$67^'Manufacturing Cost Calculations'!$E146</f>
        <v>54386.25954440175</v>
      </c>
      <c r="H69" s="76">
        <f ca="1">'Manufacturing Cost Calculations'!$D146*H$67^'Manufacturing Cost Calculations'!$E146</f>
        <v>54356.387740812526</v>
      </c>
      <c r="I69" s="76">
        <f ca="1">'Manufacturing Cost Calculations'!$D146*I$67^'Manufacturing Cost Calculations'!$E146</f>
        <v>53814.164592683977</v>
      </c>
      <c r="J69" s="76">
        <f ca="1">'Manufacturing Cost Calculations'!$D146*J$67^'Manufacturing Cost Calculations'!$E146</f>
        <v>53814.164592683977</v>
      </c>
      <c r="L69" s="412"/>
      <c r="M69" s="412"/>
      <c r="N69" s="413"/>
      <c r="O69" s="413"/>
      <c r="P69" s="181"/>
      <c r="Q69" s="76"/>
      <c r="R69" s="76"/>
      <c r="S69" s="76"/>
    </row>
    <row r="70" spans="1:19">
      <c r="A70" s="321" t="s">
        <v>71</v>
      </c>
      <c r="B70" s="321"/>
      <c r="C70" s="321"/>
      <c r="D70" s="332"/>
      <c r="E70" s="333"/>
      <c r="F70" s="90">
        <f ca="1">'Manufacturing Cost Calculations'!$D147*F$67^'Manufacturing Cost Calculations'!$E147*(F68/'Manufacturing Cost Calculations'!$D145)^0.2</f>
        <v>21.965054817991764</v>
      </c>
      <c r="G70" s="90">
        <f ca="1">'Manufacturing Cost Calculations'!$D147*G$67^'Manufacturing Cost Calculations'!$E147*(G68/'Manufacturing Cost Calculations'!$D145)^0.2</f>
        <v>22.328410020003616</v>
      </c>
      <c r="H70" s="90">
        <f ca="1">'Manufacturing Cost Calculations'!$D147*H$67^'Manufacturing Cost Calculations'!$E147*(H68/'Manufacturing Cost Calculations'!$D145)^0.2</f>
        <v>22.308790947912911</v>
      </c>
      <c r="I70" s="90">
        <f ca="1">'Manufacturing Cost Calculations'!$D147*I$67^'Manufacturing Cost Calculations'!$E147*(I68/'Manufacturing Cost Calculations'!$D145)^0.2</f>
        <v>21.953797674096528</v>
      </c>
      <c r="J70" s="90">
        <f ca="1">'Manufacturing Cost Calculations'!$D147*J$67^'Manufacturing Cost Calculations'!$E147*(J68/'Manufacturing Cost Calculations'!$D145)^0.2</f>
        <v>21.953797674096528</v>
      </c>
      <c r="L70" s="321"/>
      <c r="M70" s="321"/>
      <c r="N70" s="332"/>
      <c r="O70" s="333"/>
      <c r="P70" s="90"/>
      <c r="Q70" s="90"/>
      <c r="R70" s="90"/>
      <c r="S70" s="90"/>
    </row>
    <row r="71" spans="1:19">
      <c r="A71" s="321" t="s">
        <v>72</v>
      </c>
      <c r="B71" s="321"/>
      <c r="C71" s="321"/>
      <c r="D71" s="332"/>
      <c r="E71" s="333"/>
      <c r="F71" s="76">
        <f ca="1">'Manufacturing Cost Calculations'!$D148*F$67^'Manufacturing Cost Calculations'!$E148</f>
        <v>2040.2833306243776</v>
      </c>
      <c r="G71" s="76">
        <f ca="1">'Manufacturing Cost Calculations'!$D148*G$67^'Manufacturing Cost Calculations'!$E148</f>
        <v>2074.0345581038096</v>
      </c>
      <c r="H71" s="76">
        <f ca="1">'Manufacturing Cost Calculations'!$D148*H$67^'Manufacturing Cost Calculations'!$E148</f>
        <v>2072.2121877031586</v>
      </c>
      <c r="I71" s="76">
        <f ca="1">'Manufacturing Cost Calculations'!$D148*I$67^'Manufacturing Cost Calculations'!$E148</f>
        <v>2039.2376804664352</v>
      </c>
      <c r="J71" s="76">
        <f ca="1">'Manufacturing Cost Calculations'!$D148*J$67^'Manufacturing Cost Calculations'!$E148</f>
        <v>2039.2376804664352</v>
      </c>
      <c r="L71" s="321"/>
      <c r="M71" s="321"/>
      <c r="N71" s="332"/>
      <c r="O71" s="333"/>
      <c r="P71" s="76"/>
      <c r="Q71" s="76"/>
      <c r="R71" s="76"/>
      <c r="S71" s="76"/>
    </row>
    <row r="72" spans="1:19">
      <c r="A72" s="321" t="s">
        <v>140</v>
      </c>
      <c r="B72" s="321"/>
      <c r="C72" s="321"/>
      <c r="D72" s="332"/>
      <c r="E72" s="333"/>
      <c r="F72" s="71"/>
      <c r="G72" s="71"/>
      <c r="H72" s="71"/>
      <c r="I72" s="71"/>
      <c r="J72" s="71"/>
      <c r="L72" s="321"/>
      <c r="M72" s="321"/>
      <c r="N72" s="332"/>
      <c r="O72" s="333"/>
      <c r="P72" s="71"/>
      <c r="Q72" s="71"/>
      <c r="R72" s="71"/>
      <c r="S72" s="71"/>
    </row>
    <row r="73" spans="1:19">
      <c r="A73" s="321" t="s">
        <v>136</v>
      </c>
      <c r="B73" s="321"/>
      <c r="C73" s="321"/>
      <c r="D73" s="332">
        <v>2309021.4751825081</v>
      </c>
      <c r="E73" s="334">
        <v>0.2</v>
      </c>
      <c r="F73" s="91">
        <f ca="1">F67</f>
        <v>3.4937073410832573</v>
      </c>
      <c r="G73" s="91">
        <f ca="1">G67</f>
        <v>3.5660990876145719</v>
      </c>
      <c r="H73" s="91">
        <f ca="1">H67</f>
        <v>3.5621827838415725</v>
      </c>
      <c r="I73" s="91">
        <f ca="1">I67</f>
        <v>3.491469317622109</v>
      </c>
      <c r="J73" s="91">
        <f ca="1">J67</f>
        <v>3.491469317622109</v>
      </c>
      <c r="L73" s="414"/>
      <c r="M73" s="414"/>
      <c r="N73" s="415"/>
      <c r="O73" s="415"/>
      <c r="P73" s="91"/>
      <c r="Q73" s="91"/>
      <c r="R73" s="91"/>
      <c r="S73" s="91"/>
    </row>
    <row r="74" spans="1:19" ht="14.25">
      <c r="A74" s="321" t="s">
        <v>915</v>
      </c>
      <c r="B74" s="321"/>
      <c r="C74" s="321"/>
      <c r="D74" s="332">
        <v>28800</v>
      </c>
      <c r="E74" s="333">
        <v>0.5</v>
      </c>
      <c r="F74" s="91">
        <f ca="1">'Manufacturing Cost Calculations'!F151</f>
        <v>0.18711602585747616</v>
      </c>
      <c r="G74" s="91">
        <f ca="1">'Manufacturing Cost Calculations'!G151</f>
        <v>0.18702182852356078</v>
      </c>
      <c r="H74" s="91">
        <f ca="1">'Manufacturing Cost Calculations'!H151</f>
        <v>0.18812316825566364</v>
      </c>
      <c r="I74" s="91">
        <f ca="1">'Manufacturing Cost Calculations'!I151</f>
        <v>0.1881757773686617</v>
      </c>
      <c r="J74" s="91">
        <f ca="1">'Manufacturing Cost Calculations'!J151</f>
        <v>0.1881757773686617</v>
      </c>
      <c r="L74" s="416"/>
      <c r="M74" s="416"/>
      <c r="N74" s="417"/>
      <c r="O74" s="417"/>
      <c r="P74" s="406"/>
      <c r="Q74" s="76"/>
      <c r="R74" s="76"/>
      <c r="S74" s="76"/>
    </row>
    <row r="75" spans="1:19">
      <c r="A75" s="321" t="s">
        <v>69</v>
      </c>
      <c r="B75" s="321"/>
      <c r="C75" s="321"/>
      <c r="D75" s="334">
        <v>8</v>
      </c>
      <c r="E75" s="333">
        <v>0.8</v>
      </c>
      <c r="F75" s="76">
        <f ca="1">'Manufacturing Cost Calculations'!$D152*F$73^'Manufacturing Cost Calculations'!$E152</f>
        <v>53831.409204925119</v>
      </c>
      <c r="G75" s="76">
        <f ca="1">'Manufacturing Cost Calculations'!$D152*G$73^'Manufacturing Cost Calculations'!$E152</f>
        <v>54386.25954440175</v>
      </c>
      <c r="H75" s="76">
        <f ca="1">'Manufacturing Cost Calculations'!$D152*H$73^'Manufacturing Cost Calculations'!$E152</f>
        <v>54356.387740812526</v>
      </c>
      <c r="I75" s="76">
        <f ca="1">'Manufacturing Cost Calculations'!$D152*I$73^'Manufacturing Cost Calculations'!$E152</f>
        <v>53814.164592683977</v>
      </c>
      <c r="J75" s="76">
        <f ca="1">'Manufacturing Cost Calculations'!$D152*J$73^'Manufacturing Cost Calculations'!$E152</f>
        <v>53814.164592683977</v>
      </c>
      <c r="L75" s="418"/>
      <c r="M75" s="418"/>
      <c r="N75" s="336"/>
      <c r="O75" s="336"/>
      <c r="P75" s="76"/>
      <c r="Q75" s="76"/>
      <c r="R75" s="76"/>
      <c r="S75" s="76"/>
    </row>
    <row r="76" spans="1:19">
      <c r="A76" s="321" t="s">
        <v>71</v>
      </c>
      <c r="B76" s="321"/>
      <c r="C76" s="321"/>
      <c r="D76" s="332">
        <v>750</v>
      </c>
      <c r="E76" s="333">
        <v>0.8</v>
      </c>
      <c r="F76" s="90">
        <f ca="1">'Manufacturing Cost Calculations'!$D153*F$67^'Manufacturing Cost Calculations'!$E153*(F74/'Manufacturing Cost Calculations'!$D151)^0.2</f>
        <v>21.788438339070794</v>
      </c>
      <c r="G76" s="90">
        <f ca="1">'Manufacturing Cost Calculations'!$D153*G$67^'Manufacturing Cost Calculations'!$E153*(G74/'Manufacturing Cost Calculations'!$D151)^0.2</f>
        <v>22.146641405163553</v>
      </c>
      <c r="H76" s="90">
        <f ca="1">'Manufacturing Cost Calculations'!$D153*H$67^'Manufacturing Cost Calculations'!$E153*(H74/'Manufacturing Cost Calculations'!$D151)^0.2</f>
        <v>22.153181517305725</v>
      </c>
      <c r="I76" s="90">
        <f ca="1">'Manufacturing Cost Calculations'!$D153*I$67^'Manufacturing Cost Calculations'!$E153*(I74/'Manufacturing Cost Calculations'!$D151)^0.2</f>
        <v>21.801883596563037</v>
      </c>
      <c r="J76" s="90">
        <f ca="1">'Manufacturing Cost Calculations'!$D153*J$67^'Manufacturing Cost Calculations'!$E153*(J74/'Manufacturing Cost Calculations'!$D151)^0.2</f>
        <v>21.801883596563037</v>
      </c>
      <c r="L76" s="419"/>
      <c r="M76" s="419"/>
      <c r="N76" s="337"/>
      <c r="O76" s="337"/>
      <c r="P76" s="90"/>
      <c r="Q76" s="90"/>
      <c r="R76" s="90"/>
      <c r="S76" s="90"/>
    </row>
    <row r="77" spans="1:19">
      <c r="A77" s="321" t="s">
        <v>72</v>
      </c>
      <c r="B77" s="321"/>
      <c r="C77" s="321"/>
      <c r="D77" s="332"/>
      <c r="E77" s="333"/>
      <c r="F77" s="76">
        <f ca="1">'Manufacturing Cost Calculations'!$D154*F$73^'Manufacturing Cost Calculations'!$E154</f>
        <v>2040.2833306243776</v>
      </c>
      <c r="G77" s="76">
        <f ca="1">'Manufacturing Cost Calculations'!$D154*G$73^'Manufacturing Cost Calculations'!$E154</f>
        <v>2074.0345581038096</v>
      </c>
      <c r="H77" s="76">
        <f ca="1">'Manufacturing Cost Calculations'!$D154*H$73^'Manufacturing Cost Calculations'!$E154</f>
        <v>2072.2121877031586</v>
      </c>
      <c r="I77" s="76">
        <f ca="1">'Manufacturing Cost Calculations'!$D154*I$73^'Manufacturing Cost Calculations'!$E154</f>
        <v>2039.2376804664352</v>
      </c>
      <c r="J77" s="76">
        <f ca="1">'Manufacturing Cost Calculations'!$D154*J$73^'Manufacturing Cost Calculations'!$E154</f>
        <v>2039.2376804664352</v>
      </c>
      <c r="L77" s="418"/>
      <c r="M77" s="418"/>
      <c r="N77" s="336"/>
      <c r="O77" s="336"/>
      <c r="P77" s="76"/>
      <c r="Q77" s="76"/>
      <c r="R77" s="76"/>
      <c r="S77" s="76"/>
    </row>
    <row r="78" spans="1:19">
      <c r="A78" s="321" t="s">
        <v>244</v>
      </c>
      <c r="B78" s="321"/>
      <c r="C78" s="321"/>
      <c r="D78" s="332"/>
      <c r="E78" s="333"/>
      <c r="F78" s="71"/>
      <c r="G78" s="71"/>
      <c r="H78" s="71"/>
      <c r="I78" s="71"/>
      <c r="J78" s="71"/>
      <c r="L78" s="321"/>
      <c r="M78" s="321"/>
      <c r="N78" s="332"/>
      <c r="O78" s="333"/>
      <c r="P78" s="71"/>
      <c r="Q78" s="71"/>
      <c r="R78" s="71"/>
      <c r="S78" s="71"/>
    </row>
    <row r="79" spans="1:19">
      <c r="A79" s="321" t="s">
        <v>139</v>
      </c>
      <c r="B79" s="321"/>
      <c r="C79" s="321"/>
      <c r="D79" s="332"/>
      <c r="E79" s="333"/>
      <c r="F79" s="71"/>
      <c r="G79" s="71"/>
      <c r="H79" s="71"/>
      <c r="I79" s="71"/>
      <c r="J79" s="71"/>
      <c r="L79" s="321"/>
      <c r="M79" s="321"/>
      <c r="N79" s="332"/>
      <c r="O79" s="333"/>
      <c r="P79" s="71"/>
      <c r="Q79" s="71"/>
      <c r="R79" s="71"/>
      <c r="S79" s="71"/>
    </row>
    <row r="80" spans="1:19">
      <c r="A80" s="321" t="s">
        <v>136</v>
      </c>
      <c r="B80" s="321"/>
      <c r="C80" s="321"/>
      <c r="D80" s="332">
        <v>14400</v>
      </c>
      <c r="E80" s="333">
        <v>0.4</v>
      </c>
      <c r="F80" s="91">
        <f ca="1">F67</f>
        <v>3.4937073410832573</v>
      </c>
      <c r="G80" s="91">
        <f ca="1">G67</f>
        <v>3.5660990876145719</v>
      </c>
      <c r="H80" s="91">
        <f ca="1">H67</f>
        <v>3.5621827838415725</v>
      </c>
      <c r="I80" s="91">
        <f ca="1">I67</f>
        <v>3.491469317622109</v>
      </c>
      <c r="J80" s="91">
        <f ca="1">J67</f>
        <v>3.491469317622109</v>
      </c>
      <c r="L80" s="321"/>
      <c r="M80" s="321"/>
      <c r="N80" s="332"/>
      <c r="O80" s="333"/>
      <c r="P80" s="91"/>
      <c r="Q80" s="91"/>
      <c r="R80" s="91"/>
      <c r="S80" s="91"/>
    </row>
    <row r="81" spans="1:19">
      <c r="A81" s="321" t="s">
        <v>69</v>
      </c>
      <c r="B81" s="321"/>
      <c r="C81" s="321"/>
      <c r="D81" s="332">
        <v>3</v>
      </c>
      <c r="E81" s="333">
        <v>0.6</v>
      </c>
      <c r="F81" s="76">
        <f ca="1">'Manufacturing Cost Calculations'!$D163*F$80^'Manufacturing Cost Calculations'!$E163</f>
        <v>26915.70460246256</v>
      </c>
      <c r="G81" s="76">
        <f ca="1">'Manufacturing Cost Calculations'!$D163*G$80^'Manufacturing Cost Calculations'!$E163</f>
        <v>27193.129772200875</v>
      </c>
      <c r="H81" s="76">
        <f ca="1">'Manufacturing Cost Calculations'!$D163*H$80^'Manufacturing Cost Calculations'!$E163</f>
        <v>27178.193870406263</v>
      </c>
      <c r="I81" s="76">
        <f ca="1">'Manufacturing Cost Calculations'!$D163*I$80^'Manufacturing Cost Calculations'!$E163</f>
        <v>26907.082296341989</v>
      </c>
      <c r="J81" s="76">
        <f ca="1">'Manufacturing Cost Calculations'!$D163*J$80^'Manufacturing Cost Calculations'!$E163</f>
        <v>26907.082296341989</v>
      </c>
      <c r="L81" s="321"/>
      <c r="M81" s="321"/>
      <c r="N81" s="332"/>
      <c r="O81" s="333"/>
      <c r="P81" s="76"/>
      <c r="Q81" s="76"/>
      <c r="R81" s="76"/>
      <c r="S81" s="76"/>
    </row>
    <row r="82" spans="1:19">
      <c r="A82" s="321" t="s">
        <v>71</v>
      </c>
      <c r="B82" s="321"/>
      <c r="C82" s="321"/>
      <c r="D82" s="332">
        <v>225</v>
      </c>
      <c r="E82" s="333">
        <v>0.6</v>
      </c>
      <c r="F82" s="90">
        <f ca="1">'Manufacturing Cost Calculations'!$D164*F$80^'Manufacturing Cost Calculations'!$E164</f>
        <v>2.4004936733895779</v>
      </c>
      <c r="G82" s="90">
        <f ca="1">'Manufacturing Cost Calculations'!$D164*G$80^'Manufacturing Cost Calculations'!$E164</f>
        <v>2.4352042016752522</v>
      </c>
      <c r="H82" s="90">
        <f ca="1">'Manufacturing Cost Calculations'!$D164*H$80^'Manufacturing Cost Calculations'!$E164</f>
        <v>2.4333318476922128</v>
      </c>
      <c r="I82" s="90">
        <f ca="1">'Manufacturing Cost Calculations'!$D164*I$80^'Manufacturing Cost Calculations'!$E164</f>
        <v>2.3994171624232825</v>
      </c>
      <c r="J82" s="90">
        <f ca="1">'Manufacturing Cost Calculations'!$D164*J$80^'Manufacturing Cost Calculations'!$E164</f>
        <v>2.3994171624232825</v>
      </c>
      <c r="L82" s="321"/>
      <c r="M82" s="321"/>
      <c r="N82" s="332"/>
      <c r="O82" s="333"/>
      <c r="P82" s="90"/>
      <c r="Q82" s="90"/>
      <c r="R82" s="90"/>
      <c r="S82" s="90"/>
    </row>
    <row r="83" spans="1:19">
      <c r="A83" s="321" t="s">
        <v>72</v>
      </c>
      <c r="B83" s="321"/>
      <c r="C83" s="321"/>
      <c r="D83" s="332"/>
      <c r="E83" s="333"/>
      <c r="F83" s="76">
        <f ca="1">'Manufacturing Cost Calculations'!$D165*F$80^'Manufacturing Cost Calculations'!$E165</f>
        <v>476.60043189914137</v>
      </c>
      <c r="G83" s="76">
        <f ca="1">'Manufacturing Cost Calculations'!$D165*G$80^'Manufacturing Cost Calculations'!$E165</f>
        <v>482.50138232544691</v>
      </c>
      <c r="H83" s="76">
        <f ca="1">'Manufacturing Cost Calculations'!$D165*H$80^'Manufacturing Cost Calculations'!$E165</f>
        <v>482.18338153155105</v>
      </c>
      <c r="I83" s="76">
        <f ca="1">'Manufacturing Cost Calculations'!$D165*I$80^'Manufacturing Cost Calculations'!$E165</f>
        <v>476.41722600229497</v>
      </c>
      <c r="J83" s="76">
        <f ca="1">'Manufacturing Cost Calculations'!$D165*J$80^'Manufacturing Cost Calculations'!$E165</f>
        <v>476.41722600229497</v>
      </c>
      <c r="L83" s="321"/>
      <c r="M83" s="321"/>
      <c r="N83" s="332"/>
      <c r="O83" s="333"/>
      <c r="P83" s="76"/>
      <c r="Q83" s="76"/>
      <c r="R83" s="76"/>
      <c r="S83" s="76"/>
    </row>
    <row r="84" spans="1:19">
      <c r="A84" s="321" t="s">
        <v>140</v>
      </c>
      <c r="B84" s="321"/>
      <c r="C84" s="321"/>
      <c r="D84" s="332"/>
      <c r="E84" s="333"/>
      <c r="L84" s="321"/>
      <c r="M84" s="321"/>
      <c r="N84" s="332"/>
      <c r="O84" s="333"/>
    </row>
    <row r="85" spans="1:19">
      <c r="A85" s="321" t="s">
        <v>136</v>
      </c>
      <c r="B85" s="321"/>
      <c r="C85" s="321"/>
      <c r="D85" s="332"/>
      <c r="E85" s="333"/>
      <c r="F85" s="92">
        <f ca="1">F73</f>
        <v>3.4937073410832573</v>
      </c>
      <c r="G85" s="92">
        <f ca="1">G73</f>
        <v>3.5660990876145719</v>
      </c>
      <c r="H85" s="92">
        <f ca="1">H73</f>
        <v>3.5621827838415725</v>
      </c>
      <c r="I85" s="92">
        <f ca="1">I73</f>
        <v>3.491469317622109</v>
      </c>
      <c r="J85" s="92">
        <f ca="1">J73</f>
        <v>3.491469317622109</v>
      </c>
      <c r="L85" s="321"/>
      <c r="M85" s="321"/>
      <c r="N85" s="332"/>
      <c r="O85" s="333"/>
      <c r="P85" s="92"/>
      <c r="Q85" s="92"/>
      <c r="R85" s="92"/>
      <c r="S85" s="92"/>
    </row>
    <row r="86" spans="1:19">
      <c r="A86" s="321" t="s">
        <v>69</v>
      </c>
      <c r="B86" s="321"/>
      <c r="C86" s="321"/>
      <c r="D86" s="332">
        <v>14400</v>
      </c>
      <c r="E86" s="333">
        <v>0.5</v>
      </c>
      <c r="F86" s="76">
        <f ca="1">'Manufacturing Cost Calculations'!$D168*F$85^'Manufacturing Cost Calculations'!$E168</f>
        <v>13457.85230123128</v>
      </c>
      <c r="G86" s="76">
        <f ca="1">'Manufacturing Cost Calculations'!$D168*G$85^'Manufacturing Cost Calculations'!$E168</f>
        <v>13596.564886100437</v>
      </c>
      <c r="H86" s="76">
        <f ca="1">'Manufacturing Cost Calculations'!$D168*H$85^'Manufacturing Cost Calculations'!$E168</f>
        <v>13589.096935203132</v>
      </c>
      <c r="I86" s="76">
        <f ca="1">'Manufacturing Cost Calculations'!$D168*I$85^'Manufacturing Cost Calculations'!$E168</f>
        <v>13453.541148170994</v>
      </c>
      <c r="J86" s="76">
        <f ca="1">'Manufacturing Cost Calculations'!$D168*J$85^'Manufacturing Cost Calculations'!$E168</f>
        <v>13453.541148170994</v>
      </c>
      <c r="L86" s="321"/>
      <c r="M86" s="321"/>
      <c r="N86" s="332"/>
      <c r="O86" s="333"/>
      <c r="P86" s="76"/>
      <c r="Q86" s="76"/>
      <c r="R86" s="76"/>
      <c r="S86" s="76"/>
    </row>
    <row r="87" spans="1:19">
      <c r="A87" s="321" t="s">
        <v>71</v>
      </c>
      <c r="B87" s="321"/>
      <c r="C87" s="321"/>
      <c r="D87" s="334">
        <v>1</v>
      </c>
      <c r="E87" s="333">
        <v>0.7</v>
      </c>
      <c r="F87" s="90">
        <f ca="1">'Manufacturing Cost Calculations'!$D169*F$85^'Manufacturing Cost Calculations'!$E169</f>
        <v>2.4004936733895779</v>
      </c>
      <c r="G87" s="90">
        <f ca="1">'Manufacturing Cost Calculations'!$D169*G$85^'Manufacturing Cost Calculations'!$E169</f>
        <v>2.4352042016752522</v>
      </c>
      <c r="H87" s="90">
        <f ca="1">'Manufacturing Cost Calculations'!$D169*H$85^'Manufacturing Cost Calculations'!$E169</f>
        <v>2.4333318476922128</v>
      </c>
      <c r="I87" s="90">
        <f ca="1">'Manufacturing Cost Calculations'!$D169*I$85^'Manufacturing Cost Calculations'!$E169</f>
        <v>2.3994171624232825</v>
      </c>
      <c r="J87" s="90">
        <f ca="1">'Manufacturing Cost Calculations'!$D169*J$85^'Manufacturing Cost Calculations'!$E169</f>
        <v>2.3994171624232825</v>
      </c>
      <c r="L87" s="321"/>
      <c r="M87" s="321"/>
      <c r="N87" s="334"/>
      <c r="O87" s="333"/>
      <c r="P87" s="90"/>
      <c r="Q87" s="90"/>
      <c r="R87" s="90"/>
      <c r="S87" s="90"/>
    </row>
    <row r="88" spans="1:19">
      <c r="A88" s="321" t="s">
        <v>72</v>
      </c>
      <c r="B88" s="321"/>
      <c r="C88" s="321"/>
      <c r="D88" s="332">
        <v>225</v>
      </c>
      <c r="E88" s="333">
        <v>0.6</v>
      </c>
      <c r="F88" s="76">
        <f ca="1">'Manufacturing Cost Calculations'!$D170*F$85^'Manufacturing Cost Calculations'!$E170</f>
        <v>476.60043189914137</v>
      </c>
      <c r="G88" s="76">
        <f ca="1">'Manufacturing Cost Calculations'!$D170*G$85^'Manufacturing Cost Calculations'!$E170</f>
        <v>482.50138232544691</v>
      </c>
      <c r="H88" s="76">
        <f ca="1">'Manufacturing Cost Calculations'!$D170*H$85^'Manufacturing Cost Calculations'!$E170</f>
        <v>482.18338153155105</v>
      </c>
      <c r="I88" s="76">
        <f ca="1">'Manufacturing Cost Calculations'!$D170*I$85^'Manufacturing Cost Calculations'!$E170</f>
        <v>476.41722600229497</v>
      </c>
      <c r="J88" s="76">
        <f ca="1">'Manufacturing Cost Calculations'!$D170*J$85^'Manufacturing Cost Calculations'!$E170</f>
        <v>476.41722600229497</v>
      </c>
      <c r="L88" s="321"/>
      <c r="M88" s="321"/>
      <c r="N88" s="332"/>
      <c r="O88" s="333"/>
      <c r="P88" s="76"/>
      <c r="Q88" s="76"/>
      <c r="R88" s="76"/>
      <c r="S88" s="76"/>
    </row>
    <row r="89" spans="1:19">
      <c r="A89" s="321" t="s">
        <v>249</v>
      </c>
      <c r="B89" s="321"/>
      <c r="C89" s="321"/>
      <c r="D89" s="332"/>
      <c r="E89" s="333"/>
      <c r="F89" s="71"/>
      <c r="G89" s="71"/>
      <c r="H89" s="71"/>
      <c r="I89" s="71"/>
      <c r="J89" s="71"/>
      <c r="L89" s="321"/>
      <c r="M89" s="321"/>
      <c r="N89" s="332"/>
      <c r="O89" s="333"/>
      <c r="P89" s="71"/>
      <c r="Q89" s="71"/>
      <c r="R89" s="71"/>
      <c r="S89" s="71"/>
    </row>
    <row r="90" spans="1:19">
      <c r="A90" s="321" t="s">
        <v>136</v>
      </c>
      <c r="B90" s="321"/>
      <c r="C90" s="321"/>
      <c r="D90" s="332"/>
      <c r="E90" s="333"/>
      <c r="F90" s="93">
        <f ca="1">F80</f>
        <v>3.4937073410832573</v>
      </c>
      <c r="G90" s="93">
        <f ca="1">G80</f>
        <v>3.5660990876145719</v>
      </c>
      <c r="H90" s="93">
        <f ca="1">H80</f>
        <v>3.5621827838415725</v>
      </c>
      <c r="I90" s="93">
        <f ca="1">I80</f>
        <v>3.491469317622109</v>
      </c>
      <c r="J90" s="93">
        <f ca="1">J80</f>
        <v>3.491469317622109</v>
      </c>
      <c r="L90" s="321"/>
      <c r="M90" s="321"/>
      <c r="N90" s="332"/>
      <c r="O90" s="333"/>
      <c r="P90" s="93"/>
      <c r="Q90" s="93"/>
      <c r="R90" s="93"/>
      <c r="S90" s="93"/>
    </row>
    <row r="91" spans="1:19">
      <c r="A91" s="321" t="s">
        <v>69</v>
      </c>
      <c r="B91" s="321"/>
      <c r="C91" s="321"/>
      <c r="D91" s="332">
        <v>7200</v>
      </c>
      <c r="E91" s="333">
        <v>0.5</v>
      </c>
      <c r="F91" s="76">
        <f ca="1">'Manufacturing Cost Calculations'!$D173*F$90^'Manufacturing Cost Calculations'!$E173</f>
        <v>69134.217793619842</v>
      </c>
      <c r="G91" s="76">
        <f ca="1">'Manufacturing Cost Calculations'!$D173*G$90^'Manufacturing Cost Calculations'!$E173</f>
        <v>70133.881008247263</v>
      </c>
      <c r="H91" s="76">
        <f ca="1">'Manufacturing Cost Calculations'!$D173*H$90^'Manufacturing Cost Calculations'!$E173</f>
        <v>70079.95721353573</v>
      </c>
      <c r="I91" s="76">
        <f ca="1">'Manufacturing Cost Calculations'!$D173*I$90^'Manufacturing Cost Calculations'!$E173</f>
        <v>69103.214277790539</v>
      </c>
      <c r="J91" s="76">
        <f ca="1">'Manufacturing Cost Calculations'!$D173*J$90^'Manufacturing Cost Calculations'!$E173</f>
        <v>69103.214277790539</v>
      </c>
      <c r="L91" s="321"/>
      <c r="M91" s="321"/>
      <c r="N91" s="332"/>
      <c r="O91" s="333"/>
      <c r="P91" s="76"/>
      <c r="Q91" s="76"/>
      <c r="R91" s="76"/>
      <c r="S91" s="76"/>
    </row>
    <row r="92" spans="1:19">
      <c r="A92" s="321" t="s">
        <v>71</v>
      </c>
      <c r="B92" s="321"/>
      <c r="C92" s="321"/>
      <c r="D92" s="334">
        <v>1</v>
      </c>
      <c r="E92" s="333">
        <v>0.7</v>
      </c>
      <c r="F92" s="90">
        <f ca="1">'Manufacturing Cost Calculations'!$D174*F$90^'Manufacturing Cost Calculations'!$E174</f>
        <v>3.6007405100843668</v>
      </c>
      <c r="G92" s="90">
        <f ca="1">'Manufacturing Cost Calculations'!$D174*G$90^'Manufacturing Cost Calculations'!$E174</f>
        <v>3.6528063025128783</v>
      </c>
      <c r="H92" s="90">
        <f ca="1">'Manufacturing Cost Calculations'!$D174*H$90^'Manufacturing Cost Calculations'!$E174</f>
        <v>3.6499977715383194</v>
      </c>
      <c r="I92" s="90">
        <f ca="1">'Manufacturing Cost Calculations'!$D174*I$90^'Manufacturing Cost Calculations'!$E174</f>
        <v>3.5991257436349238</v>
      </c>
      <c r="J92" s="90">
        <f ca="1">'Manufacturing Cost Calculations'!$D174*J$90^'Manufacturing Cost Calculations'!$E174</f>
        <v>3.5991257436349238</v>
      </c>
      <c r="L92" s="321"/>
      <c r="M92" s="321"/>
      <c r="N92" s="334"/>
      <c r="O92" s="333"/>
      <c r="P92" s="90"/>
      <c r="Q92" s="90"/>
      <c r="R92" s="90"/>
      <c r="S92" s="90"/>
    </row>
    <row r="93" spans="1:19">
      <c r="A93" s="321" t="s">
        <v>72</v>
      </c>
      <c r="B93" s="321"/>
      <c r="C93" s="321"/>
      <c r="D93" s="332">
        <v>225</v>
      </c>
      <c r="E93" s="333">
        <v>0.6</v>
      </c>
      <c r="F93" s="76">
        <f ca="1">'Manufacturing Cost Calculations'!$D175*F$90^'Manufacturing Cost Calculations'!$E175</f>
        <v>1906.4017275965655</v>
      </c>
      <c r="G93" s="76">
        <f ca="1">'Manufacturing Cost Calculations'!$D175*G$90^'Manufacturing Cost Calculations'!$E175</f>
        <v>1930.0055293017876</v>
      </c>
      <c r="H93" s="76">
        <f ca="1">'Manufacturing Cost Calculations'!$D175*H$90^'Manufacturing Cost Calculations'!$E175</f>
        <v>1928.7335261262042</v>
      </c>
      <c r="I93" s="76">
        <f ca="1">'Manufacturing Cost Calculations'!$D175*I$90^'Manufacturing Cost Calculations'!$E175</f>
        <v>1905.6689040091799</v>
      </c>
      <c r="J93" s="76">
        <f ca="1">'Manufacturing Cost Calculations'!$D175*J$90^'Manufacturing Cost Calculations'!$E175</f>
        <v>1905.6689040091799</v>
      </c>
      <c r="L93" s="321"/>
      <c r="M93" s="321"/>
      <c r="N93" s="332"/>
      <c r="O93" s="333"/>
      <c r="P93" s="76"/>
      <c r="Q93" s="76"/>
      <c r="R93" s="76"/>
      <c r="S93" s="76"/>
    </row>
    <row r="94" spans="1:19">
      <c r="A94" s="7" t="s">
        <v>141</v>
      </c>
      <c r="D94" s="335"/>
      <c r="E94" s="336"/>
      <c r="F94" s="71"/>
      <c r="G94" s="71"/>
      <c r="H94" s="71"/>
      <c r="I94" s="71"/>
      <c r="J94" s="71"/>
      <c r="N94" s="335"/>
      <c r="O94" s="336"/>
      <c r="P94" s="71"/>
      <c r="Q94" s="71"/>
      <c r="R94" s="71"/>
      <c r="S94" s="71"/>
    </row>
    <row r="95" spans="1:19">
      <c r="A95" s="7" t="s">
        <v>136</v>
      </c>
      <c r="D95" s="335"/>
      <c r="E95" s="336"/>
      <c r="F95" s="91">
        <f ca="1">F90</f>
        <v>3.4937073410832573</v>
      </c>
      <c r="G95" s="91">
        <f ca="1">G90</f>
        <v>3.5660990876145719</v>
      </c>
      <c r="H95" s="91">
        <f ca="1">H90</f>
        <v>3.5621827838415725</v>
      </c>
      <c r="I95" s="91">
        <f ca="1">I90</f>
        <v>3.491469317622109</v>
      </c>
      <c r="J95" s="91">
        <f ca="1">J90</f>
        <v>3.491469317622109</v>
      </c>
      <c r="N95" s="335"/>
      <c r="O95" s="336"/>
      <c r="P95" s="91"/>
      <c r="Q95" s="91"/>
      <c r="R95" s="91"/>
      <c r="S95" s="91"/>
    </row>
    <row r="96" spans="1:19">
      <c r="A96" s="7" t="s">
        <v>69</v>
      </c>
      <c r="D96" s="336">
        <v>28800</v>
      </c>
      <c r="E96" s="337">
        <v>0.7</v>
      </c>
      <c r="F96" s="76">
        <f ca="1">'Manufacturing Cost Calculations'!$D178*F$95^'Manufacturing Cost Calculations'!$E178</f>
        <v>53831.409204925119</v>
      </c>
      <c r="G96" s="76">
        <f ca="1">'Manufacturing Cost Calculations'!$D178*G$95^'Manufacturing Cost Calculations'!$E178</f>
        <v>54386.25954440175</v>
      </c>
      <c r="H96" s="76">
        <f ca="1">'Manufacturing Cost Calculations'!$D178*H$95^'Manufacturing Cost Calculations'!$E178</f>
        <v>54356.387740812526</v>
      </c>
      <c r="I96" s="76">
        <f ca="1">'Manufacturing Cost Calculations'!$D178*I$95^'Manufacturing Cost Calculations'!$E178</f>
        <v>53814.164592683977</v>
      </c>
      <c r="J96" s="76">
        <f ca="1">'Manufacturing Cost Calculations'!$D178*J$95^'Manufacturing Cost Calculations'!$E178</f>
        <v>53814.164592683977</v>
      </c>
      <c r="N96" s="336"/>
      <c r="O96" s="337"/>
      <c r="P96" s="76"/>
      <c r="Q96" s="76"/>
      <c r="R96" s="76"/>
      <c r="S96" s="76"/>
    </row>
    <row r="97" spans="1:19">
      <c r="A97" s="7" t="s">
        <v>71</v>
      </c>
      <c r="D97" s="337">
        <v>1.5</v>
      </c>
      <c r="E97" s="337">
        <v>0.7</v>
      </c>
      <c r="F97" s="90">
        <f ca="1">'Manufacturing Cost Calculations'!$D179*F$95^'Manufacturing Cost Calculations'!$E179</f>
        <v>4.8009873467791557</v>
      </c>
      <c r="G97" s="90">
        <f ca="1">'Manufacturing Cost Calculations'!$D179*G$95^'Manufacturing Cost Calculations'!$E179</f>
        <v>4.8704084033505044</v>
      </c>
      <c r="H97" s="90">
        <f ca="1">'Manufacturing Cost Calculations'!$D179*H$95^'Manufacturing Cost Calculations'!$E179</f>
        <v>4.8666636953844256</v>
      </c>
      <c r="I97" s="90">
        <f ca="1">'Manufacturing Cost Calculations'!$D179*I$95^'Manufacturing Cost Calculations'!$E179</f>
        <v>4.798834324846565</v>
      </c>
      <c r="J97" s="90">
        <f ca="1">'Manufacturing Cost Calculations'!$D179*J$95^'Manufacturing Cost Calculations'!$E179</f>
        <v>4.798834324846565</v>
      </c>
      <c r="N97" s="337"/>
      <c r="O97" s="337"/>
      <c r="P97" s="90"/>
      <c r="Q97" s="90"/>
      <c r="R97" s="90"/>
      <c r="S97" s="90"/>
    </row>
    <row r="98" spans="1:19">
      <c r="A98" s="7" t="s">
        <v>72</v>
      </c>
      <c r="D98" s="336">
        <v>900</v>
      </c>
      <c r="E98" s="337">
        <v>0.6</v>
      </c>
      <c r="F98" s="76">
        <f ca="1">'Manufacturing Cost Calculations'!$D180*F$95^'Manufacturing Cost Calculations'!$E180</f>
        <v>635.46724253218849</v>
      </c>
      <c r="G98" s="76">
        <f ca="1">'Manufacturing Cost Calculations'!$D180*G$95^'Manufacturing Cost Calculations'!$E180</f>
        <v>643.33517643392918</v>
      </c>
      <c r="H98" s="76">
        <f ca="1">'Manufacturing Cost Calculations'!$D180*H$95^'Manufacturing Cost Calculations'!$E180</f>
        <v>642.9111753754014</v>
      </c>
      <c r="I98" s="76">
        <f ca="1">'Manufacturing Cost Calculations'!$D180*I$95^'Manufacturing Cost Calculations'!$E180</f>
        <v>635.22296800305992</v>
      </c>
      <c r="J98" s="76">
        <f ca="1">'Manufacturing Cost Calculations'!$D180*J$95^'Manufacturing Cost Calculations'!$E180</f>
        <v>635.22296800305992</v>
      </c>
      <c r="N98" s="336"/>
      <c r="O98" s="337"/>
      <c r="P98" s="76"/>
      <c r="Q98" s="76"/>
      <c r="R98" s="76"/>
      <c r="S98" s="76"/>
    </row>
    <row r="99" spans="1:19">
      <c r="A99" s="321" t="s">
        <v>335</v>
      </c>
      <c r="D99" s="336"/>
      <c r="E99" s="337"/>
      <c r="N99" s="336"/>
      <c r="O99" s="337"/>
    </row>
    <row r="100" spans="1:19">
      <c r="A100" s="7" t="s">
        <v>136</v>
      </c>
      <c r="D100" s="336"/>
      <c r="E100" s="337"/>
      <c r="F100" s="91">
        <f ca="1">'Error Bars'!F95</f>
        <v>3.4937073410832573</v>
      </c>
      <c r="G100" s="91">
        <f ca="1">'Error Bars'!G95</f>
        <v>3.5660990876145719</v>
      </c>
      <c r="H100" s="91">
        <f ca="1">'Error Bars'!H95</f>
        <v>3.5621827838415725</v>
      </c>
      <c r="I100" s="91">
        <f ca="1">'Error Bars'!I95</f>
        <v>3.491469317622109</v>
      </c>
      <c r="J100" s="91">
        <f ca="1">'Error Bars'!J95</f>
        <v>3.491469317622109</v>
      </c>
      <c r="N100" s="336"/>
      <c r="O100" s="337"/>
      <c r="P100" s="91"/>
      <c r="Q100" s="91"/>
      <c r="R100" s="91"/>
      <c r="S100" s="91"/>
    </row>
    <row r="101" spans="1:19">
      <c r="A101" s="7" t="s">
        <v>69</v>
      </c>
      <c r="D101" s="336">
        <v>28800</v>
      </c>
      <c r="E101" s="337">
        <v>0.5</v>
      </c>
      <c r="F101" s="76">
        <f ca="1">'Manufacturing Cost Calculations'!$D183*F$100^'Manufacturing Cost Calculations'!$E183</f>
        <v>26915.70460246256</v>
      </c>
      <c r="G101" s="76">
        <f ca="1">'Manufacturing Cost Calculations'!$D183*G$100^'Manufacturing Cost Calculations'!$E183</f>
        <v>27193.129772200875</v>
      </c>
      <c r="H101" s="76">
        <f ca="1">'Manufacturing Cost Calculations'!$D183*H$100^'Manufacturing Cost Calculations'!$E183</f>
        <v>27178.193870406263</v>
      </c>
      <c r="I101" s="76">
        <f ca="1">'Manufacturing Cost Calculations'!$D183*I$100^'Manufacturing Cost Calculations'!$E183</f>
        <v>26907.082296341989</v>
      </c>
      <c r="J101" s="76">
        <f ca="1">'Manufacturing Cost Calculations'!$D183*J$100^'Manufacturing Cost Calculations'!$E183</f>
        <v>26907.082296341989</v>
      </c>
      <c r="N101" s="336"/>
      <c r="O101" s="337"/>
      <c r="P101" s="76"/>
      <c r="Q101" s="76"/>
      <c r="R101" s="76"/>
      <c r="S101" s="76"/>
    </row>
    <row r="102" spans="1:19">
      <c r="A102" s="7" t="s">
        <v>71</v>
      </c>
      <c r="D102" s="136">
        <v>2</v>
      </c>
      <c r="E102" s="136">
        <v>0.7</v>
      </c>
      <c r="F102" s="90">
        <f ca="1">'Manufacturing Cost Calculations'!$D184*F$100^'Manufacturing Cost Calculations'!$E184</f>
        <v>3.8407898774233247</v>
      </c>
      <c r="G102" s="90">
        <f ca="1">'Manufacturing Cost Calculations'!$D184*G$100^'Manufacturing Cost Calculations'!$E184</f>
        <v>3.8963267226804037</v>
      </c>
      <c r="H102" s="90">
        <f ca="1">'Manufacturing Cost Calculations'!$D184*H$100^'Manufacturing Cost Calculations'!$E184</f>
        <v>3.8933309563075404</v>
      </c>
      <c r="I102" s="90">
        <f ca="1">'Manufacturing Cost Calculations'!$D184*I$100^'Manufacturing Cost Calculations'!$E184</f>
        <v>3.8390674598772523</v>
      </c>
      <c r="J102" s="90">
        <f ca="1">'Manufacturing Cost Calculations'!$D184*J$100^'Manufacturing Cost Calculations'!$E184</f>
        <v>3.8390674598772523</v>
      </c>
      <c r="N102" s="136"/>
      <c r="O102" s="136"/>
      <c r="P102" s="90"/>
      <c r="Q102" s="90"/>
      <c r="R102" s="90"/>
      <c r="S102" s="90"/>
    </row>
    <row r="103" spans="1:19">
      <c r="A103" s="7" t="s">
        <v>72</v>
      </c>
      <c r="D103" s="100">
        <v>300</v>
      </c>
      <c r="E103" s="136">
        <v>0.6</v>
      </c>
      <c r="F103" s="76">
        <f ca="1">'Manufacturing Cost Calculations'!$D185*F$100^'Manufacturing Cost Calculations'!$E185</f>
        <v>635.46724253218849</v>
      </c>
      <c r="G103" s="76">
        <f ca="1">'Manufacturing Cost Calculations'!$D185*G$100^'Manufacturing Cost Calculations'!$E185</f>
        <v>643.33517643392918</v>
      </c>
      <c r="H103" s="76">
        <f ca="1">'Manufacturing Cost Calculations'!$D185*H$100^'Manufacturing Cost Calculations'!$E185</f>
        <v>642.9111753754014</v>
      </c>
      <c r="I103" s="76">
        <f ca="1">'Manufacturing Cost Calculations'!$D185*I$100^'Manufacturing Cost Calculations'!$E185</f>
        <v>635.22296800305992</v>
      </c>
      <c r="J103" s="76">
        <f ca="1">'Manufacturing Cost Calculations'!$D185*J$100^'Manufacturing Cost Calculations'!$E185</f>
        <v>635.22296800305992</v>
      </c>
      <c r="N103" s="100"/>
      <c r="O103" s="136"/>
      <c r="P103" s="76"/>
      <c r="Q103" s="76"/>
      <c r="R103" s="76"/>
      <c r="S103" s="76"/>
    </row>
    <row r="104" spans="1:19">
      <c r="A104" s="340" t="s">
        <v>703</v>
      </c>
      <c r="B104" s="331"/>
      <c r="C104" s="331"/>
      <c r="D104" s="331"/>
      <c r="E104" s="331"/>
      <c r="F104" s="76"/>
      <c r="G104" s="76"/>
      <c r="H104" s="76"/>
      <c r="I104" s="76"/>
      <c r="J104" s="76"/>
      <c r="N104" s="100"/>
      <c r="O104" s="136"/>
      <c r="P104" s="76"/>
      <c r="Q104" s="76"/>
      <c r="R104" s="76"/>
      <c r="S104" s="76"/>
    </row>
    <row r="105" spans="1:19">
      <c r="A105" s="10"/>
      <c r="B105" s="10"/>
      <c r="C105" s="10"/>
      <c r="D105" s="72" t="s">
        <v>43</v>
      </c>
      <c r="E105" s="73"/>
      <c r="F105" s="328"/>
      <c r="G105" s="328"/>
      <c r="H105" s="328"/>
      <c r="I105" s="328"/>
      <c r="J105" s="328"/>
      <c r="K105" s="10"/>
      <c r="L105" s="10"/>
      <c r="M105" s="10"/>
      <c r="N105" s="72"/>
      <c r="O105" s="73"/>
      <c r="P105" s="328"/>
      <c r="Q105" s="328"/>
      <c r="R105" s="328"/>
      <c r="S105" s="328"/>
    </row>
    <row r="106" spans="1:19">
      <c r="A106" s="74" t="s">
        <v>135</v>
      </c>
      <c r="B106" s="329"/>
      <c r="C106" s="329"/>
      <c r="D106" s="75" t="s">
        <v>66</v>
      </c>
      <c r="E106" s="64" t="s">
        <v>45</v>
      </c>
      <c r="K106" s="156"/>
      <c r="L106" s="64"/>
      <c r="M106" s="64"/>
      <c r="N106" s="339"/>
      <c r="O106" s="64"/>
      <c r="P106" s="430"/>
      <c r="Q106" s="430"/>
      <c r="R106" s="430"/>
      <c r="S106" s="430"/>
    </row>
    <row r="107" spans="1:19">
      <c r="A107" s="321" t="s">
        <v>81</v>
      </c>
      <c r="B107" s="321"/>
      <c r="C107" s="321"/>
      <c r="D107" s="332"/>
      <c r="E107" s="333"/>
      <c r="F107" s="71"/>
      <c r="K107" s="321"/>
      <c r="L107" s="321"/>
      <c r="M107" s="321"/>
      <c r="N107" s="332"/>
      <c r="O107" s="333"/>
    </row>
    <row r="108" spans="1:19">
      <c r="A108" s="321" t="s">
        <v>139</v>
      </c>
      <c r="B108" s="321"/>
      <c r="C108" s="321"/>
      <c r="D108" s="332"/>
      <c r="E108" s="333"/>
      <c r="F108" s="71"/>
      <c r="K108" s="321"/>
      <c r="L108" s="321"/>
      <c r="M108" s="321"/>
      <c r="N108" s="332"/>
      <c r="O108" s="333"/>
    </row>
    <row r="109" spans="1:19">
      <c r="A109" s="321" t="s">
        <v>136</v>
      </c>
      <c r="B109" s="321"/>
      <c r="C109" s="321"/>
      <c r="D109" s="332">
        <v>14400</v>
      </c>
      <c r="E109" s="333">
        <v>0.5</v>
      </c>
      <c r="F109" s="91">
        <f ca="1">F60/'Cost Input'!$E$11</f>
        <v>4.9910104872617946</v>
      </c>
      <c r="G109" s="91">
        <f ca="1">G60/'Cost Input'!$E$11</f>
        <v>5.0944272680208176</v>
      </c>
      <c r="H109" s="91">
        <f ca="1">H60/'Cost Input'!$E$11</f>
        <v>5.0888325483451036</v>
      </c>
      <c r="I109" s="91">
        <f ca="1">I60/'Cost Input'!$E$11</f>
        <v>4.9878133108887273</v>
      </c>
      <c r="J109" s="91">
        <f ca="1">J60/'Cost Input'!$E$11</f>
        <v>4.9878133108887273</v>
      </c>
      <c r="L109" s="321"/>
      <c r="M109" s="321"/>
      <c r="N109" s="332"/>
      <c r="O109" s="333"/>
      <c r="P109" s="91"/>
      <c r="Q109" s="91"/>
      <c r="R109" s="91"/>
      <c r="S109" s="91"/>
    </row>
    <row r="110" spans="1:19" ht="14.25">
      <c r="A110" s="321" t="s">
        <v>915</v>
      </c>
      <c r="B110" s="321"/>
      <c r="C110" s="321"/>
      <c r="D110" s="334">
        <v>2</v>
      </c>
      <c r="E110" s="333">
        <v>0.7</v>
      </c>
      <c r="F110" s="91">
        <f ca="1">'Manufacturing Cost Calculations'!F145</f>
        <v>0.29457852407998114</v>
      </c>
      <c r="G110" s="91">
        <f ca="1">'Manufacturing Cost Calculations'!G145</f>
        <v>0.29457852407998764</v>
      </c>
      <c r="H110" s="91">
        <f ca="1">'Manufacturing Cost Calculations'!H145</f>
        <v>0.29457852407998775</v>
      </c>
      <c r="I110" s="91">
        <f ca="1">'Manufacturing Cost Calculations'!I145</f>
        <v>0.29457852407997304</v>
      </c>
      <c r="J110" s="91">
        <f ca="1">'Manufacturing Cost Calculations'!J145</f>
        <v>0.29457852407997304</v>
      </c>
      <c r="L110" s="321"/>
      <c r="M110" s="321"/>
      <c r="N110" s="334"/>
      <c r="O110" s="333"/>
      <c r="P110" s="76"/>
      <c r="Q110" s="76"/>
      <c r="R110" s="76"/>
      <c r="S110" s="76"/>
    </row>
    <row r="111" spans="1:19">
      <c r="A111" s="321" t="s">
        <v>69</v>
      </c>
      <c r="B111" s="321"/>
      <c r="C111" s="321"/>
      <c r="D111" s="332">
        <v>600</v>
      </c>
      <c r="E111" s="333">
        <v>0.6</v>
      </c>
      <c r="F111" s="76">
        <f ca="1">'Manufacturing Cost Calculations'!$D146*F$109^'Manufacturing Cost Calculations'!$E146</f>
        <v>64340.840362513314</v>
      </c>
      <c r="G111" s="76">
        <f ca="1">'Manufacturing Cost Calculations'!$D146*G$109^'Manufacturing Cost Calculations'!$E146</f>
        <v>65004.013362154707</v>
      </c>
      <c r="H111" s="76">
        <f ca="1">'Manufacturing Cost Calculations'!$D146*H$109^'Manufacturing Cost Calculations'!$E146</f>
        <v>64968.309727892432</v>
      </c>
      <c r="I111" s="76">
        <f ca="1">'Manufacturing Cost Calculations'!$D146*I$109^'Manufacturing Cost Calculations'!$E146</f>
        <v>64320.229108605839</v>
      </c>
      <c r="J111" s="76">
        <f ca="1">'Manufacturing Cost Calculations'!$D146*J$109^'Manufacturing Cost Calculations'!$E146</f>
        <v>64320.229108605839</v>
      </c>
      <c r="L111" s="321"/>
      <c r="M111" s="321"/>
      <c r="N111" s="332"/>
      <c r="O111" s="333"/>
      <c r="P111" s="76"/>
      <c r="Q111" s="76"/>
      <c r="R111" s="76"/>
      <c r="S111" s="76"/>
    </row>
    <row r="112" spans="1:19">
      <c r="A112" s="321" t="s">
        <v>71</v>
      </c>
      <c r="B112" s="321"/>
      <c r="C112" s="321"/>
      <c r="D112" s="332"/>
      <c r="E112" s="333"/>
      <c r="F112" s="90">
        <f ca="1">'Manufacturing Cost Calculations'!$D147*F$109^'Manufacturing Cost Calculations'!$E147*(F110/'Manufacturing Cost Calculations'!$D145)^0.2</f>
        <v>29.218227041180686</v>
      </c>
      <c r="G112" s="90">
        <f ca="1">'Manufacturing Cost Calculations'!$D147*G$109^'Manufacturing Cost Calculations'!$E147*(G110/'Manufacturing Cost Calculations'!$D145)^0.2</f>
        <v>29.701567277612988</v>
      </c>
      <c r="H112" s="90">
        <f ca="1">'Manufacturing Cost Calculations'!$D147*H$109^'Manufacturing Cost Calculations'!$E147*(H110/'Manufacturing Cost Calculations'!$D145)^0.2</f>
        <v>29.675469710025123</v>
      </c>
      <c r="I112" s="90">
        <f ca="1">'Manufacturing Cost Calculations'!$D147*I$109^'Manufacturing Cost Calculations'!$E147*(I110/'Manufacturing Cost Calculations'!$D145)^0.2</f>
        <v>29.203252628920325</v>
      </c>
      <c r="J112" s="90">
        <f ca="1">'Manufacturing Cost Calculations'!$D147*J$109^'Manufacturing Cost Calculations'!$E147*(J110/'Manufacturing Cost Calculations'!$D145)^0.2</f>
        <v>29.203252628920325</v>
      </c>
      <c r="L112" s="321"/>
      <c r="M112" s="321"/>
      <c r="N112" s="332"/>
      <c r="O112" s="333"/>
      <c r="P112" s="90"/>
      <c r="Q112" s="90"/>
      <c r="R112" s="90"/>
      <c r="S112" s="90"/>
    </row>
    <row r="113" spans="1:19">
      <c r="A113" s="321" t="s">
        <v>72</v>
      </c>
      <c r="B113" s="321"/>
      <c r="C113" s="321"/>
      <c r="D113" s="332"/>
      <c r="E113" s="333"/>
      <c r="F113" s="76">
        <f ca="1">'Manufacturing Cost Calculations'!$D148*F$109^'Manufacturing Cost Calculations'!$E148</f>
        <v>2714.0137858290018</v>
      </c>
      <c r="G113" s="76">
        <f ca="1">'Manufacturing Cost Calculations'!$D148*G$109^'Manufacturing Cost Calculations'!$E148</f>
        <v>2758.910146688745</v>
      </c>
      <c r="H113" s="76">
        <f ca="1">'Manufacturing Cost Calculations'!$D148*H$109^'Manufacturing Cost Calculations'!$E148</f>
        <v>2756.4860037689768</v>
      </c>
      <c r="I113" s="76">
        <f ca="1">'Manufacturing Cost Calculations'!$D148*I$109^'Manufacturing Cost Calculations'!$E148</f>
        <v>2712.6228471778786</v>
      </c>
      <c r="J113" s="76">
        <f ca="1">'Manufacturing Cost Calculations'!$D148*J$109^'Manufacturing Cost Calculations'!$E148</f>
        <v>2712.6228471778786</v>
      </c>
      <c r="L113" s="321"/>
      <c r="M113" s="321"/>
      <c r="N113" s="332"/>
      <c r="O113" s="333"/>
      <c r="P113" s="76"/>
      <c r="Q113" s="76"/>
      <c r="R113" s="76"/>
      <c r="S113" s="76"/>
    </row>
    <row r="114" spans="1:19">
      <c r="A114" s="321" t="s">
        <v>140</v>
      </c>
      <c r="B114" s="321"/>
      <c r="C114" s="321"/>
      <c r="D114" s="332"/>
      <c r="E114" s="333"/>
      <c r="F114" s="71"/>
      <c r="G114" s="71"/>
      <c r="H114" s="71"/>
      <c r="I114" s="71"/>
      <c r="J114" s="71"/>
      <c r="L114" s="321"/>
      <c r="M114" s="321"/>
      <c r="N114" s="332"/>
      <c r="O114" s="333"/>
      <c r="P114" s="71"/>
      <c r="Q114" s="71"/>
      <c r="R114" s="71"/>
      <c r="S114" s="71"/>
    </row>
    <row r="115" spans="1:19">
      <c r="A115" s="321" t="s">
        <v>136</v>
      </c>
      <c r="B115" s="321"/>
      <c r="C115" s="321"/>
      <c r="D115" s="332">
        <v>2309021.4751825081</v>
      </c>
      <c r="E115" s="334">
        <v>0.2</v>
      </c>
      <c r="F115" s="91">
        <f ca="1">F109</f>
        <v>4.9910104872617946</v>
      </c>
      <c r="G115" s="91">
        <f ca="1">G109</f>
        <v>5.0944272680208176</v>
      </c>
      <c r="H115" s="91">
        <f ca="1">H109</f>
        <v>5.0888325483451036</v>
      </c>
      <c r="I115" s="91">
        <f ca="1">I109</f>
        <v>4.9878133108887273</v>
      </c>
      <c r="J115" s="91">
        <f ca="1">J109</f>
        <v>4.9878133108887273</v>
      </c>
      <c r="L115" s="321"/>
      <c r="M115" s="321"/>
      <c r="N115" s="332"/>
      <c r="O115" s="334"/>
      <c r="P115" s="91"/>
      <c r="Q115" s="91"/>
      <c r="R115" s="91"/>
      <c r="S115" s="91"/>
    </row>
    <row r="116" spans="1:19" ht="14.25">
      <c r="A116" s="321" t="s">
        <v>915</v>
      </c>
      <c r="B116" s="321"/>
      <c r="C116" s="321"/>
      <c r="D116" s="332">
        <v>28800</v>
      </c>
      <c r="E116" s="333">
        <v>0.5</v>
      </c>
      <c r="F116" s="91">
        <f ca="1">'Manufacturing Cost Calculations'!F151</f>
        <v>0.18711602585747616</v>
      </c>
      <c r="G116" s="91">
        <f ca="1">'Manufacturing Cost Calculations'!G151</f>
        <v>0.18702182852356078</v>
      </c>
      <c r="H116" s="91">
        <f ca="1">'Manufacturing Cost Calculations'!H151</f>
        <v>0.18812316825566364</v>
      </c>
      <c r="I116" s="91">
        <f ca="1">'Manufacturing Cost Calculations'!I151</f>
        <v>0.1881757773686617</v>
      </c>
      <c r="J116" s="91">
        <f ca="1">'Manufacturing Cost Calculations'!J151</f>
        <v>0.1881757773686617</v>
      </c>
      <c r="L116" s="321"/>
      <c r="M116" s="321"/>
      <c r="N116" s="332"/>
      <c r="O116" s="333"/>
      <c r="P116" s="76"/>
      <c r="Q116" s="76"/>
      <c r="R116" s="76"/>
      <c r="S116" s="76"/>
    </row>
    <row r="117" spans="1:19">
      <c r="A117" s="321" t="s">
        <v>69</v>
      </c>
      <c r="B117" s="321"/>
      <c r="C117" s="321"/>
      <c r="D117" s="334">
        <v>8</v>
      </c>
      <c r="E117" s="333">
        <v>0.8</v>
      </c>
      <c r="F117" s="76">
        <f ca="1">'Manufacturing Cost Calculations'!$D152*F$115^'Manufacturing Cost Calculations'!$E152</f>
        <v>64340.840362513314</v>
      </c>
      <c r="G117" s="76">
        <f ca="1">'Manufacturing Cost Calculations'!$D152*G$115^'Manufacturing Cost Calculations'!$E152</f>
        <v>65004.013362154707</v>
      </c>
      <c r="H117" s="76">
        <f ca="1">'Manufacturing Cost Calculations'!$D152*H$115^'Manufacturing Cost Calculations'!$E152</f>
        <v>64968.309727892432</v>
      </c>
      <c r="I117" s="76">
        <f ca="1">'Manufacturing Cost Calculations'!$D152*I$115^'Manufacturing Cost Calculations'!$E152</f>
        <v>64320.229108605839</v>
      </c>
      <c r="J117" s="76">
        <f ca="1">'Manufacturing Cost Calculations'!$D152*J$115^'Manufacturing Cost Calculations'!$E152</f>
        <v>64320.229108605839</v>
      </c>
      <c r="L117" s="321"/>
      <c r="M117" s="321"/>
      <c r="N117" s="334"/>
      <c r="O117" s="333"/>
      <c r="P117" s="76"/>
      <c r="Q117" s="76"/>
      <c r="R117" s="76"/>
      <c r="S117" s="76"/>
    </row>
    <row r="118" spans="1:19">
      <c r="A118" s="321" t="s">
        <v>71</v>
      </c>
      <c r="B118" s="321"/>
      <c r="C118" s="321"/>
      <c r="D118" s="332">
        <v>750</v>
      </c>
      <c r="E118" s="333">
        <v>0.8</v>
      </c>
      <c r="F118" s="90">
        <f ca="1">'Manufacturing Cost Calculations'!$D153*F$109^'Manufacturing Cost Calculations'!$E153*(F116/'Manufacturing Cost Calculations'!$D151)^0.2</f>
        <v>28.983289299249812</v>
      </c>
      <c r="G118" s="90">
        <f ca="1">'Manufacturing Cost Calculations'!$D153*G$109^'Manufacturing Cost Calculations'!$E153*(G116/'Manufacturing Cost Calculations'!$D151)^0.2</f>
        <v>29.459776091505518</v>
      </c>
      <c r="H118" s="90">
        <f ca="1">'Manufacturing Cost Calculations'!$D153*H$109^'Manufacturing Cost Calculations'!$E153*(H116/'Manufacturing Cost Calculations'!$D151)^0.2</f>
        <v>29.468475841313932</v>
      </c>
      <c r="I118" s="90">
        <f ca="1">'Manufacturing Cost Calculations'!$D153*I$109^'Manufacturing Cost Calculations'!$E153*(I116/'Manufacturing Cost Calculations'!$D151)^0.2</f>
        <v>29.001174371210297</v>
      </c>
      <c r="J118" s="90">
        <f ca="1">'Manufacturing Cost Calculations'!$D153*J$109^'Manufacturing Cost Calculations'!$E153*(J116/'Manufacturing Cost Calculations'!$D151)^0.2</f>
        <v>29.001174371210297</v>
      </c>
      <c r="L118" s="321"/>
      <c r="M118" s="321"/>
      <c r="N118" s="332"/>
      <c r="O118" s="333"/>
      <c r="P118" s="90"/>
      <c r="Q118" s="90"/>
      <c r="R118" s="90"/>
      <c r="S118" s="90"/>
    </row>
    <row r="119" spans="1:19">
      <c r="A119" s="321" t="s">
        <v>72</v>
      </c>
      <c r="B119" s="321"/>
      <c r="C119" s="321"/>
      <c r="D119" s="332"/>
      <c r="E119" s="333"/>
      <c r="F119" s="76">
        <f ca="1">'Manufacturing Cost Calculations'!$D154*F$115^'Manufacturing Cost Calculations'!$E154</f>
        <v>2714.0137858290018</v>
      </c>
      <c r="G119" s="76">
        <f ca="1">'Manufacturing Cost Calculations'!$D154*G$115^'Manufacturing Cost Calculations'!$E154</f>
        <v>2758.910146688745</v>
      </c>
      <c r="H119" s="76">
        <f ca="1">'Manufacturing Cost Calculations'!$D154*H$115^'Manufacturing Cost Calculations'!$E154</f>
        <v>2756.4860037689768</v>
      </c>
      <c r="I119" s="76">
        <f ca="1">'Manufacturing Cost Calculations'!$D154*I$115^'Manufacturing Cost Calculations'!$E154</f>
        <v>2712.6228471778786</v>
      </c>
      <c r="J119" s="76">
        <f ca="1">'Manufacturing Cost Calculations'!$D154*J$115^'Manufacturing Cost Calculations'!$E154</f>
        <v>2712.6228471778786</v>
      </c>
      <c r="L119" s="321"/>
      <c r="M119" s="321"/>
      <c r="N119" s="332"/>
      <c r="O119" s="333"/>
      <c r="P119" s="76"/>
      <c r="Q119" s="76"/>
      <c r="R119" s="76"/>
      <c r="S119" s="76"/>
    </row>
    <row r="120" spans="1:19">
      <c r="A120" s="321" t="s">
        <v>244</v>
      </c>
      <c r="B120" s="321"/>
      <c r="C120" s="321"/>
      <c r="D120" s="332"/>
      <c r="E120" s="333"/>
      <c r="F120" s="71"/>
      <c r="G120" s="71"/>
      <c r="H120" s="71"/>
      <c r="I120" s="71"/>
      <c r="J120" s="71"/>
      <c r="L120" s="321"/>
      <c r="M120" s="321"/>
      <c r="N120" s="332"/>
      <c r="O120" s="333"/>
      <c r="P120" s="71"/>
      <c r="Q120" s="71"/>
      <c r="R120" s="71"/>
      <c r="S120" s="71"/>
    </row>
    <row r="121" spans="1:19">
      <c r="A121" s="321" t="s">
        <v>139</v>
      </c>
      <c r="B121" s="321"/>
      <c r="C121" s="321"/>
      <c r="D121" s="332"/>
      <c r="E121" s="333"/>
      <c r="F121" s="71"/>
      <c r="G121" s="71"/>
      <c r="H121" s="71"/>
      <c r="I121" s="71"/>
      <c r="J121" s="71"/>
      <c r="L121" s="321"/>
      <c r="M121" s="321"/>
      <c r="N121" s="332"/>
      <c r="O121" s="333"/>
      <c r="P121" s="71"/>
      <c r="Q121" s="71"/>
      <c r="R121" s="71"/>
      <c r="S121" s="71"/>
    </row>
    <row r="122" spans="1:19">
      <c r="A122" s="321" t="s">
        <v>136</v>
      </c>
      <c r="B122" s="321"/>
      <c r="C122" s="321"/>
      <c r="D122" s="332">
        <v>14400</v>
      </c>
      <c r="E122" s="333">
        <v>0.4</v>
      </c>
      <c r="F122" s="91">
        <f ca="1">F109</f>
        <v>4.9910104872617946</v>
      </c>
      <c r="G122" s="91">
        <f ca="1">G109</f>
        <v>5.0944272680208176</v>
      </c>
      <c r="H122" s="91">
        <f ca="1">H109</f>
        <v>5.0888325483451036</v>
      </c>
      <c r="I122" s="91">
        <f ca="1">I109</f>
        <v>4.9878133108887273</v>
      </c>
      <c r="J122" s="91">
        <f ca="1">J109</f>
        <v>4.9878133108887273</v>
      </c>
      <c r="L122" s="321"/>
      <c r="M122" s="321"/>
      <c r="N122" s="332"/>
      <c r="O122" s="333"/>
      <c r="P122" s="91"/>
      <c r="Q122" s="91"/>
      <c r="R122" s="91"/>
      <c r="S122" s="91"/>
    </row>
    <row r="123" spans="1:19">
      <c r="A123" s="321" t="s">
        <v>69</v>
      </c>
      <c r="B123" s="321"/>
      <c r="C123" s="321"/>
      <c r="D123" s="332">
        <v>3</v>
      </c>
      <c r="E123" s="333">
        <v>0.6</v>
      </c>
      <c r="F123" s="76">
        <f ca="1">'Manufacturing Cost Calculations'!$D163*F$122^'Manufacturing Cost Calculations'!$E163</f>
        <v>32170.420181256657</v>
      </c>
      <c r="G123" s="76">
        <f ca="1">'Manufacturing Cost Calculations'!$D163*G$122^'Manufacturing Cost Calculations'!$E163</f>
        <v>32502.006681077353</v>
      </c>
      <c r="H123" s="76">
        <f ca="1">'Manufacturing Cost Calculations'!$D163*H$122^'Manufacturing Cost Calculations'!$E163</f>
        <v>32484.154863946216</v>
      </c>
      <c r="I123" s="76">
        <f ca="1">'Manufacturing Cost Calculations'!$D163*I$122^'Manufacturing Cost Calculations'!$E163</f>
        <v>32160.11455430292</v>
      </c>
      <c r="J123" s="76">
        <f ca="1">'Manufacturing Cost Calculations'!$D163*J$122^'Manufacturing Cost Calculations'!$E163</f>
        <v>32160.11455430292</v>
      </c>
      <c r="L123" s="321"/>
      <c r="M123" s="321"/>
      <c r="N123" s="332"/>
      <c r="O123" s="333"/>
      <c r="P123" s="76"/>
      <c r="Q123" s="76"/>
      <c r="R123" s="76"/>
      <c r="S123" s="76"/>
    </row>
    <row r="124" spans="1:19">
      <c r="A124" s="321" t="s">
        <v>71</v>
      </c>
      <c r="B124" s="321"/>
      <c r="C124" s="321"/>
      <c r="D124" s="332">
        <v>225</v>
      </c>
      <c r="E124" s="333">
        <v>0.6</v>
      </c>
      <c r="F124" s="90">
        <f ca="1">'Manufacturing Cost Calculations'!$D164*F$122^'Manufacturing Cost Calculations'!$E164</f>
        <v>3.0812854820152267</v>
      </c>
      <c r="G124" s="90">
        <f ca="1">'Manufacturing Cost Calculations'!$D164*G$122^'Manufacturing Cost Calculations'!$E164</f>
        <v>3.1258400867889642</v>
      </c>
      <c r="H124" s="90">
        <f ca="1">'Manufacturing Cost Calculations'!$D164*H$122^'Manufacturing Cost Calculations'!$E164</f>
        <v>3.1234367240102623</v>
      </c>
      <c r="I124" s="90">
        <f ca="1">'Manufacturing Cost Calculations'!$D164*I$122^'Manufacturing Cost Calculations'!$E164</f>
        <v>3.0799036672458553</v>
      </c>
      <c r="J124" s="90">
        <f ca="1">'Manufacturing Cost Calculations'!$D164*J$122^'Manufacturing Cost Calculations'!$E164</f>
        <v>3.0799036672458553</v>
      </c>
      <c r="L124" s="321"/>
      <c r="M124" s="321"/>
      <c r="N124" s="332"/>
      <c r="O124" s="333"/>
      <c r="P124" s="90"/>
      <c r="Q124" s="90"/>
      <c r="R124" s="90"/>
      <c r="S124" s="90"/>
    </row>
    <row r="125" spans="1:19">
      <c r="A125" s="321" t="s">
        <v>72</v>
      </c>
      <c r="B125" s="321"/>
      <c r="C125" s="321"/>
      <c r="D125" s="332"/>
      <c r="E125" s="333"/>
      <c r="F125" s="76">
        <f ca="1">'Manufacturing Cost Calculations'!$D165*F$122^'Manufacturing Cost Calculations'!$E165</f>
        <v>590.33102402563691</v>
      </c>
      <c r="G125" s="76">
        <f ca="1">'Manufacturing Cost Calculations'!$D165*G$122^'Manufacturing Cost Calculations'!$E165</f>
        <v>597.64011120796397</v>
      </c>
      <c r="H125" s="76">
        <f ca="1">'Manufacturing Cost Calculations'!$D165*H$122^'Manufacturing Cost Calculations'!$E165</f>
        <v>597.2462262642315</v>
      </c>
      <c r="I125" s="76">
        <f ca="1">'Manufacturing Cost Calculations'!$D165*I$122^'Manufacturing Cost Calculations'!$E165</f>
        <v>590.10409992432665</v>
      </c>
      <c r="J125" s="76">
        <f ca="1">'Manufacturing Cost Calculations'!$D165*J$122^'Manufacturing Cost Calculations'!$E165</f>
        <v>590.10409992432665</v>
      </c>
      <c r="L125" s="321"/>
      <c r="M125" s="321"/>
      <c r="N125" s="332"/>
      <c r="O125" s="333"/>
      <c r="P125" s="76"/>
      <c r="Q125" s="76"/>
      <c r="R125" s="76"/>
      <c r="S125" s="76"/>
    </row>
    <row r="126" spans="1:19">
      <c r="A126" s="321" t="s">
        <v>140</v>
      </c>
      <c r="B126" s="321"/>
      <c r="C126" s="321"/>
      <c r="D126" s="332"/>
      <c r="E126" s="333"/>
      <c r="L126" s="321"/>
      <c r="M126" s="321"/>
      <c r="N126" s="332"/>
      <c r="O126" s="333"/>
    </row>
    <row r="127" spans="1:19">
      <c r="A127" s="321" t="s">
        <v>136</v>
      </c>
      <c r="B127" s="321"/>
      <c r="C127" s="321"/>
      <c r="D127" s="332"/>
      <c r="E127" s="333"/>
      <c r="F127" s="92">
        <f ca="1">F115</f>
        <v>4.9910104872617946</v>
      </c>
      <c r="G127" s="92">
        <f ca="1">G115</f>
        <v>5.0944272680208176</v>
      </c>
      <c r="H127" s="92">
        <f ca="1">H115</f>
        <v>5.0888325483451036</v>
      </c>
      <c r="I127" s="92">
        <f ca="1">I115</f>
        <v>4.9878133108887273</v>
      </c>
      <c r="J127" s="92">
        <f ca="1">J115</f>
        <v>4.9878133108887273</v>
      </c>
      <c r="L127" s="321"/>
      <c r="M127" s="321"/>
      <c r="N127" s="332"/>
      <c r="O127" s="333"/>
      <c r="P127" s="92"/>
      <c r="Q127" s="92"/>
      <c r="R127" s="92"/>
      <c r="S127" s="92"/>
    </row>
    <row r="128" spans="1:19">
      <c r="A128" s="321" t="s">
        <v>69</v>
      </c>
      <c r="B128" s="321"/>
      <c r="C128" s="321"/>
      <c r="D128" s="332">
        <v>14400</v>
      </c>
      <c r="E128" s="333">
        <v>0.5</v>
      </c>
      <c r="F128" s="76">
        <f ca="1">'Manufacturing Cost Calculations'!$D168*F$127^'Manufacturing Cost Calculations'!$E168</f>
        <v>16085.210090628329</v>
      </c>
      <c r="G128" s="76">
        <f ca="1">'Manufacturing Cost Calculations'!$D168*G$127^'Manufacturing Cost Calculations'!$E168</f>
        <v>16251.003340538677</v>
      </c>
      <c r="H128" s="76">
        <f ca="1">'Manufacturing Cost Calculations'!$D168*H$127^'Manufacturing Cost Calculations'!$E168</f>
        <v>16242.077431973108</v>
      </c>
      <c r="I128" s="76">
        <f ca="1">'Manufacturing Cost Calculations'!$D168*I$127^'Manufacturing Cost Calculations'!$E168</f>
        <v>16080.05727715146</v>
      </c>
      <c r="J128" s="76">
        <f ca="1">'Manufacturing Cost Calculations'!$D168*J$127^'Manufacturing Cost Calculations'!$E168</f>
        <v>16080.05727715146</v>
      </c>
      <c r="L128" s="321"/>
      <c r="M128" s="321"/>
      <c r="N128" s="332"/>
      <c r="O128" s="333"/>
      <c r="P128" s="76"/>
      <c r="Q128" s="76"/>
      <c r="R128" s="76"/>
      <c r="S128" s="76"/>
    </row>
    <row r="129" spans="1:19">
      <c r="A129" s="321" t="s">
        <v>71</v>
      </c>
      <c r="B129" s="321"/>
      <c r="C129" s="321"/>
      <c r="D129" s="334">
        <v>1</v>
      </c>
      <c r="E129" s="333">
        <v>0.7</v>
      </c>
      <c r="F129" s="90">
        <f ca="1">'Manufacturing Cost Calculations'!$D169*F$127^'Manufacturing Cost Calculations'!$E169</f>
        <v>3.0812854820152267</v>
      </c>
      <c r="G129" s="90">
        <f ca="1">'Manufacturing Cost Calculations'!$D169*G$127^'Manufacturing Cost Calculations'!$E169</f>
        <v>3.1258400867889642</v>
      </c>
      <c r="H129" s="90">
        <f ca="1">'Manufacturing Cost Calculations'!$D169*H$127^'Manufacturing Cost Calculations'!$E169</f>
        <v>3.1234367240102623</v>
      </c>
      <c r="I129" s="90">
        <f ca="1">'Manufacturing Cost Calculations'!$D169*I$127^'Manufacturing Cost Calculations'!$E169</f>
        <v>3.0799036672458553</v>
      </c>
      <c r="J129" s="90">
        <f ca="1">'Manufacturing Cost Calculations'!$D169*J$127^'Manufacturing Cost Calculations'!$E169</f>
        <v>3.0799036672458553</v>
      </c>
      <c r="L129" s="321"/>
      <c r="M129" s="321"/>
      <c r="N129" s="334"/>
      <c r="O129" s="333"/>
      <c r="P129" s="90"/>
      <c r="Q129" s="90"/>
      <c r="R129" s="90"/>
      <c r="S129" s="90"/>
    </row>
    <row r="130" spans="1:19">
      <c r="A130" s="321" t="s">
        <v>72</v>
      </c>
      <c r="B130" s="321"/>
      <c r="C130" s="321"/>
      <c r="D130" s="332">
        <v>225</v>
      </c>
      <c r="E130" s="333">
        <v>0.6</v>
      </c>
      <c r="F130" s="76">
        <f ca="1">'Manufacturing Cost Calculations'!$D170*F$127^'Manufacturing Cost Calculations'!$E170</f>
        <v>590.33102402563691</v>
      </c>
      <c r="G130" s="76">
        <f ca="1">'Manufacturing Cost Calculations'!$D170*G$127^'Manufacturing Cost Calculations'!$E170</f>
        <v>597.64011120796397</v>
      </c>
      <c r="H130" s="76">
        <f ca="1">'Manufacturing Cost Calculations'!$D170*H$127^'Manufacturing Cost Calculations'!$E170</f>
        <v>597.2462262642315</v>
      </c>
      <c r="I130" s="76">
        <f ca="1">'Manufacturing Cost Calculations'!$D170*I$127^'Manufacturing Cost Calculations'!$E170</f>
        <v>590.10409992432665</v>
      </c>
      <c r="J130" s="76">
        <f ca="1">'Manufacturing Cost Calculations'!$D170*J$127^'Manufacturing Cost Calculations'!$E170</f>
        <v>590.10409992432665</v>
      </c>
      <c r="L130" s="321"/>
      <c r="M130" s="321"/>
      <c r="N130" s="332"/>
      <c r="O130" s="333"/>
      <c r="P130" s="76"/>
      <c r="Q130" s="76"/>
      <c r="R130" s="76"/>
      <c r="S130" s="76"/>
    </row>
    <row r="131" spans="1:19">
      <c r="A131" s="321" t="s">
        <v>249</v>
      </c>
      <c r="B131" s="321"/>
      <c r="C131" s="321"/>
      <c r="D131" s="332"/>
      <c r="E131" s="333"/>
      <c r="F131" s="71"/>
      <c r="G131" s="71"/>
      <c r="H131" s="71"/>
      <c r="I131" s="71"/>
      <c r="J131" s="71"/>
      <c r="L131" s="321"/>
      <c r="M131" s="321"/>
      <c r="N131" s="332"/>
      <c r="O131" s="333"/>
      <c r="P131" s="71"/>
      <c r="Q131" s="71"/>
      <c r="R131" s="71"/>
      <c r="S131" s="71"/>
    </row>
    <row r="132" spans="1:19">
      <c r="A132" s="321" t="s">
        <v>136</v>
      </c>
      <c r="B132" s="321"/>
      <c r="C132" s="321"/>
      <c r="D132" s="332"/>
      <c r="E132" s="333"/>
      <c r="F132" s="93">
        <f ca="1">F122</f>
        <v>4.9910104872617946</v>
      </c>
      <c r="G132" s="93">
        <f ca="1">G122</f>
        <v>5.0944272680208176</v>
      </c>
      <c r="H132" s="93">
        <f ca="1">H122</f>
        <v>5.0888325483451036</v>
      </c>
      <c r="I132" s="93">
        <f ca="1">I122</f>
        <v>4.9878133108887273</v>
      </c>
      <c r="J132" s="93">
        <f ca="1">J122</f>
        <v>4.9878133108887273</v>
      </c>
      <c r="L132" s="321"/>
      <c r="M132" s="321"/>
      <c r="N132" s="332"/>
      <c r="O132" s="333"/>
      <c r="P132" s="93"/>
      <c r="Q132" s="93"/>
      <c r="R132" s="93"/>
      <c r="S132" s="93"/>
    </row>
    <row r="133" spans="1:19">
      <c r="A133" s="321" t="s">
        <v>69</v>
      </c>
      <c r="B133" s="321"/>
      <c r="C133" s="321"/>
      <c r="D133" s="332">
        <v>7200</v>
      </c>
      <c r="E133" s="333">
        <v>0.5</v>
      </c>
      <c r="F133" s="76">
        <f ca="1">'Manufacturing Cost Calculations'!$D173*F$132^'Manufacturing Cost Calculations'!$E173</f>
        <v>88741.021882038534</v>
      </c>
      <c r="G133" s="76">
        <f ca="1">'Manufacturing Cost Calculations'!$D173*G$132^'Manufacturing Cost Calculations'!$E173</f>
        <v>90024.194499522171</v>
      </c>
      <c r="H133" s="76">
        <f ca="1">'Manufacturing Cost Calculations'!$D173*H$132^'Manufacturing Cost Calculations'!$E173</f>
        <v>89954.977651495559</v>
      </c>
      <c r="I133" s="76">
        <f ca="1">'Manufacturing Cost Calculations'!$D173*I$132^'Manufacturing Cost Calculations'!$E173</f>
        <v>88701.225616680633</v>
      </c>
      <c r="J133" s="76">
        <f ca="1">'Manufacturing Cost Calculations'!$D173*J$132^'Manufacturing Cost Calculations'!$E173</f>
        <v>88701.225616680633</v>
      </c>
      <c r="L133" s="321"/>
      <c r="M133" s="321"/>
      <c r="N133" s="332"/>
      <c r="O133" s="333"/>
      <c r="P133" s="76"/>
      <c r="Q133" s="76"/>
      <c r="R133" s="76"/>
      <c r="S133" s="76"/>
    </row>
    <row r="134" spans="1:19">
      <c r="A134" s="321" t="s">
        <v>71</v>
      </c>
      <c r="B134" s="321"/>
      <c r="C134" s="321"/>
      <c r="D134" s="334">
        <v>1</v>
      </c>
      <c r="E134" s="333">
        <v>0.7</v>
      </c>
      <c r="F134" s="90">
        <f ca="1">'Manufacturing Cost Calculations'!$D174*F$132^'Manufacturing Cost Calculations'!$E174</f>
        <v>4.6219282230228398</v>
      </c>
      <c r="G134" s="90">
        <f ca="1">'Manufacturing Cost Calculations'!$D174*G$132^'Manufacturing Cost Calculations'!$E174</f>
        <v>4.6887601301834465</v>
      </c>
      <c r="H134" s="90">
        <f ca="1">'Manufacturing Cost Calculations'!$D174*H$132^'Manufacturing Cost Calculations'!$E174</f>
        <v>4.6851550860153939</v>
      </c>
      <c r="I134" s="90">
        <f ca="1">'Manufacturing Cost Calculations'!$D174*I$132^'Manufacturing Cost Calculations'!$E174</f>
        <v>4.6198555008687832</v>
      </c>
      <c r="J134" s="90">
        <f ca="1">'Manufacturing Cost Calculations'!$D174*J$132^'Manufacturing Cost Calculations'!$E174</f>
        <v>4.6198555008687832</v>
      </c>
      <c r="L134" s="321"/>
      <c r="M134" s="321"/>
      <c r="N134" s="334"/>
      <c r="O134" s="333"/>
      <c r="P134" s="90"/>
      <c r="Q134" s="90"/>
      <c r="R134" s="90"/>
      <c r="S134" s="90"/>
    </row>
    <row r="135" spans="1:19">
      <c r="A135" s="321" t="s">
        <v>72</v>
      </c>
      <c r="B135" s="321"/>
      <c r="C135" s="321"/>
      <c r="D135" s="332">
        <v>225</v>
      </c>
      <c r="E135" s="333">
        <v>0.6</v>
      </c>
      <c r="F135" s="76">
        <f ca="1">'Manufacturing Cost Calculations'!$D175*F$132^'Manufacturing Cost Calculations'!$E175</f>
        <v>2361.3240961025476</v>
      </c>
      <c r="G135" s="76">
        <f ca="1">'Manufacturing Cost Calculations'!$D175*G$132^'Manufacturing Cost Calculations'!$E175</f>
        <v>2390.5604448318559</v>
      </c>
      <c r="H135" s="76">
        <f ca="1">'Manufacturing Cost Calculations'!$D175*H$132^'Manufacturing Cost Calculations'!$E175</f>
        <v>2388.984905056926</v>
      </c>
      <c r="I135" s="76">
        <f ca="1">'Manufacturing Cost Calculations'!$D175*I$132^'Manufacturing Cost Calculations'!$E175</f>
        <v>2360.4163996973066</v>
      </c>
      <c r="J135" s="76">
        <f ca="1">'Manufacturing Cost Calculations'!$D175*J$132^'Manufacturing Cost Calculations'!$E175</f>
        <v>2360.4163996973066</v>
      </c>
      <c r="L135" s="321"/>
      <c r="M135" s="321"/>
      <c r="N135" s="332"/>
      <c r="O135" s="333"/>
      <c r="P135" s="76"/>
      <c r="Q135" s="76"/>
      <c r="R135" s="76"/>
      <c r="S135" s="76"/>
    </row>
    <row r="136" spans="1:19">
      <c r="A136" s="7" t="s">
        <v>141</v>
      </c>
      <c r="D136" s="335"/>
      <c r="E136" s="336"/>
      <c r="F136" s="71"/>
      <c r="G136" s="71"/>
      <c r="H136" s="71"/>
      <c r="I136" s="71"/>
      <c r="J136" s="71"/>
      <c r="N136" s="335"/>
      <c r="O136" s="336"/>
      <c r="P136" s="71"/>
      <c r="Q136" s="71"/>
      <c r="R136" s="71"/>
      <c r="S136" s="71"/>
    </row>
    <row r="137" spans="1:19">
      <c r="A137" s="7" t="s">
        <v>136</v>
      </c>
      <c r="D137" s="335"/>
      <c r="E137" s="336"/>
      <c r="F137" s="91">
        <f ca="1">F132</f>
        <v>4.9910104872617946</v>
      </c>
      <c r="G137" s="91">
        <f ca="1">G132</f>
        <v>5.0944272680208176</v>
      </c>
      <c r="H137" s="91">
        <f ca="1">H132</f>
        <v>5.0888325483451036</v>
      </c>
      <c r="I137" s="91">
        <f ca="1">I132</f>
        <v>4.9878133108887273</v>
      </c>
      <c r="J137" s="91">
        <f ca="1">J132</f>
        <v>4.9878133108887273</v>
      </c>
      <c r="N137" s="335"/>
      <c r="O137" s="336"/>
      <c r="P137" s="91"/>
      <c r="Q137" s="91"/>
      <c r="R137" s="91"/>
      <c r="S137" s="91"/>
    </row>
    <row r="138" spans="1:19">
      <c r="A138" s="7" t="s">
        <v>69</v>
      </c>
      <c r="D138" s="336">
        <v>28800</v>
      </c>
      <c r="E138" s="337">
        <v>0.7</v>
      </c>
      <c r="F138" s="76">
        <f ca="1">'Manufacturing Cost Calculations'!$D178*F$137^'Manufacturing Cost Calculations'!$E178</f>
        <v>64340.840362513314</v>
      </c>
      <c r="G138" s="76">
        <f ca="1">'Manufacturing Cost Calculations'!$D178*G$137^'Manufacturing Cost Calculations'!$E178</f>
        <v>65004.013362154707</v>
      </c>
      <c r="H138" s="76">
        <f ca="1">'Manufacturing Cost Calculations'!$D178*H$137^'Manufacturing Cost Calculations'!$E178</f>
        <v>64968.309727892432</v>
      </c>
      <c r="I138" s="76">
        <f ca="1">'Manufacturing Cost Calculations'!$D178*I$137^'Manufacturing Cost Calculations'!$E178</f>
        <v>64320.229108605839</v>
      </c>
      <c r="J138" s="76">
        <f ca="1">'Manufacturing Cost Calculations'!$D178*J$137^'Manufacturing Cost Calculations'!$E178</f>
        <v>64320.229108605839</v>
      </c>
      <c r="N138" s="336"/>
      <c r="O138" s="337"/>
      <c r="P138" s="76"/>
      <c r="Q138" s="76"/>
      <c r="R138" s="76"/>
      <c r="S138" s="76"/>
    </row>
    <row r="139" spans="1:19">
      <c r="A139" s="7" t="s">
        <v>71</v>
      </c>
      <c r="D139" s="337">
        <v>1.5</v>
      </c>
      <c r="E139" s="337">
        <v>0.7</v>
      </c>
      <c r="F139" s="90">
        <f ca="1">'Manufacturing Cost Calculations'!$D179*F$137^'Manufacturing Cost Calculations'!$E179</f>
        <v>6.1625709640304533</v>
      </c>
      <c r="G139" s="90">
        <f ca="1">'Manufacturing Cost Calculations'!$D179*G$137^'Manufacturing Cost Calculations'!$E179</f>
        <v>6.2516801735779284</v>
      </c>
      <c r="H139" s="90">
        <f ca="1">'Manufacturing Cost Calculations'!$D179*H$137^'Manufacturing Cost Calculations'!$E179</f>
        <v>6.2468734480205246</v>
      </c>
      <c r="I139" s="90">
        <f ca="1">'Manufacturing Cost Calculations'!$D179*I$137^'Manufacturing Cost Calculations'!$E179</f>
        <v>6.1598073344917106</v>
      </c>
      <c r="J139" s="90">
        <f ca="1">'Manufacturing Cost Calculations'!$D179*J$137^'Manufacturing Cost Calculations'!$E179</f>
        <v>6.1598073344917106</v>
      </c>
      <c r="N139" s="337"/>
      <c r="O139" s="337"/>
      <c r="P139" s="90"/>
      <c r="Q139" s="90"/>
      <c r="R139" s="90"/>
      <c r="S139" s="90"/>
    </row>
    <row r="140" spans="1:19">
      <c r="A140" s="7" t="s">
        <v>72</v>
      </c>
      <c r="D140" s="336">
        <v>900</v>
      </c>
      <c r="E140" s="337">
        <v>0.6</v>
      </c>
      <c r="F140" s="76">
        <f ca="1">'Manufacturing Cost Calculations'!$D180*F$137^'Manufacturing Cost Calculations'!$E180</f>
        <v>787.10803203418266</v>
      </c>
      <c r="G140" s="76">
        <f ca="1">'Manufacturing Cost Calculations'!$D180*G$137^'Manufacturing Cost Calculations'!$E180</f>
        <v>796.85348161061859</v>
      </c>
      <c r="H140" s="76">
        <f ca="1">'Manufacturing Cost Calculations'!$D180*H$137^'Manufacturing Cost Calculations'!$E180</f>
        <v>796.32830168564192</v>
      </c>
      <c r="I140" s="76">
        <f ca="1">'Manufacturing Cost Calculations'!$D180*I$137^'Manufacturing Cost Calculations'!$E180</f>
        <v>786.80546656576894</v>
      </c>
      <c r="J140" s="76">
        <f ca="1">'Manufacturing Cost Calculations'!$D180*J$137^'Manufacturing Cost Calculations'!$E180</f>
        <v>786.80546656576894</v>
      </c>
      <c r="N140" s="336"/>
      <c r="O140" s="337"/>
      <c r="P140" s="76"/>
      <c r="Q140" s="76"/>
      <c r="R140" s="76"/>
      <c r="S140" s="76"/>
    </row>
    <row r="141" spans="1:19">
      <c r="A141" s="321" t="s">
        <v>335</v>
      </c>
      <c r="D141" s="336"/>
      <c r="E141" s="337"/>
      <c r="N141" s="336"/>
      <c r="O141" s="337"/>
    </row>
    <row r="142" spans="1:19">
      <c r="A142" s="7" t="s">
        <v>136</v>
      </c>
      <c r="D142" s="336"/>
      <c r="E142" s="337"/>
      <c r="F142" s="91">
        <f ca="1">'Error Bars'!F137</f>
        <v>4.9910104872617946</v>
      </c>
      <c r="G142" s="91">
        <f ca="1">'Error Bars'!G137</f>
        <v>5.0944272680208176</v>
      </c>
      <c r="H142" s="91">
        <f ca="1">'Error Bars'!H137</f>
        <v>5.0888325483451036</v>
      </c>
      <c r="I142" s="91">
        <f ca="1">'Error Bars'!I137</f>
        <v>4.9878133108887273</v>
      </c>
      <c r="J142" s="91">
        <f ca="1">'Error Bars'!J137</f>
        <v>4.9878133108887273</v>
      </c>
      <c r="N142" s="336"/>
      <c r="O142" s="337"/>
      <c r="P142" s="91"/>
      <c r="Q142" s="91"/>
      <c r="R142" s="91"/>
      <c r="S142" s="91"/>
    </row>
    <row r="143" spans="1:19">
      <c r="A143" s="7" t="s">
        <v>69</v>
      </c>
      <c r="D143" s="336">
        <v>28800</v>
      </c>
      <c r="E143" s="337">
        <v>0.5</v>
      </c>
      <c r="F143" s="76">
        <f ca="1">'Manufacturing Cost Calculations'!$D183*F$142^'Manufacturing Cost Calculations'!$E183</f>
        <v>32170.420181256657</v>
      </c>
      <c r="G143" s="76">
        <f ca="1">'Manufacturing Cost Calculations'!$D183*G$142^'Manufacturing Cost Calculations'!$E183</f>
        <v>32502.006681077353</v>
      </c>
      <c r="H143" s="76">
        <f ca="1">'Manufacturing Cost Calculations'!$D183*H$142^'Manufacturing Cost Calculations'!$E183</f>
        <v>32484.154863946216</v>
      </c>
      <c r="I143" s="76">
        <f ca="1">'Manufacturing Cost Calculations'!$D183*I$142^'Manufacturing Cost Calculations'!$E183</f>
        <v>32160.11455430292</v>
      </c>
      <c r="J143" s="76">
        <f ca="1">'Manufacturing Cost Calculations'!$D183*J$142^'Manufacturing Cost Calculations'!$E183</f>
        <v>32160.11455430292</v>
      </c>
      <c r="N143" s="336"/>
      <c r="O143" s="337"/>
      <c r="P143" s="76"/>
      <c r="Q143" s="76"/>
      <c r="R143" s="76"/>
      <c r="S143" s="76"/>
    </row>
    <row r="144" spans="1:19">
      <c r="A144" s="7" t="s">
        <v>71</v>
      </c>
      <c r="D144" s="136">
        <v>2</v>
      </c>
      <c r="E144" s="136">
        <v>0.7</v>
      </c>
      <c r="F144" s="90">
        <f ca="1">'Manufacturing Cost Calculations'!$D184*F$142^'Manufacturing Cost Calculations'!$E184</f>
        <v>4.930056771224363</v>
      </c>
      <c r="G144" s="90">
        <f ca="1">'Manufacturing Cost Calculations'!$D184*G$142^'Manufacturing Cost Calculations'!$E184</f>
        <v>5.0013441388623434</v>
      </c>
      <c r="H144" s="90">
        <f ca="1">'Manufacturing Cost Calculations'!$D184*H$142^'Manufacturing Cost Calculations'!$E184</f>
        <v>4.9974987584164197</v>
      </c>
      <c r="I144" s="90">
        <f ca="1">'Manufacturing Cost Calculations'!$D184*I$142^'Manufacturing Cost Calculations'!$E184</f>
        <v>4.9278458675933692</v>
      </c>
      <c r="J144" s="90">
        <f ca="1">'Manufacturing Cost Calculations'!$D184*J$142^'Manufacturing Cost Calculations'!$E184</f>
        <v>4.9278458675933692</v>
      </c>
      <c r="N144" s="136"/>
      <c r="O144" s="136"/>
      <c r="P144" s="90"/>
      <c r="Q144" s="90"/>
      <c r="R144" s="90"/>
      <c r="S144" s="90"/>
    </row>
    <row r="145" spans="1:19">
      <c r="A145" s="7" t="s">
        <v>72</v>
      </c>
      <c r="D145" s="100">
        <v>300</v>
      </c>
      <c r="E145" s="136">
        <v>0.6</v>
      </c>
      <c r="F145" s="76">
        <f ca="1">'Manufacturing Cost Calculations'!$D185*F$142^'Manufacturing Cost Calculations'!$E185</f>
        <v>787.10803203418266</v>
      </c>
      <c r="G145" s="76">
        <f ca="1">'Manufacturing Cost Calculations'!$D185*G$142^'Manufacturing Cost Calculations'!$E185</f>
        <v>796.85348161061859</v>
      </c>
      <c r="H145" s="76">
        <f ca="1">'Manufacturing Cost Calculations'!$D185*H$142^'Manufacturing Cost Calculations'!$E185</f>
        <v>796.32830168564192</v>
      </c>
      <c r="I145" s="76">
        <f ca="1">'Manufacturing Cost Calculations'!$D185*I$142^'Manufacturing Cost Calculations'!$E185</f>
        <v>786.80546656576894</v>
      </c>
      <c r="J145" s="76">
        <f ca="1">'Manufacturing Cost Calculations'!$D185*J$142^'Manufacturing Cost Calculations'!$E185</f>
        <v>786.80546656576894</v>
      </c>
      <c r="N145" s="100"/>
      <c r="O145" s="136"/>
      <c r="P145" s="76"/>
      <c r="Q145" s="76"/>
      <c r="R145" s="76"/>
      <c r="S145" s="76"/>
    </row>
    <row r="146" spans="1:19">
      <c r="A146" s="340" t="s">
        <v>704</v>
      </c>
      <c r="D146" s="100"/>
      <c r="E146" s="136"/>
      <c r="F146" s="76"/>
      <c r="G146" s="76"/>
      <c r="H146" s="76"/>
      <c r="I146" s="76"/>
      <c r="J146" s="76"/>
      <c r="K146" s="7"/>
      <c r="N146" s="100"/>
      <c r="O146" s="136"/>
      <c r="P146" s="76"/>
      <c r="Q146" s="76"/>
      <c r="R146" s="76"/>
      <c r="S146" s="76"/>
    </row>
    <row r="147" spans="1:19">
      <c r="A147" s="10"/>
      <c r="B147" s="10"/>
      <c r="C147" s="10"/>
      <c r="D147" s="72" t="s">
        <v>43</v>
      </c>
      <c r="E147" s="73"/>
      <c r="F147" s="76"/>
      <c r="G147" s="76"/>
      <c r="H147" s="76"/>
      <c r="I147" s="76"/>
      <c r="J147" s="76"/>
    </row>
    <row r="148" spans="1:19">
      <c r="A148" s="74" t="s">
        <v>135</v>
      </c>
      <c r="B148" s="329"/>
      <c r="C148" s="329"/>
      <c r="D148" s="75" t="s">
        <v>66</v>
      </c>
      <c r="E148" s="64" t="s">
        <v>45</v>
      </c>
      <c r="F148" s="76"/>
      <c r="G148" s="76"/>
      <c r="H148" s="76"/>
      <c r="I148" s="76"/>
      <c r="J148" s="76"/>
    </row>
    <row r="149" spans="1:19">
      <c r="A149" s="321" t="s">
        <v>81</v>
      </c>
      <c r="B149" s="321"/>
      <c r="C149" s="321"/>
      <c r="D149" s="332"/>
      <c r="E149" s="333"/>
      <c r="F149" s="76"/>
      <c r="G149" s="76"/>
      <c r="H149" s="76"/>
      <c r="I149" s="76"/>
      <c r="J149" s="76"/>
    </row>
    <row r="150" spans="1:19">
      <c r="A150" s="321" t="s">
        <v>139</v>
      </c>
      <c r="B150" s="321"/>
      <c r="C150" s="321"/>
      <c r="D150" s="332"/>
      <c r="E150" s="333"/>
      <c r="F150" s="76"/>
      <c r="G150" s="76"/>
      <c r="H150" s="76"/>
      <c r="I150" s="76"/>
      <c r="J150" s="76"/>
    </row>
    <row r="151" spans="1:19">
      <c r="A151" s="321" t="s">
        <v>136</v>
      </c>
      <c r="B151" s="321"/>
      <c r="C151" s="321"/>
      <c r="D151" s="332">
        <v>14400</v>
      </c>
      <c r="E151" s="333">
        <v>0.5</v>
      </c>
      <c r="F151" s="91">
        <f ca="1">F61/'Cost Input'!$E$11</f>
        <v>2.5670867069016383</v>
      </c>
      <c r="G151" s="91">
        <f ca="1">G61/'Cost Input'!$E$11</f>
        <v>2.5448449285704804</v>
      </c>
      <c r="H151" s="91">
        <f ca="1">H61/'Cost Input'!$E$11</f>
        <v>2.4239799964361706</v>
      </c>
      <c r="I151" s="91">
        <f ca="1">I61/'Cost Input'!$E$11</f>
        <v>2.4231973278464127</v>
      </c>
      <c r="J151" s="91">
        <f ca="1">J61/'Cost Input'!$E$11</f>
        <v>2.4231973278464127</v>
      </c>
      <c r="K151" s="91"/>
    </row>
    <row r="152" spans="1:19" ht="14.25">
      <c r="A152" s="321" t="s">
        <v>915</v>
      </c>
      <c r="B152" s="321"/>
      <c r="C152" s="321"/>
      <c r="D152" s="334">
        <v>2</v>
      </c>
      <c r="E152" s="333">
        <v>0.7</v>
      </c>
      <c r="F152" s="91">
        <f ca="1">'Manufacturing Cost Calculations'!F145</f>
        <v>0.29457852407998114</v>
      </c>
      <c r="G152" s="91">
        <f ca="1">'Manufacturing Cost Calculations'!G145</f>
        <v>0.29457852407998764</v>
      </c>
      <c r="H152" s="91">
        <f ca="1">'Manufacturing Cost Calculations'!H145</f>
        <v>0.29457852407998775</v>
      </c>
      <c r="I152" s="91">
        <f ca="1">'Manufacturing Cost Calculations'!I145</f>
        <v>0.29457852407997304</v>
      </c>
      <c r="J152" s="91">
        <f ca="1">'Manufacturing Cost Calculations'!J145</f>
        <v>0.29457852407997304</v>
      </c>
      <c r="K152" s="76"/>
    </row>
    <row r="153" spans="1:19">
      <c r="A153" s="321" t="s">
        <v>69</v>
      </c>
      <c r="B153" s="321"/>
      <c r="C153" s="321"/>
      <c r="D153" s="332">
        <v>600</v>
      </c>
      <c r="E153" s="333">
        <v>0.6</v>
      </c>
      <c r="F153" s="76">
        <f ca="1">'Manufacturing Cost Calculations'!$D146*F$151^'Manufacturing Cost Calculations'!$E146</f>
        <v>46143.73628318902</v>
      </c>
      <c r="G153" s="76">
        <f ca="1">'Manufacturing Cost Calculations'!$D146*G$151^'Manufacturing Cost Calculations'!$E146</f>
        <v>45943.401893563554</v>
      </c>
      <c r="H153" s="76">
        <f ca="1">'Manufacturing Cost Calculations'!$D146*H$151^'Manufacturing Cost Calculations'!$E146</f>
        <v>44839.112036747756</v>
      </c>
      <c r="I153" s="76">
        <f ca="1">'Manufacturing Cost Calculations'!$D146*I$151^'Manufacturing Cost Calculations'!$E146</f>
        <v>44831.872497241609</v>
      </c>
      <c r="J153" s="76">
        <f ca="1">'Manufacturing Cost Calculations'!$D146*J$151^'Manufacturing Cost Calculations'!$E146</f>
        <v>44831.872497241609</v>
      </c>
      <c r="K153" s="76"/>
    </row>
    <row r="154" spans="1:19">
      <c r="A154" s="321" t="s">
        <v>71</v>
      </c>
      <c r="B154" s="321"/>
      <c r="C154" s="321"/>
      <c r="D154" s="332"/>
      <c r="E154" s="333"/>
      <c r="F154" s="90">
        <f ca="1">'Manufacturing Cost Calculations'!$D147*F$151^'Manufacturing Cost Calculations'!$E147*(F152/'Manufacturing Cost Calculations'!$D145)^0.2</f>
        <v>17.165462277881414</v>
      </c>
      <c r="G154" s="90">
        <f ca="1">'Manufacturing Cost Calculations'!$D147*G$151^'Manufacturing Cost Calculations'!$E147*(G152/'Manufacturing Cost Calculations'!$D145)^0.2</f>
        <v>17.046378695999532</v>
      </c>
      <c r="H154" s="90">
        <f ca="1">'Manufacturing Cost Calculations'!$D147*H$151^'Manufacturing Cost Calculations'!$E147*(H152/'Manufacturing Cost Calculations'!$D145)^0.2</f>
        <v>16.395561658096899</v>
      </c>
      <c r="I154" s="90">
        <f ca="1">'Manufacturing Cost Calculations'!$D147*I$151^'Manufacturing Cost Calculations'!$E147*(I152/'Manufacturing Cost Calculations'!$D145)^0.2</f>
        <v>16.391326406805881</v>
      </c>
      <c r="J154" s="90">
        <f ca="1">'Manufacturing Cost Calculations'!$D147*J$151^'Manufacturing Cost Calculations'!$E147*(J152/'Manufacturing Cost Calculations'!$D145)^0.2</f>
        <v>16.391326406805881</v>
      </c>
      <c r="K154" s="90"/>
    </row>
    <row r="155" spans="1:19">
      <c r="A155" s="321" t="s">
        <v>72</v>
      </c>
      <c r="B155" s="321"/>
      <c r="C155" s="321"/>
      <c r="D155" s="332"/>
      <c r="E155" s="333"/>
      <c r="F155" s="76">
        <f ca="1">'Manufacturing Cost Calculations'!$D148*F$151^'Manufacturing Cost Calculations'!$E148</f>
        <v>1594.4602386940485</v>
      </c>
      <c r="G155" s="76">
        <f ca="1">'Manufacturing Cost Calculations'!$D148*G$151^'Manufacturing Cost Calculations'!$E148</f>
        <v>1583.3988391629266</v>
      </c>
      <c r="H155" s="76">
        <f ca="1">'Manufacturing Cost Calculations'!$D148*H$151^'Manufacturing Cost Calculations'!$E148</f>
        <v>1522.9459441111273</v>
      </c>
      <c r="I155" s="76">
        <f ca="1">'Manufacturing Cost Calculations'!$D148*I$151^'Manufacturing Cost Calculations'!$E148</f>
        <v>1522.5525413774974</v>
      </c>
      <c r="J155" s="76">
        <f ca="1">'Manufacturing Cost Calculations'!$D148*J$151^'Manufacturing Cost Calculations'!$E148</f>
        <v>1522.5525413774974</v>
      </c>
      <c r="K155" s="76"/>
    </row>
    <row r="156" spans="1:19">
      <c r="A156" s="321" t="s">
        <v>140</v>
      </c>
      <c r="B156" s="321"/>
      <c r="C156" s="321"/>
      <c r="D156" s="332"/>
      <c r="E156" s="333"/>
      <c r="F156" s="71"/>
      <c r="G156" s="71"/>
      <c r="H156" s="71"/>
      <c r="I156" s="71"/>
      <c r="J156" s="71"/>
      <c r="K156" s="71"/>
    </row>
    <row r="157" spans="1:19">
      <c r="A157" s="321" t="s">
        <v>136</v>
      </c>
      <c r="B157" s="321"/>
      <c r="C157" s="321"/>
      <c r="D157" s="332">
        <v>2309021.4751825081</v>
      </c>
      <c r="E157" s="334">
        <v>0.2</v>
      </c>
      <c r="F157" s="91">
        <f ca="1">F151</f>
        <v>2.5670867069016383</v>
      </c>
      <c r="G157" s="91">
        <f ca="1">G151</f>
        <v>2.5448449285704804</v>
      </c>
      <c r="H157" s="91">
        <f ca="1">H151</f>
        <v>2.4239799964361706</v>
      </c>
      <c r="I157" s="91">
        <f ca="1">I151</f>
        <v>2.4231973278464127</v>
      </c>
      <c r="J157" s="91">
        <f ca="1">J151</f>
        <v>2.4231973278464127</v>
      </c>
      <c r="K157" s="91"/>
    </row>
    <row r="158" spans="1:19" ht="14.25">
      <c r="A158" s="321" t="s">
        <v>915</v>
      </c>
      <c r="B158" s="321"/>
      <c r="C158" s="321"/>
      <c r="D158" s="332">
        <v>28800</v>
      </c>
      <c r="E158" s="333">
        <v>0.5</v>
      </c>
      <c r="F158" s="91">
        <f ca="1">'Manufacturing Cost Calculations'!F151</f>
        <v>0.18711602585747616</v>
      </c>
      <c r="G158" s="91">
        <f ca="1">'Manufacturing Cost Calculations'!G151</f>
        <v>0.18702182852356078</v>
      </c>
      <c r="H158" s="91">
        <f ca="1">'Manufacturing Cost Calculations'!H151</f>
        <v>0.18812316825566364</v>
      </c>
      <c r="I158" s="91">
        <f ca="1">'Manufacturing Cost Calculations'!I151</f>
        <v>0.1881757773686617</v>
      </c>
      <c r="J158" s="91">
        <f ca="1">'Manufacturing Cost Calculations'!J151</f>
        <v>0.1881757773686617</v>
      </c>
      <c r="K158" s="76"/>
    </row>
    <row r="159" spans="1:19">
      <c r="A159" s="321" t="s">
        <v>69</v>
      </c>
      <c r="B159" s="321"/>
      <c r="C159" s="321"/>
      <c r="D159" s="334">
        <v>8</v>
      </c>
      <c r="E159" s="333">
        <v>0.8</v>
      </c>
      <c r="F159" s="76">
        <f ca="1">'Manufacturing Cost Calculations'!$D152*F$157^'Manufacturing Cost Calculations'!$E152</f>
        <v>46143.73628318902</v>
      </c>
      <c r="G159" s="76">
        <f ca="1">'Manufacturing Cost Calculations'!$D152*G$157^'Manufacturing Cost Calculations'!$E152</f>
        <v>45943.401893563554</v>
      </c>
      <c r="H159" s="76">
        <f ca="1">'Manufacturing Cost Calculations'!$D152*H$157^'Manufacturing Cost Calculations'!$E152</f>
        <v>44839.112036747756</v>
      </c>
      <c r="I159" s="76">
        <f ca="1">'Manufacturing Cost Calculations'!$D152*I$157^'Manufacturing Cost Calculations'!$E152</f>
        <v>44831.872497241609</v>
      </c>
      <c r="J159" s="76">
        <f ca="1">'Manufacturing Cost Calculations'!$D152*J$157^'Manufacturing Cost Calculations'!$E152</f>
        <v>44831.872497241609</v>
      </c>
      <c r="K159" s="76"/>
    </row>
    <row r="160" spans="1:19">
      <c r="A160" s="321" t="s">
        <v>71</v>
      </c>
      <c r="B160" s="321"/>
      <c r="C160" s="321"/>
      <c r="D160" s="332">
        <v>750</v>
      </c>
      <c r="E160" s="333">
        <v>0.8</v>
      </c>
      <c r="F160" s="90">
        <f ca="1">'Manufacturing Cost Calculations'!$D153*F$151^'Manufacturing Cost Calculations'!$E153*(F158/'Manufacturing Cost Calculations'!$D151)^0.2</f>
        <v>17.027438333407265</v>
      </c>
      <c r="G160" s="90">
        <f ca="1">'Manufacturing Cost Calculations'!$D153*G$151^'Manufacturing Cost Calculations'!$E153*(G158/'Manufacturing Cost Calculations'!$D151)^0.2</f>
        <v>16.907609449069945</v>
      </c>
      <c r="H160" s="90">
        <f ca="1">'Manufacturing Cost Calculations'!$D153*H$151^'Manufacturing Cost Calculations'!$E153*(H158/'Manufacturing Cost Calculations'!$D151)^0.2</f>
        <v>16.281198489780952</v>
      </c>
      <c r="I160" s="90">
        <f ca="1">'Manufacturing Cost Calculations'!$D153*I$151^'Manufacturing Cost Calculations'!$E153*(I158/'Manufacturing Cost Calculations'!$D151)^0.2</f>
        <v>16.27790305893663</v>
      </c>
      <c r="J160" s="90">
        <f ca="1">'Manufacturing Cost Calculations'!$D153*J$151^'Manufacturing Cost Calculations'!$E153*(J158/'Manufacturing Cost Calculations'!$D151)^0.2</f>
        <v>16.27790305893663</v>
      </c>
      <c r="K160" s="90"/>
    </row>
    <row r="161" spans="1:11">
      <c r="A161" s="321" t="s">
        <v>72</v>
      </c>
      <c r="B161" s="321"/>
      <c r="C161" s="321"/>
      <c r="D161" s="332"/>
      <c r="E161" s="333"/>
      <c r="F161" s="76">
        <f ca="1">'Manufacturing Cost Calculations'!$D154*F$157^'Manufacturing Cost Calculations'!$E154</f>
        <v>1594.4602386940485</v>
      </c>
      <c r="G161" s="76">
        <f ca="1">'Manufacturing Cost Calculations'!$D154*G$157^'Manufacturing Cost Calculations'!$E154</f>
        <v>1583.3988391629266</v>
      </c>
      <c r="H161" s="76">
        <f ca="1">'Manufacturing Cost Calculations'!$D154*H$157^'Manufacturing Cost Calculations'!$E154</f>
        <v>1522.9459441111273</v>
      </c>
      <c r="I161" s="76">
        <f ca="1">'Manufacturing Cost Calculations'!$D154*I$157^'Manufacturing Cost Calculations'!$E154</f>
        <v>1522.5525413774974</v>
      </c>
      <c r="J161" s="76">
        <f ca="1">'Manufacturing Cost Calculations'!$D154*J$157^'Manufacturing Cost Calculations'!$E154</f>
        <v>1522.5525413774974</v>
      </c>
      <c r="K161" s="76"/>
    </row>
    <row r="162" spans="1:11">
      <c r="A162" s="321" t="s">
        <v>244</v>
      </c>
      <c r="B162" s="321"/>
      <c r="C162" s="321"/>
      <c r="D162" s="332"/>
      <c r="E162" s="333"/>
      <c r="F162" s="71"/>
      <c r="G162" s="71"/>
      <c r="H162" s="71"/>
      <c r="I162" s="71"/>
      <c r="J162" s="71"/>
      <c r="K162" s="71"/>
    </row>
    <row r="163" spans="1:11">
      <c r="A163" s="321" t="s">
        <v>139</v>
      </c>
      <c r="B163" s="321"/>
      <c r="C163" s="321"/>
      <c r="D163" s="332"/>
      <c r="E163" s="333"/>
      <c r="F163" s="71"/>
      <c r="G163" s="71"/>
      <c r="H163" s="71"/>
      <c r="I163" s="71"/>
      <c r="J163" s="71"/>
      <c r="K163" s="71"/>
    </row>
    <row r="164" spans="1:11">
      <c r="A164" s="321" t="s">
        <v>136</v>
      </c>
      <c r="B164" s="321"/>
      <c r="C164" s="321"/>
      <c r="D164" s="332">
        <v>14400</v>
      </c>
      <c r="E164" s="333">
        <v>0.4</v>
      </c>
      <c r="F164" s="91">
        <f ca="1">F151</f>
        <v>2.5670867069016383</v>
      </c>
      <c r="G164" s="91">
        <f ca="1">G151</f>
        <v>2.5448449285704804</v>
      </c>
      <c r="H164" s="91">
        <f ca="1">H151</f>
        <v>2.4239799964361706</v>
      </c>
      <c r="I164" s="91">
        <f ca="1">I151</f>
        <v>2.4231973278464127</v>
      </c>
      <c r="J164" s="91">
        <f ca="1">J151</f>
        <v>2.4231973278464127</v>
      </c>
      <c r="K164" s="91"/>
    </row>
    <row r="165" spans="1:11">
      <c r="A165" s="321" t="s">
        <v>69</v>
      </c>
      <c r="B165" s="321"/>
      <c r="C165" s="321"/>
      <c r="D165" s="332">
        <v>3</v>
      </c>
      <c r="E165" s="333">
        <v>0.6</v>
      </c>
      <c r="F165" s="76">
        <f ca="1">'Manufacturing Cost Calculations'!$D163*F$164^'Manufacturing Cost Calculations'!$E163</f>
        <v>23071.86814159451</v>
      </c>
      <c r="G165" s="76">
        <f ca="1">'Manufacturing Cost Calculations'!$D163*G$164^'Manufacturing Cost Calculations'!$E163</f>
        <v>22971.700946781777</v>
      </c>
      <c r="H165" s="76">
        <f ca="1">'Manufacturing Cost Calculations'!$D163*H$164^'Manufacturing Cost Calculations'!$E163</f>
        <v>22419.556018373878</v>
      </c>
      <c r="I165" s="76">
        <f ca="1">'Manufacturing Cost Calculations'!$D163*I$164^'Manufacturing Cost Calculations'!$E163</f>
        <v>22415.936248620805</v>
      </c>
      <c r="J165" s="76">
        <f ca="1">'Manufacturing Cost Calculations'!$D163*J$164^'Manufacturing Cost Calculations'!$E163</f>
        <v>22415.936248620805</v>
      </c>
      <c r="K165" s="76"/>
    </row>
    <row r="166" spans="1:11">
      <c r="A166" s="321" t="s">
        <v>71</v>
      </c>
      <c r="B166" s="321"/>
      <c r="C166" s="321"/>
      <c r="D166" s="332">
        <v>225</v>
      </c>
      <c r="E166" s="333">
        <v>0.6</v>
      </c>
      <c r="F166" s="90">
        <f ca="1">'Manufacturing Cost Calculations'!$D164*F$164^'Manufacturing Cost Calculations'!$E164</f>
        <v>1.9346765892787747</v>
      </c>
      <c r="G166" s="90">
        <f ca="1">'Manufacturing Cost Calculations'!$D164*G$164^'Manufacturing Cost Calculations'!$E164</f>
        <v>1.9229275712536809</v>
      </c>
      <c r="H166" s="90">
        <f ca="1">'Manufacturing Cost Calculations'!$D164*H$164^'Manufacturing Cost Calculations'!$E164</f>
        <v>1.8585331937740472</v>
      </c>
      <c r="I166" s="90">
        <f ca="1">'Manufacturing Cost Calculations'!$D164*I$164^'Manufacturing Cost Calculations'!$E164</f>
        <v>1.8581131077123276</v>
      </c>
      <c r="J166" s="90">
        <f ca="1">'Manufacturing Cost Calculations'!$D164*J$164^'Manufacturing Cost Calculations'!$E164</f>
        <v>1.8581131077123276</v>
      </c>
      <c r="K166" s="90"/>
    </row>
    <row r="167" spans="1:11">
      <c r="A167" s="321" t="s">
        <v>72</v>
      </c>
      <c r="B167" s="321"/>
      <c r="C167" s="321"/>
      <c r="D167" s="332"/>
      <c r="E167" s="333"/>
      <c r="F167" s="76">
        <f ca="1">'Manufacturing Cost Calculations'!$D165*F$164^'Manufacturing Cost Calculations'!$E165</f>
        <v>396.13830665575472</v>
      </c>
      <c r="G167" s="76">
        <f ca="1">'Manufacturing Cost Calculations'!$D165*G$164^'Manufacturing Cost Calculations'!$E165</f>
        <v>394.07538836102674</v>
      </c>
      <c r="H167" s="76">
        <f ca="1">'Manufacturing Cost Calculations'!$D165*H$164^'Manufacturing Cost Calculations'!$E165</f>
        <v>382.73654932706575</v>
      </c>
      <c r="I167" s="76">
        <f ca="1">'Manufacturing Cost Calculations'!$D165*I$164^'Manufacturing Cost Calculations'!$E165</f>
        <v>382.66239643229005</v>
      </c>
      <c r="J167" s="76">
        <f ca="1">'Manufacturing Cost Calculations'!$D165*J$164^'Manufacturing Cost Calculations'!$E165</f>
        <v>382.66239643229005</v>
      </c>
      <c r="K167" s="76"/>
    </row>
    <row r="168" spans="1:11">
      <c r="A168" s="321" t="s">
        <v>140</v>
      </c>
      <c r="B168" s="321"/>
      <c r="C168" s="321"/>
      <c r="D168" s="332"/>
      <c r="E168" s="333"/>
    </row>
    <row r="169" spans="1:11">
      <c r="A169" s="321" t="s">
        <v>136</v>
      </c>
      <c r="B169" s="321"/>
      <c r="C169" s="321"/>
      <c r="D169" s="332"/>
      <c r="E169" s="333"/>
      <c r="F169" s="92">
        <f ca="1">F157</f>
        <v>2.5670867069016383</v>
      </c>
      <c r="G169" s="92">
        <f ca="1">G157</f>
        <v>2.5448449285704804</v>
      </c>
      <c r="H169" s="92">
        <f ca="1">H157</f>
        <v>2.4239799964361706</v>
      </c>
      <c r="I169" s="92">
        <f ca="1">I157</f>
        <v>2.4231973278464127</v>
      </c>
      <c r="J169" s="92">
        <f ca="1">J157</f>
        <v>2.4231973278464127</v>
      </c>
      <c r="K169" s="92"/>
    </row>
    <row r="170" spans="1:11">
      <c r="A170" s="321" t="s">
        <v>69</v>
      </c>
      <c r="B170" s="321"/>
      <c r="C170" s="321"/>
      <c r="D170" s="332">
        <v>14400</v>
      </c>
      <c r="E170" s="333">
        <v>0.5</v>
      </c>
      <c r="F170" s="76">
        <f ca="1">'Manufacturing Cost Calculations'!$D168*F$169^'Manufacturing Cost Calculations'!$E168</f>
        <v>11535.934070797255</v>
      </c>
      <c r="G170" s="76">
        <f ca="1">'Manufacturing Cost Calculations'!$D168*G$169^'Manufacturing Cost Calculations'!$E168</f>
        <v>11485.850473390889</v>
      </c>
      <c r="H170" s="76">
        <f ca="1">'Manufacturing Cost Calculations'!$D168*H$169^'Manufacturing Cost Calculations'!$E168</f>
        <v>11209.778009186939</v>
      </c>
      <c r="I170" s="76">
        <f ca="1">'Manufacturing Cost Calculations'!$D168*I$169^'Manufacturing Cost Calculations'!$E168</f>
        <v>11207.968124310402</v>
      </c>
      <c r="J170" s="76">
        <f ca="1">'Manufacturing Cost Calculations'!$D168*J$169^'Manufacturing Cost Calculations'!$E168</f>
        <v>11207.968124310402</v>
      </c>
      <c r="K170" s="76"/>
    </row>
    <row r="171" spans="1:11">
      <c r="A171" s="321" t="s">
        <v>71</v>
      </c>
      <c r="B171" s="321"/>
      <c r="C171" s="321"/>
      <c r="D171" s="334">
        <v>1</v>
      </c>
      <c r="E171" s="333">
        <v>0.7</v>
      </c>
      <c r="F171" s="90">
        <f ca="1">'Manufacturing Cost Calculations'!$D169*F$169^'Manufacturing Cost Calculations'!$E169</f>
        <v>1.9346765892787747</v>
      </c>
      <c r="G171" s="90">
        <f ca="1">'Manufacturing Cost Calculations'!$D169*G$169^'Manufacturing Cost Calculations'!$E169</f>
        <v>1.9229275712536809</v>
      </c>
      <c r="H171" s="90">
        <f ca="1">'Manufacturing Cost Calculations'!$D169*H$169^'Manufacturing Cost Calculations'!$E169</f>
        <v>1.8585331937740472</v>
      </c>
      <c r="I171" s="90">
        <f ca="1">'Manufacturing Cost Calculations'!$D169*I$169^'Manufacturing Cost Calculations'!$E169</f>
        <v>1.8581131077123276</v>
      </c>
      <c r="J171" s="90">
        <f ca="1">'Manufacturing Cost Calculations'!$D169*J$169^'Manufacturing Cost Calculations'!$E169</f>
        <v>1.8581131077123276</v>
      </c>
      <c r="K171" s="90"/>
    </row>
    <row r="172" spans="1:11">
      <c r="A172" s="321" t="s">
        <v>72</v>
      </c>
      <c r="B172" s="321"/>
      <c r="C172" s="321"/>
      <c r="D172" s="332">
        <v>225</v>
      </c>
      <c r="E172" s="333">
        <v>0.6</v>
      </c>
      <c r="F172" s="76">
        <f ca="1">'Manufacturing Cost Calculations'!$D170*F$169^'Manufacturing Cost Calculations'!$E170</f>
        <v>396.13830665575472</v>
      </c>
      <c r="G172" s="76">
        <f ca="1">'Manufacturing Cost Calculations'!$D170*G$169^'Manufacturing Cost Calculations'!$E170</f>
        <v>394.07538836102674</v>
      </c>
      <c r="H172" s="76">
        <f ca="1">'Manufacturing Cost Calculations'!$D170*H$169^'Manufacturing Cost Calculations'!$E170</f>
        <v>382.73654932706575</v>
      </c>
      <c r="I172" s="76">
        <f ca="1">'Manufacturing Cost Calculations'!$D170*I$169^'Manufacturing Cost Calculations'!$E170</f>
        <v>382.66239643229005</v>
      </c>
      <c r="J172" s="76">
        <f ca="1">'Manufacturing Cost Calculations'!$D170*J$169^'Manufacturing Cost Calculations'!$E170</f>
        <v>382.66239643229005</v>
      </c>
      <c r="K172" s="76"/>
    </row>
    <row r="173" spans="1:11">
      <c r="A173" s="321" t="s">
        <v>249</v>
      </c>
      <c r="B173" s="321"/>
      <c r="C173" s="321"/>
      <c r="D173" s="332"/>
      <c r="E173" s="333"/>
      <c r="F173" s="71"/>
      <c r="G173" s="71"/>
      <c r="H173" s="71"/>
      <c r="I173" s="71"/>
      <c r="J173" s="71"/>
      <c r="K173" s="71"/>
    </row>
    <row r="174" spans="1:11">
      <c r="A174" s="321" t="s">
        <v>136</v>
      </c>
      <c r="B174" s="321"/>
      <c r="C174" s="321"/>
      <c r="D174" s="332"/>
      <c r="E174" s="333"/>
      <c r="F174" s="93">
        <f ca="1">F164</f>
        <v>2.5670867069016383</v>
      </c>
      <c r="G174" s="93">
        <f ca="1">G164</f>
        <v>2.5448449285704804</v>
      </c>
      <c r="H174" s="93">
        <f ca="1">H164</f>
        <v>2.4239799964361706</v>
      </c>
      <c r="I174" s="93">
        <f ca="1">I164</f>
        <v>2.4231973278464127</v>
      </c>
      <c r="J174" s="93">
        <f ca="1">J164</f>
        <v>2.4231973278464127</v>
      </c>
      <c r="K174" s="93"/>
    </row>
    <row r="175" spans="1:11">
      <c r="A175" s="321" t="s">
        <v>69</v>
      </c>
      <c r="B175" s="321"/>
      <c r="C175" s="321"/>
      <c r="D175" s="332">
        <v>7200</v>
      </c>
      <c r="E175" s="333">
        <v>0.5</v>
      </c>
      <c r="F175" s="76">
        <f ca="1">'Manufacturing Cost Calculations'!$D173*F$174^'Manufacturing Cost Calculations'!$E173</f>
        <v>55718.685771228709</v>
      </c>
      <c r="G175" s="76">
        <f ca="1">'Manufacturing Cost Calculations'!$D173*G$174^'Manufacturing Cost Calculations'!$E173</f>
        <v>55380.314052106012</v>
      </c>
      <c r="H175" s="76">
        <f ca="1">'Manufacturing Cost Calculations'!$D173*H$174^'Manufacturing Cost Calculations'!$E173</f>
        <v>53525.755980692564</v>
      </c>
      <c r="I175" s="76">
        <f ca="1">'Manufacturing Cost Calculations'!$D173*I$174^'Manufacturing Cost Calculations'!$E173</f>
        <v>53513.657502115035</v>
      </c>
      <c r="J175" s="76">
        <f ca="1">'Manufacturing Cost Calculations'!$D173*J$174^'Manufacturing Cost Calculations'!$E173</f>
        <v>53513.657502115035</v>
      </c>
      <c r="K175" s="76"/>
    </row>
    <row r="176" spans="1:11">
      <c r="A176" s="321" t="s">
        <v>71</v>
      </c>
      <c r="B176" s="321"/>
      <c r="C176" s="321"/>
      <c r="D176" s="334">
        <v>1</v>
      </c>
      <c r="E176" s="333">
        <v>0.7</v>
      </c>
      <c r="F176" s="90">
        <f ca="1">'Manufacturing Cost Calculations'!$D174*F$174^'Manufacturing Cost Calculations'!$E174</f>
        <v>2.9020148839181621</v>
      </c>
      <c r="G176" s="90">
        <f ca="1">'Manufacturing Cost Calculations'!$D174*G$174^'Manufacturing Cost Calculations'!$E174</f>
        <v>2.8843913568805215</v>
      </c>
      <c r="H176" s="90">
        <f ca="1">'Manufacturing Cost Calculations'!$D174*H$174^'Manufacturing Cost Calculations'!$E174</f>
        <v>2.787799790661071</v>
      </c>
      <c r="I176" s="90">
        <f ca="1">'Manufacturing Cost Calculations'!$D174*I$174^'Manufacturing Cost Calculations'!$E174</f>
        <v>2.7871696615684916</v>
      </c>
      <c r="J176" s="90">
        <f ca="1">'Manufacturing Cost Calculations'!$D174*J$174^'Manufacturing Cost Calculations'!$E174</f>
        <v>2.7871696615684916</v>
      </c>
      <c r="K176" s="90"/>
    </row>
    <row r="177" spans="1:11">
      <c r="A177" s="321" t="s">
        <v>72</v>
      </c>
      <c r="B177" s="321"/>
      <c r="C177" s="321"/>
      <c r="D177" s="332">
        <v>225</v>
      </c>
      <c r="E177" s="333">
        <v>0.6</v>
      </c>
      <c r="F177" s="76">
        <f ca="1">'Manufacturing Cost Calculations'!$D175*F$174^'Manufacturing Cost Calculations'!$E175</f>
        <v>1584.5532266230189</v>
      </c>
      <c r="G177" s="76">
        <f ca="1">'Manufacturing Cost Calculations'!$D175*G$174^'Manufacturing Cost Calculations'!$E175</f>
        <v>1576.301553444107</v>
      </c>
      <c r="H177" s="76">
        <f ca="1">'Manufacturing Cost Calculations'!$D175*H$174^'Manufacturing Cost Calculations'!$E175</f>
        <v>1530.946197308263</v>
      </c>
      <c r="I177" s="76">
        <f ca="1">'Manufacturing Cost Calculations'!$D175*I$174^'Manufacturing Cost Calculations'!$E175</f>
        <v>1530.6495857291602</v>
      </c>
      <c r="J177" s="76">
        <f ca="1">'Manufacturing Cost Calculations'!$D175*J$174^'Manufacturing Cost Calculations'!$E175</f>
        <v>1530.6495857291602</v>
      </c>
      <c r="K177" s="76"/>
    </row>
    <row r="178" spans="1:11">
      <c r="A178" s="7" t="s">
        <v>141</v>
      </c>
      <c r="D178" s="335"/>
      <c r="E178" s="336"/>
      <c r="F178" s="71"/>
      <c r="G178" s="71"/>
      <c r="H178" s="71"/>
      <c r="I178" s="71"/>
      <c r="J178" s="71"/>
      <c r="K178" s="71"/>
    </row>
    <row r="179" spans="1:11">
      <c r="A179" s="7" t="s">
        <v>136</v>
      </c>
      <c r="D179" s="335"/>
      <c r="E179" s="336"/>
      <c r="F179" s="91">
        <f ca="1">F174</f>
        <v>2.5670867069016383</v>
      </c>
      <c r="G179" s="91">
        <f ca="1">G174</f>
        <v>2.5448449285704804</v>
      </c>
      <c r="H179" s="91">
        <f ca="1">H174</f>
        <v>2.4239799964361706</v>
      </c>
      <c r="I179" s="91">
        <f ca="1">I174</f>
        <v>2.4231973278464127</v>
      </c>
      <c r="J179" s="91">
        <f ca="1">J174</f>
        <v>2.4231973278464127</v>
      </c>
      <c r="K179" s="91"/>
    </row>
    <row r="180" spans="1:11">
      <c r="A180" s="7" t="s">
        <v>69</v>
      </c>
      <c r="D180" s="336">
        <v>28800</v>
      </c>
      <c r="E180" s="337">
        <v>0.7</v>
      </c>
      <c r="F180" s="76">
        <f ca="1">'Manufacturing Cost Calculations'!$D178*F$179^'Manufacturing Cost Calculations'!$E178</f>
        <v>46143.73628318902</v>
      </c>
      <c r="G180" s="76">
        <f ca="1">'Manufacturing Cost Calculations'!$D178*G$179^'Manufacturing Cost Calculations'!$E178</f>
        <v>45943.401893563554</v>
      </c>
      <c r="H180" s="76">
        <f ca="1">'Manufacturing Cost Calculations'!$D178*H$179^'Manufacturing Cost Calculations'!$E178</f>
        <v>44839.112036747756</v>
      </c>
      <c r="I180" s="76">
        <f ca="1">'Manufacturing Cost Calculations'!$D178*I$179^'Manufacturing Cost Calculations'!$E178</f>
        <v>44831.872497241609</v>
      </c>
      <c r="J180" s="76">
        <f ca="1">'Manufacturing Cost Calculations'!$D178*J$179^'Manufacturing Cost Calculations'!$E178</f>
        <v>44831.872497241609</v>
      </c>
      <c r="K180" s="76"/>
    </row>
    <row r="181" spans="1:11">
      <c r="A181" s="7" t="s">
        <v>71</v>
      </c>
      <c r="D181" s="337">
        <v>1.5</v>
      </c>
      <c r="E181" s="337">
        <v>0.7</v>
      </c>
      <c r="F181" s="90">
        <f ca="1">'Manufacturing Cost Calculations'!$D179*F$179^'Manufacturing Cost Calculations'!$E179</f>
        <v>3.8693531785575495</v>
      </c>
      <c r="G181" s="90">
        <f ca="1">'Manufacturing Cost Calculations'!$D179*G$179^'Manufacturing Cost Calculations'!$E179</f>
        <v>3.8458551425073617</v>
      </c>
      <c r="H181" s="90">
        <f ca="1">'Manufacturing Cost Calculations'!$D179*H$179^'Manufacturing Cost Calculations'!$E179</f>
        <v>3.7170663875480945</v>
      </c>
      <c r="I181" s="90">
        <f ca="1">'Manufacturing Cost Calculations'!$D179*I$179^'Manufacturing Cost Calculations'!$E179</f>
        <v>3.7162262154246553</v>
      </c>
      <c r="J181" s="90">
        <f ca="1">'Manufacturing Cost Calculations'!$D179*J$179^'Manufacturing Cost Calculations'!$E179</f>
        <v>3.7162262154246553</v>
      </c>
      <c r="K181" s="90"/>
    </row>
    <row r="182" spans="1:11">
      <c r="A182" s="7" t="s">
        <v>72</v>
      </c>
      <c r="D182" s="336">
        <v>900</v>
      </c>
      <c r="E182" s="337">
        <v>0.6</v>
      </c>
      <c r="F182" s="76">
        <f ca="1">'Manufacturing Cost Calculations'!$D180*F$179^'Manufacturing Cost Calculations'!$E180</f>
        <v>528.18440887433962</v>
      </c>
      <c r="G182" s="76">
        <f ca="1">'Manufacturing Cost Calculations'!$D180*G$179^'Manufacturing Cost Calculations'!$E180</f>
        <v>525.43385114803561</v>
      </c>
      <c r="H182" s="76">
        <f ca="1">'Manufacturing Cost Calculations'!$D180*H$179^'Manufacturing Cost Calculations'!$E180</f>
        <v>510.31539910275438</v>
      </c>
      <c r="I182" s="76">
        <f ca="1">'Manufacturing Cost Calculations'!$D180*I$179^'Manufacturing Cost Calculations'!$E180</f>
        <v>510.21652857638674</v>
      </c>
      <c r="J182" s="76">
        <f ca="1">'Manufacturing Cost Calculations'!$D180*J$179^'Manufacturing Cost Calculations'!$E180</f>
        <v>510.21652857638674</v>
      </c>
      <c r="K182" s="76"/>
    </row>
    <row r="183" spans="1:11">
      <c r="A183" s="321" t="s">
        <v>335</v>
      </c>
      <c r="D183" s="336"/>
      <c r="E183" s="337"/>
    </row>
    <row r="184" spans="1:11">
      <c r="A184" s="7" t="s">
        <v>136</v>
      </c>
      <c r="D184" s="336"/>
      <c r="E184" s="337"/>
      <c r="F184" s="91">
        <f ca="1">'Error Bars'!F179</f>
        <v>2.5670867069016383</v>
      </c>
      <c r="G184" s="91">
        <f ca="1">'Error Bars'!G179</f>
        <v>2.5448449285704804</v>
      </c>
      <c r="H184" s="91">
        <f ca="1">'Error Bars'!H179</f>
        <v>2.4239799964361706</v>
      </c>
      <c r="I184" s="91">
        <f ca="1">'Error Bars'!I179</f>
        <v>2.4231973278464127</v>
      </c>
      <c r="J184" s="91">
        <f ca="1">'Error Bars'!J179</f>
        <v>2.4231973278464127</v>
      </c>
      <c r="K184" s="91"/>
    </row>
    <row r="185" spans="1:11">
      <c r="A185" s="7" t="s">
        <v>69</v>
      </c>
      <c r="D185" s="336">
        <v>28800</v>
      </c>
      <c r="E185" s="337">
        <v>0.5</v>
      </c>
      <c r="F185" s="76">
        <f ca="1">'Manufacturing Cost Calculations'!$D183*F$184^'Manufacturing Cost Calculations'!$E183</f>
        <v>23071.86814159451</v>
      </c>
      <c r="G185" s="76">
        <f ca="1">'Manufacturing Cost Calculations'!$D183*G$184^'Manufacturing Cost Calculations'!$E183</f>
        <v>22971.700946781777</v>
      </c>
      <c r="H185" s="76">
        <f ca="1">'Manufacturing Cost Calculations'!$D183*H$184^'Manufacturing Cost Calculations'!$E183</f>
        <v>22419.556018373878</v>
      </c>
      <c r="I185" s="76">
        <f ca="1">'Manufacturing Cost Calculations'!$D183*I$184^'Manufacturing Cost Calculations'!$E183</f>
        <v>22415.936248620805</v>
      </c>
      <c r="J185" s="76">
        <f ca="1">'Manufacturing Cost Calculations'!$D183*J$184^'Manufacturing Cost Calculations'!$E183</f>
        <v>22415.936248620805</v>
      </c>
      <c r="K185" s="76"/>
    </row>
    <row r="186" spans="1:11">
      <c r="A186" s="7" t="s">
        <v>71</v>
      </c>
      <c r="D186" s="136">
        <v>2</v>
      </c>
      <c r="E186" s="136">
        <v>0.7</v>
      </c>
      <c r="F186" s="90">
        <f ca="1">'Manufacturing Cost Calculations'!$D184*F$184^'Manufacturing Cost Calculations'!$E184</f>
        <v>3.0954825428460397</v>
      </c>
      <c r="G186" s="90">
        <f ca="1">'Manufacturing Cost Calculations'!$D184*G$184^'Manufacturing Cost Calculations'!$E184</f>
        <v>3.0766841140058894</v>
      </c>
      <c r="H186" s="90">
        <f ca="1">'Manufacturing Cost Calculations'!$D184*H$184^'Manufacturing Cost Calculations'!$E184</f>
        <v>2.9736531100384758</v>
      </c>
      <c r="I186" s="90">
        <f ca="1">'Manufacturing Cost Calculations'!$D184*I$184^'Manufacturing Cost Calculations'!$E184</f>
        <v>2.9729809723397245</v>
      </c>
      <c r="J186" s="90">
        <f ca="1">'Manufacturing Cost Calculations'!$D184*J$184^'Manufacturing Cost Calculations'!$E184</f>
        <v>2.9729809723397245</v>
      </c>
      <c r="K186" s="90"/>
    </row>
    <row r="187" spans="1:11">
      <c r="A187" s="7" t="s">
        <v>72</v>
      </c>
      <c r="D187" s="100">
        <v>300</v>
      </c>
      <c r="E187" s="136">
        <v>0.6</v>
      </c>
      <c r="F187" s="76">
        <f ca="1">'Manufacturing Cost Calculations'!$D185*F$184^'Manufacturing Cost Calculations'!$E185</f>
        <v>528.18440887433962</v>
      </c>
      <c r="G187" s="76">
        <f ca="1">'Manufacturing Cost Calculations'!$D185*G$184^'Manufacturing Cost Calculations'!$E185</f>
        <v>525.43385114803561</v>
      </c>
      <c r="H187" s="76">
        <f ca="1">'Manufacturing Cost Calculations'!$D185*H$184^'Manufacturing Cost Calculations'!$E185</f>
        <v>510.31539910275438</v>
      </c>
      <c r="I187" s="76">
        <f ca="1">'Manufacturing Cost Calculations'!$D185*I$184^'Manufacturing Cost Calculations'!$E185</f>
        <v>510.21652857638674</v>
      </c>
      <c r="J187" s="76">
        <f ca="1">'Manufacturing Cost Calculations'!$D185*J$184^'Manufacturing Cost Calculations'!$E185</f>
        <v>510.21652857638674</v>
      </c>
      <c r="K187" s="76"/>
    </row>
    <row r="188" spans="1:11">
      <c r="A188" s="5" t="s">
        <v>679</v>
      </c>
    </row>
    <row r="189" spans="1:11">
      <c r="A189" s="233" t="s">
        <v>669</v>
      </c>
    </row>
    <row r="190" spans="1:11">
      <c r="A190" s="7" t="s">
        <v>69</v>
      </c>
      <c r="F190" s="100">
        <f t="shared" ref="F190:J192" ca="1" si="2">F69+F75+F81+F86+F91+F96+F101</f>
        <v>297917.70691455156</v>
      </c>
      <c r="G190" s="100">
        <f t="shared" ca="1" si="2"/>
        <v>301275.48407195474</v>
      </c>
      <c r="H190" s="100">
        <f t="shared" ca="1" si="2"/>
        <v>301094.60511198896</v>
      </c>
      <c r="I190" s="100">
        <f t="shared" ca="1" si="2"/>
        <v>297813.41379669745</v>
      </c>
      <c r="J190" s="100">
        <f t="shared" ca="1" si="2"/>
        <v>297813.41379669745</v>
      </c>
    </row>
    <row r="191" spans="1:11">
      <c r="A191" s="7" t="s">
        <v>71</v>
      </c>
      <c r="F191" s="100">
        <f t="shared" ca="1" si="2"/>
        <v>60.796998238128559</v>
      </c>
      <c r="G191" s="100">
        <f t="shared" ca="1" si="2"/>
        <v>61.765001257061463</v>
      </c>
      <c r="H191" s="100">
        <f t="shared" ca="1" si="2"/>
        <v>61.738628583833346</v>
      </c>
      <c r="I191" s="100">
        <f t="shared" ca="1" si="2"/>
        <v>60.791543123864869</v>
      </c>
      <c r="J191" s="100">
        <f t="shared" ca="1" si="2"/>
        <v>60.791543123864869</v>
      </c>
    </row>
    <row r="192" spans="1:11">
      <c r="A192" s="7" t="s">
        <v>72</v>
      </c>
      <c r="F192" s="100">
        <f t="shared" ca="1" si="2"/>
        <v>8211.1037377079811</v>
      </c>
      <c r="G192" s="100">
        <f t="shared" ca="1" si="2"/>
        <v>8329.7477630281592</v>
      </c>
      <c r="H192" s="100">
        <f t="shared" ca="1" si="2"/>
        <v>8323.3470153464259</v>
      </c>
      <c r="I192" s="100">
        <f t="shared" ca="1" si="2"/>
        <v>8207.4246529527591</v>
      </c>
      <c r="J192" s="100">
        <f t="shared" ca="1" si="2"/>
        <v>8207.4246529527591</v>
      </c>
    </row>
    <row r="193" spans="1:10">
      <c r="A193" s="80" t="s">
        <v>670</v>
      </c>
    </row>
    <row r="194" spans="1:10">
      <c r="A194" s="7" t="s">
        <v>69</v>
      </c>
      <c r="F194" s="100">
        <f t="shared" ref="F194:J196" ca="1" si="3">F111+F117+F123+F128+F133+F138+F143</f>
        <v>362189.59342272015</v>
      </c>
      <c r="G194" s="100">
        <f t="shared" ca="1" si="3"/>
        <v>366291.25128867966</v>
      </c>
      <c r="H194" s="100">
        <f t="shared" ca="1" si="3"/>
        <v>366070.29399503837</v>
      </c>
      <c r="I194" s="100">
        <f t="shared" ca="1" si="3"/>
        <v>362062.19932825549</v>
      </c>
      <c r="J194" s="100">
        <f t="shared" ca="1" si="3"/>
        <v>362062.19932825549</v>
      </c>
    </row>
    <row r="195" spans="1:10">
      <c r="A195" s="7" t="s">
        <v>71</v>
      </c>
      <c r="F195" s="100">
        <f t="shared" ca="1" si="3"/>
        <v>80.078643262738595</v>
      </c>
      <c r="G195" s="100">
        <f t="shared" ca="1" si="3"/>
        <v>81.35480798532015</v>
      </c>
      <c r="H195" s="100">
        <f t="shared" ca="1" si="3"/>
        <v>81.320346291811916</v>
      </c>
      <c r="I195" s="100">
        <f t="shared" ca="1" si="3"/>
        <v>80.071743037576198</v>
      </c>
      <c r="J195" s="100">
        <f t="shared" ca="1" si="3"/>
        <v>80.071743037576198</v>
      </c>
    </row>
    <row r="196" spans="1:10">
      <c r="A196" s="7" t="s">
        <v>72</v>
      </c>
      <c r="F196" s="100">
        <f t="shared" ca="1" si="3"/>
        <v>10544.22977988019</v>
      </c>
      <c r="G196" s="100">
        <f t="shared" ca="1" si="3"/>
        <v>10697.36792384651</v>
      </c>
      <c r="H196" s="100">
        <f t="shared" ca="1" si="3"/>
        <v>10689.105968494627</v>
      </c>
      <c r="I196" s="100">
        <f t="shared" ca="1" si="3"/>
        <v>10539.481227033255</v>
      </c>
      <c r="J196" s="100">
        <f t="shared" ca="1" si="3"/>
        <v>10539.481227033255</v>
      </c>
    </row>
    <row r="197" spans="1:10">
      <c r="A197" s="80" t="s">
        <v>671</v>
      </c>
    </row>
    <row r="198" spans="1:10">
      <c r="A198" s="7" t="s">
        <v>69</v>
      </c>
      <c r="F198" s="100">
        <f t="shared" ref="F198:J200" ca="1" si="4">F153+F159+F165+F170+F175+F180+F185</f>
        <v>251829.56497478206</v>
      </c>
      <c r="G198" s="100">
        <f t="shared" ca="1" si="4"/>
        <v>250639.77209975116</v>
      </c>
      <c r="H198" s="100">
        <f t="shared" ca="1" si="4"/>
        <v>244091.9821368705</v>
      </c>
      <c r="I198" s="100">
        <f t="shared" ca="1" si="4"/>
        <v>244049.11561539187</v>
      </c>
      <c r="J198" s="100">
        <f t="shared" ca="1" si="4"/>
        <v>244049.11561539187</v>
      </c>
    </row>
    <row r="199" spans="1:10">
      <c r="A199" s="7" t="s">
        <v>71</v>
      </c>
      <c r="F199" s="100">
        <f t="shared" ca="1" si="4"/>
        <v>47.929104395167982</v>
      </c>
      <c r="G199" s="100">
        <f t="shared" ca="1" si="4"/>
        <v>47.606773900970609</v>
      </c>
      <c r="H199" s="100">
        <f t="shared" ca="1" si="4"/>
        <v>45.872345823673591</v>
      </c>
      <c r="I199" s="100">
        <f t="shared" ca="1" si="4"/>
        <v>45.861832530500038</v>
      </c>
      <c r="J199" s="100">
        <f t="shared" ca="1" si="4"/>
        <v>45.861832530500038</v>
      </c>
    </row>
    <row r="200" spans="1:10">
      <c r="A200" s="7" t="s">
        <v>72</v>
      </c>
      <c r="F200" s="100">
        <f t="shared" ca="1" si="4"/>
        <v>6622.1191350713052</v>
      </c>
      <c r="G200" s="100">
        <f t="shared" ca="1" si="4"/>
        <v>6582.1177107880849</v>
      </c>
      <c r="H200" s="100">
        <f t="shared" ca="1" si="4"/>
        <v>6362.941982390159</v>
      </c>
      <c r="I200" s="100">
        <f t="shared" ca="1" si="4"/>
        <v>6361.5125185015086</v>
      </c>
      <c r="J200" s="100">
        <f t="shared" ca="1" si="4"/>
        <v>6361.5125185015086</v>
      </c>
    </row>
    <row r="201" spans="1:10">
      <c r="A201" s="5" t="s">
        <v>680</v>
      </c>
    </row>
    <row r="202" spans="1:10">
      <c r="A202" s="80" t="s">
        <v>670</v>
      </c>
    </row>
    <row r="203" spans="1:10">
      <c r="A203" s="7" t="s">
        <v>69</v>
      </c>
      <c r="F203" s="345">
        <f t="shared" ref="F203:J205" ca="1" si="5">F194-F190</f>
        <v>64271.886508168594</v>
      </c>
      <c r="G203" s="345">
        <f t="shared" ca="1" si="5"/>
        <v>65015.767216724926</v>
      </c>
      <c r="H203" s="345">
        <f t="shared" ca="1" si="5"/>
        <v>64975.688883049414</v>
      </c>
      <c r="I203" s="345">
        <f t="shared" ca="1" si="5"/>
        <v>64248.785531558038</v>
      </c>
      <c r="J203" s="345">
        <f t="shared" ca="1" si="5"/>
        <v>64248.785531558038</v>
      </c>
    </row>
    <row r="204" spans="1:10">
      <c r="A204" s="7" t="s">
        <v>71</v>
      </c>
      <c r="F204" s="345">
        <f t="shared" ca="1" si="5"/>
        <v>19.281645024610036</v>
      </c>
      <c r="G204" s="345">
        <f t="shared" ca="1" si="5"/>
        <v>19.589806728258687</v>
      </c>
      <c r="H204" s="345">
        <f t="shared" ca="1" si="5"/>
        <v>19.581717707978569</v>
      </c>
      <c r="I204" s="345">
        <f t="shared" ca="1" si="5"/>
        <v>19.280199913711328</v>
      </c>
      <c r="J204" s="345">
        <f t="shared" ca="1" si="5"/>
        <v>19.280199913711328</v>
      </c>
    </row>
    <row r="205" spans="1:10">
      <c r="A205" s="7" t="s">
        <v>72</v>
      </c>
      <c r="F205" s="345">
        <f t="shared" ca="1" si="5"/>
        <v>2333.1260421722091</v>
      </c>
      <c r="G205" s="345">
        <f t="shared" ca="1" si="5"/>
        <v>2367.620160818351</v>
      </c>
      <c r="H205" s="345">
        <f t="shared" ca="1" si="5"/>
        <v>2365.7589531482008</v>
      </c>
      <c r="I205" s="345">
        <f t="shared" ca="1" si="5"/>
        <v>2332.0565740804959</v>
      </c>
      <c r="J205" s="345">
        <f t="shared" ca="1" si="5"/>
        <v>2332.0565740804959</v>
      </c>
    </row>
    <row r="206" spans="1:10">
      <c r="A206" s="80" t="s">
        <v>671</v>
      </c>
      <c r="F206" s="345"/>
      <c r="G206" s="345"/>
      <c r="H206" s="345"/>
      <c r="I206" s="345"/>
      <c r="J206" s="345"/>
    </row>
    <row r="207" spans="1:10">
      <c r="A207" s="7" t="s">
        <v>69</v>
      </c>
      <c r="F207" s="345">
        <f t="shared" ref="F207:J209" ca="1" si="6">F198-F190</f>
        <v>-46088.141939769499</v>
      </c>
      <c r="G207" s="345">
        <f t="shared" ca="1" si="6"/>
        <v>-50635.711972203571</v>
      </c>
      <c r="H207" s="345">
        <f t="shared" ca="1" si="6"/>
        <v>-57002.622975118458</v>
      </c>
      <c r="I207" s="345">
        <f t="shared" ca="1" si="6"/>
        <v>-53764.298181305581</v>
      </c>
      <c r="J207" s="345">
        <f t="shared" ca="1" si="6"/>
        <v>-53764.298181305581</v>
      </c>
    </row>
    <row r="208" spans="1:10">
      <c r="A208" s="7" t="s">
        <v>71</v>
      </c>
      <c r="F208" s="345">
        <f t="shared" ca="1" si="6"/>
        <v>-12.867893842960576</v>
      </c>
      <c r="G208" s="345">
        <f t="shared" ca="1" si="6"/>
        <v>-14.158227356090855</v>
      </c>
      <c r="H208" s="345">
        <f t="shared" ca="1" si="6"/>
        <v>-15.866282760159756</v>
      </c>
      <c r="I208" s="345">
        <f t="shared" ca="1" si="6"/>
        <v>-14.929710593364831</v>
      </c>
      <c r="J208" s="345">
        <f t="shared" ca="1" si="6"/>
        <v>-14.929710593364831</v>
      </c>
    </row>
    <row r="209" spans="1:10">
      <c r="A209" s="7" t="s">
        <v>72</v>
      </c>
      <c r="F209" s="345">
        <f t="shared" ca="1" si="6"/>
        <v>-1588.9846026366758</v>
      </c>
      <c r="G209" s="345">
        <f t="shared" ca="1" si="6"/>
        <v>-1747.6300522400743</v>
      </c>
      <c r="H209" s="345">
        <f t="shared" ca="1" si="6"/>
        <v>-1960.405032956267</v>
      </c>
      <c r="I209" s="345">
        <f t="shared" ca="1" si="6"/>
        <v>-1845.9121344512505</v>
      </c>
      <c r="J209" s="345">
        <f t="shared" ca="1" si="6"/>
        <v>-1845.9121344512505</v>
      </c>
    </row>
    <row r="210" spans="1:10" ht="15.75">
      <c r="A210" s="19" t="s">
        <v>683</v>
      </c>
    </row>
    <row r="211" spans="1:10">
      <c r="A211" s="5" t="s">
        <v>681</v>
      </c>
    </row>
    <row r="212" spans="1:10">
      <c r="A212" s="7" t="s">
        <v>177</v>
      </c>
      <c r="F212" s="76">
        <f ca="1">'Manufacturing Cost Calculations'!F257+F204</f>
        <v>284.57732489856983</v>
      </c>
      <c r="G212" s="76">
        <f ca="1">'Manufacturing Cost Calculations'!G257+G204</f>
        <v>364.22674583975146</v>
      </c>
      <c r="H212" s="76">
        <f ca="1">'Manufacturing Cost Calculations'!H257+H204</f>
        <v>368.87817327715271</v>
      </c>
      <c r="I212" s="76">
        <f ca="1">'Manufacturing Cost Calculations'!I257+I204</f>
        <v>362.03581968641788</v>
      </c>
      <c r="J212" s="76">
        <f ca="1">'Manufacturing Cost Calculations'!J257+J204</f>
        <v>362.03581968641788</v>
      </c>
    </row>
    <row r="213" spans="1:10">
      <c r="A213" s="7" t="s">
        <v>185</v>
      </c>
      <c r="F213" s="76"/>
      <c r="G213" s="76"/>
      <c r="H213" s="76"/>
      <c r="I213" s="76"/>
      <c r="J213" s="76"/>
    </row>
    <row r="214" spans="1:10" ht="14.25">
      <c r="A214" s="7" t="s">
        <v>148</v>
      </c>
      <c r="F214" s="76">
        <f ca="1">'Manufacturing Cost Calculations'!F258+F205</f>
        <v>33207.802931767481</v>
      </c>
      <c r="G214" s="76">
        <f ca="1">'Manufacturing Cost Calculations'!G258+G205</f>
        <v>41135.21785581467</v>
      </c>
      <c r="H214" s="76">
        <f ca="1">'Manufacturing Cost Calculations'!H258+H205</f>
        <v>41127.176818558306</v>
      </c>
      <c r="I214" s="76">
        <f ca="1">'Manufacturing Cost Calculations'!I258+I205</f>
        <v>40898.914517576297</v>
      </c>
      <c r="J214" s="76">
        <f ca="1">'Manufacturing Cost Calculations'!J258+J205</f>
        <v>40898.914517576297</v>
      </c>
    </row>
    <row r="215" spans="1:10" ht="14.25">
      <c r="A215" s="7" t="s">
        <v>176</v>
      </c>
      <c r="F215" s="76">
        <f>'Cost Input'!$F55</f>
        <v>3000</v>
      </c>
      <c r="G215" s="76">
        <f>'Cost Input'!$F55</f>
        <v>3000</v>
      </c>
      <c r="H215" s="76">
        <f>'Cost Input'!$F55</f>
        <v>3000</v>
      </c>
      <c r="I215" s="76">
        <f>'Cost Input'!$F55</f>
        <v>3000</v>
      </c>
      <c r="J215" s="76">
        <f>'Cost Input'!$F55</f>
        <v>3000</v>
      </c>
    </row>
    <row r="216" spans="1:10">
      <c r="A216" s="7" t="s">
        <v>186</v>
      </c>
      <c r="F216" s="90">
        <f ca="1">F214*F215/1000000</f>
        <v>99.623408795302439</v>
      </c>
      <c r="G216" s="90">
        <f ca="1">G214*G215/1000000</f>
        <v>123.40565356744401</v>
      </c>
      <c r="H216" s="90">
        <f ca="1">H214*H215/1000000</f>
        <v>123.38153045567492</v>
      </c>
      <c r="I216" s="90">
        <f ca="1">I214*I215/1000000</f>
        <v>122.69674355272889</v>
      </c>
      <c r="J216" s="90">
        <f ca="1">J214*J215/1000000</f>
        <v>122.69674355272889</v>
      </c>
    </row>
    <row r="217" spans="1:10">
      <c r="A217" s="7" t="s">
        <v>149</v>
      </c>
      <c r="F217" s="76"/>
      <c r="G217" s="76"/>
      <c r="H217" s="76"/>
      <c r="I217" s="76"/>
      <c r="J217" s="76"/>
    </row>
    <row r="218" spans="1:10">
      <c r="A218" s="7" t="s">
        <v>150</v>
      </c>
      <c r="F218" s="76"/>
      <c r="G218" s="76"/>
      <c r="H218" s="76"/>
      <c r="I218" s="76"/>
      <c r="J218" s="76"/>
    </row>
    <row r="219" spans="1:10">
      <c r="A219" s="7" t="s">
        <v>151</v>
      </c>
      <c r="F219" s="199">
        <f ca="1">('Cost Input'!$F57/100*F224+'Cost Input'!$F58/100*(F225+F226))*'Manufacturing Cost Calculations'!F6/1000000</f>
        <v>30.880096842588586</v>
      </c>
      <c r="G219" s="199">
        <f ca="1">('Cost Input'!$F57/100*G224+'Cost Input'!$F58/100*(G225+G226))*'Manufacturing Cost Calculations'!G6/1000000</f>
        <v>33.277827619665167</v>
      </c>
      <c r="H219" s="199">
        <f ca="1">('Cost Input'!$F57/100*H224+'Cost Input'!$F58/100*(H225+H226))*'Manufacturing Cost Calculations'!H6/1000000</f>
        <v>35.125787267033914</v>
      </c>
      <c r="I219" s="199">
        <f ca="1">('Cost Input'!$F57/100*I224+'Cost Input'!$F58/100*(I225+I226))*'Manufacturing Cost Calculations'!I6/1000000</f>
        <v>35.100682757415044</v>
      </c>
      <c r="J219" s="199">
        <f ca="1">('Cost Input'!$F57/100*J224+'Cost Input'!$F58/100*(J225+J226))*'Manufacturing Cost Calculations'!J6/1000000</f>
        <v>35.100682757415044</v>
      </c>
    </row>
    <row r="220" spans="1:10">
      <c r="A220" s="7" t="s">
        <v>178</v>
      </c>
      <c r="F220" s="199">
        <f ca="1">F227*'Manufacturing Cost Calculations'!F6/1000000*'Cost Input'!$F$59/100</f>
        <v>86.979797116318679</v>
      </c>
      <c r="G220" s="199">
        <f ca="1">G227*'Manufacturing Cost Calculations'!G6/1000000*'Cost Input'!$F$59/100</f>
        <v>92.648415678268833</v>
      </c>
      <c r="H220" s="199">
        <f ca="1">H227*'Manufacturing Cost Calculations'!H6/1000000*'Cost Input'!$F$59/100</f>
        <v>98.169619245784375</v>
      </c>
      <c r="I220" s="199">
        <f ca="1">I227*'Manufacturing Cost Calculations'!I6/1000000*'Cost Input'!$F$59/100</f>
        <v>98.144933615703209</v>
      </c>
      <c r="J220" s="199">
        <f ca="1">J227*'Manufacturing Cost Calculations'!J6/1000000*'Cost Input'!$F$59/100</f>
        <v>98.144933615703209</v>
      </c>
    </row>
    <row r="221" spans="1:10">
      <c r="A221" s="7" t="s">
        <v>188</v>
      </c>
      <c r="F221" s="199">
        <f ca="1">F212+F216+F219+F220</f>
        <v>502.06062765277954</v>
      </c>
      <c r="G221" s="199">
        <f ca="1">G212+G216+G219+G220</f>
        <v>613.5586427051295</v>
      </c>
      <c r="H221" s="199">
        <f ca="1">H212+H216+H219+H220</f>
        <v>625.55511024564589</v>
      </c>
      <c r="I221" s="199">
        <f ca="1">I212+I216+I219+I220</f>
        <v>617.97817961226497</v>
      </c>
      <c r="J221" s="199">
        <f ca="1">J212+J216+J219+J220</f>
        <v>617.97817961226497</v>
      </c>
    </row>
    <row r="222" spans="1:10">
      <c r="A222" s="5" t="s">
        <v>682</v>
      </c>
      <c r="F222" s="91"/>
      <c r="G222" s="91"/>
      <c r="H222" s="91"/>
      <c r="I222" s="91"/>
      <c r="J222" s="91"/>
    </row>
    <row r="223" spans="1:10">
      <c r="A223" s="80" t="s">
        <v>93</v>
      </c>
      <c r="F223" s="76"/>
      <c r="G223" s="76"/>
      <c r="H223" s="76"/>
      <c r="I223" s="76"/>
      <c r="J223" s="76"/>
    </row>
    <row r="224" spans="1:10">
      <c r="A224" s="7" t="s">
        <v>152</v>
      </c>
      <c r="F224" s="76">
        <f ca="1">'Summary of Results'!F42+'Error Bars'!F50</f>
        <v>5421.2869136581185</v>
      </c>
      <c r="G224" s="76">
        <f ca="1">'Summary of Results'!G42+'Error Bars'!G50</f>
        <v>5697.5565665028025</v>
      </c>
      <c r="H224" s="76">
        <f ca="1">'Summary of Results'!H42+'Error Bars'!H50</f>
        <v>6064.1251126977913</v>
      </c>
      <c r="I224" s="76">
        <f ca="1">'Summary of Results'!I42+'Error Bars'!I50</f>
        <v>3032.927298638715</v>
      </c>
      <c r="J224" s="76">
        <f ca="1">'Summary of Results'!J42+'Error Bars'!J50</f>
        <v>3032.927298638715</v>
      </c>
    </row>
    <row r="225" spans="1:10" ht="12" customHeight="1">
      <c r="A225" s="7" t="s">
        <v>155</v>
      </c>
      <c r="F225" s="76">
        <f ca="1">'Summary of Results'!F51+'Error Bars'!F203/'Battery Design'!F69/'Battery Design'!F62</f>
        <v>194.67484160768083</v>
      </c>
      <c r="G225" s="76">
        <f ca="1">'Summary of Results'!G51+'Error Bars'!G203/'Battery Design'!G69/'Battery Design'!G62</f>
        <v>246.610712913177</v>
      </c>
      <c r="H225" s="76">
        <f ca="1">'Summary of Results'!H51+'Error Bars'!H203/'Battery Design'!H69/'Battery Design'!H62</f>
        <v>246.5847330118128</v>
      </c>
      <c r="I225" s="76">
        <f ca="1">'Summary of Results'!I51+'Error Bars'!I203/'Battery Design'!I69/'Battery Design'!I62</f>
        <v>122.92596292335095</v>
      </c>
      <c r="J225" s="76">
        <f ca="1">'Summary of Results'!J51+'Error Bars'!J203/'Battery Design'!J69/'Battery Design'!J62</f>
        <v>122.92596292335095</v>
      </c>
    </row>
    <row r="226" spans="1:10">
      <c r="A226" s="7" t="s">
        <v>162</v>
      </c>
      <c r="F226" s="132">
        <f ca="1">F225*'Cost Input'!$F64/100+'Cost Input'!$F65/100*'Error Bars'!F231</f>
        <v>182.69138582212577</v>
      </c>
      <c r="G226" s="132">
        <f ca="1">G225*'Cost Input'!$F64/100+'Cost Input'!$F65/100*'Error Bars'!G231</f>
        <v>232.39376580193246</v>
      </c>
      <c r="H226" s="132">
        <f ca="1">H225*'Cost Input'!$F64/100+'Cost Input'!$F65/100*'Error Bars'!H231</f>
        <v>233.93143734267693</v>
      </c>
      <c r="I226" s="132">
        <f ca="1">I225*'Cost Input'!$F64/100+'Cost Input'!$F65/100*'Error Bars'!I231</f>
        <v>115.64452562804644</v>
      </c>
      <c r="J226" s="132">
        <f ca="1">J225*'Cost Input'!$F64/100+'Cost Input'!$F65/100*'Error Bars'!J231</f>
        <v>115.64452562804644</v>
      </c>
    </row>
    <row r="227" spans="1:10">
      <c r="A227" s="7" t="s">
        <v>163</v>
      </c>
      <c r="F227" s="132">
        <f ca="1">F224+F225+F226</f>
        <v>5798.6531410879252</v>
      </c>
      <c r="G227" s="132">
        <f ca="1">G224+G225+G226</f>
        <v>6176.5610452179117</v>
      </c>
      <c r="H227" s="132">
        <f ca="1">H224+H225+H226</f>
        <v>6544.6412830522813</v>
      </c>
      <c r="I227" s="132">
        <f ca="1">I224+I225+I226</f>
        <v>3271.4977871901124</v>
      </c>
      <c r="J227" s="132">
        <f ca="1">J224+J225+J226</f>
        <v>3271.4977871901124</v>
      </c>
    </row>
    <row r="228" spans="1:10">
      <c r="A228" s="80" t="s">
        <v>95</v>
      </c>
      <c r="F228" s="261"/>
      <c r="G228" s="261"/>
      <c r="H228" s="261"/>
      <c r="I228" s="261"/>
      <c r="J228" s="261"/>
    </row>
    <row r="229" spans="1:10">
      <c r="A229" s="7" t="s">
        <v>164</v>
      </c>
      <c r="F229" s="132">
        <f ca="1">'Cost Input'!$F68/100*(F225+F226)+'Cost Input'!$F69/100*F231</f>
        <v>225.36836833126844</v>
      </c>
      <c r="G229" s="132">
        <f ca="1">'Cost Input'!$F68/100*(G225+G226)+'Cost Input'!$F69/100*G231</f>
        <v>286.93797047460441</v>
      </c>
      <c r="H229" s="132">
        <f ca="1">'Cost Input'!$F68/100*(H225+H226)+'Cost Input'!$F69/100*H231</f>
        <v>289.25097276106214</v>
      </c>
      <c r="I229" s="132">
        <f ca="1">'Cost Input'!$F68/100*(I225+I226)+'Cost Input'!$F69/100*I231</f>
        <v>142.73529771123191</v>
      </c>
      <c r="J229" s="132">
        <f ca="1">'Cost Input'!$F68/100*(J225+J226)+'Cost Input'!$F69/100*J231</f>
        <v>142.73529771123191</v>
      </c>
    </row>
    <row r="230" spans="1:10">
      <c r="A230" s="7" t="s">
        <v>165</v>
      </c>
      <c r="F230" s="132">
        <f ca="1">F231*'Cost Input'!$F70/100</f>
        <v>209.64289835810686</v>
      </c>
      <c r="G230" s="132">
        <f ca="1">G231*'Cost Input'!$F70/100</f>
        <v>267.49896127332329</v>
      </c>
      <c r="H230" s="132">
        <f ca="1">H231*'Cost Input'!$F70/100</f>
        <v>270.59508827590361</v>
      </c>
      <c r="I230" s="132">
        <f ca="1">I231*'Cost Input'!$F70/100</f>
        <v>132.94828091741212</v>
      </c>
      <c r="J230" s="132">
        <f ca="1">J231*'Cost Input'!$F70/100</f>
        <v>132.94828091741212</v>
      </c>
    </row>
    <row r="231" spans="1:10">
      <c r="A231" s="7" t="s">
        <v>166</v>
      </c>
      <c r="F231" s="132">
        <f ca="1">('Cost Input'!$F72/100*F212+'Cost Input'!$F73/100*F216)*1000000/'Manufacturing Cost Calculations'!F6</f>
        <v>524.10724589526762</v>
      </c>
      <c r="G231" s="132">
        <f ca="1">('Cost Input'!$F72/100*G212+'Cost Input'!$F73/100*G216)*1000000/'Manufacturing Cost Calculations'!G6</f>
        <v>668.74740318330782</v>
      </c>
      <c r="H231" s="132">
        <f ca="1">('Cost Input'!$F72/100*H212+'Cost Input'!$F73/100*H216)*1000000/'Manufacturing Cost Calculations'!H6</f>
        <v>676.4877206897587</v>
      </c>
      <c r="I231" s="132">
        <f ca="1">('Cost Input'!$F72/100*I212+'Cost Input'!$F73/100*I216)*1000000/'Manufacturing Cost Calculations'!I6</f>
        <v>332.37070229353054</v>
      </c>
      <c r="J231" s="132">
        <f ca="1">('Cost Input'!$F72/100*J212+'Cost Input'!$F73/100*J216)*1000000/'Manufacturing Cost Calculations'!J6</f>
        <v>332.37070229353054</v>
      </c>
    </row>
    <row r="232" spans="1:10">
      <c r="A232" s="7" t="s">
        <v>167</v>
      </c>
      <c r="F232" s="100">
        <f ca="1">F229+F230+F231</f>
        <v>959.11851258464299</v>
      </c>
      <c r="G232" s="100">
        <f ca="1">G229+G230+G231</f>
        <v>1223.1843349312355</v>
      </c>
      <c r="H232" s="100">
        <f ca="1">H229+H230+H231</f>
        <v>1236.3337817267243</v>
      </c>
      <c r="I232" s="100">
        <f ca="1">I229+I230+I231</f>
        <v>608.05428092217448</v>
      </c>
      <c r="J232" s="100">
        <f ca="1">J229+J230+J231</f>
        <v>608.05428092217448</v>
      </c>
    </row>
    <row r="233" spans="1:10">
      <c r="A233" s="7" t="s">
        <v>168</v>
      </c>
      <c r="F233" s="132">
        <f ca="1">'Cost Input'!$F74/100*F221*1000000/'Manufacturing Cost Calculations'!F6</f>
        <v>251.0303138263898</v>
      </c>
      <c r="G233" s="132">
        <f ca="1">'Cost Input'!$F74/100*G221*1000000/'Manufacturing Cost Calculations'!G6</f>
        <v>306.77932135256475</v>
      </c>
      <c r="H233" s="132">
        <f ca="1">'Cost Input'!$F74/100*H221*1000000/'Manufacturing Cost Calculations'!H6</f>
        <v>312.77755512282295</v>
      </c>
      <c r="I233" s="132">
        <f ca="1">'Cost Input'!$F74/100*I221*1000000/'Manufacturing Cost Calculations'!I6</f>
        <v>154.49454490306624</v>
      </c>
      <c r="J233" s="132">
        <f ca="1">'Cost Input'!$F74/100*J221*1000000/'Manufacturing Cost Calculations'!J6</f>
        <v>154.49454490306624</v>
      </c>
    </row>
    <row r="234" spans="1:10">
      <c r="A234" s="7" t="s">
        <v>373</v>
      </c>
      <c r="F234" s="100">
        <f ca="1">F227+F232+F233</f>
        <v>7008.8019674989582</v>
      </c>
      <c r="G234" s="100">
        <f ca="1">G227+G232+G233</f>
        <v>7706.5247015017121</v>
      </c>
      <c r="H234" s="100">
        <f ca="1">H227+H232+H233</f>
        <v>8093.7526199018293</v>
      </c>
      <c r="I234" s="100">
        <f ca="1">I227+I232+I233</f>
        <v>4034.0466130153532</v>
      </c>
      <c r="J234" s="100">
        <f ca="1">J227+J232+J233</f>
        <v>4034.0466130153532</v>
      </c>
    </row>
    <row r="235" spans="1:10">
      <c r="A235" s="5" t="s">
        <v>180</v>
      </c>
      <c r="F235" s="71"/>
      <c r="G235" s="71"/>
      <c r="H235" s="71"/>
      <c r="I235" s="71"/>
      <c r="J235" s="71"/>
    </row>
    <row r="236" spans="1:10">
      <c r="A236" s="7" t="s">
        <v>243</v>
      </c>
      <c r="F236" s="100">
        <f ca="1">F224-SUM('Summary of Results'!F39:F41)</f>
        <v>4585.3579823681812</v>
      </c>
      <c r="G236" s="100">
        <f ca="1">G224-SUM('Summary of Results'!G39:G41)</f>
        <v>4683.5596629310367</v>
      </c>
      <c r="H236" s="100">
        <f ca="1">H224-SUM('Summary of Results'!H39:H41)</f>
        <v>4730.9874238915691</v>
      </c>
      <c r="I236" s="100">
        <f ca="1">I224-SUM('Summary of Results'!I39:I41)</f>
        <v>2320.6369649820808</v>
      </c>
      <c r="J236" s="100">
        <f ca="1">J224-SUM('Summary of Results'!J39:J41)</f>
        <v>2320.6369649820808</v>
      </c>
    </row>
    <row r="237" spans="1:10">
      <c r="A237" s="7" t="s">
        <v>509</v>
      </c>
      <c r="F237" s="100">
        <f ca="1">SUM('Summary of Results'!F39:F41)</f>
        <v>835.92893128993683</v>
      </c>
      <c r="G237" s="100">
        <f ca="1">SUM('Summary of Results'!G39:G41)</f>
        <v>1013.9969035717656</v>
      </c>
      <c r="H237" s="100">
        <f ca="1">SUM('Summary of Results'!H39:H41)</f>
        <v>1333.1376888062227</v>
      </c>
      <c r="I237" s="100">
        <f ca="1">SUM('Summary of Results'!I39:I41)</f>
        <v>712.29033365663395</v>
      </c>
      <c r="J237" s="100">
        <f ca="1">SUM('Summary of Results'!J39:J41)</f>
        <v>712.29033365663395</v>
      </c>
    </row>
    <row r="238" spans="1:10">
      <c r="A238" s="7" t="s">
        <v>169</v>
      </c>
      <c r="F238" s="100">
        <f t="shared" ref="F238:J239" ca="1" si="7">F225</f>
        <v>194.67484160768083</v>
      </c>
      <c r="G238" s="100">
        <f t="shared" ca="1" si="7"/>
        <v>246.610712913177</v>
      </c>
      <c r="H238" s="100">
        <f t="shared" ca="1" si="7"/>
        <v>246.5847330118128</v>
      </c>
      <c r="I238" s="100">
        <f t="shared" ca="1" si="7"/>
        <v>122.92596292335095</v>
      </c>
      <c r="J238" s="100">
        <f t="shared" ca="1" si="7"/>
        <v>122.92596292335095</v>
      </c>
    </row>
    <row r="239" spans="1:10">
      <c r="A239" s="7" t="s">
        <v>170</v>
      </c>
      <c r="F239" s="100">
        <f t="shared" ca="1" si="7"/>
        <v>182.69138582212577</v>
      </c>
      <c r="G239" s="100">
        <f t="shared" ca="1" si="7"/>
        <v>232.39376580193246</v>
      </c>
      <c r="H239" s="100">
        <f t="shared" ca="1" si="7"/>
        <v>233.93143734267693</v>
      </c>
      <c r="I239" s="100">
        <f t="shared" ca="1" si="7"/>
        <v>115.64452562804644</v>
      </c>
      <c r="J239" s="100">
        <f t="shared" ca="1" si="7"/>
        <v>115.64452562804644</v>
      </c>
    </row>
    <row r="240" spans="1:10">
      <c r="A240" s="7" t="s">
        <v>164</v>
      </c>
      <c r="F240" s="76">
        <f t="shared" ref="F240:J242" ca="1" si="8">F229</f>
        <v>225.36836833126844</v>
      </c>
      <c r="G240" s="76">
        <f t="shared" ca="1" si="8"/>
        <v>286.93797047460441</v>
      </c>
      <c r="H240" s="76">
        <f t="shared" ca="1" si="8"/>
        <v>289.25097276106214</v>
      </c>
      <c r="I240" s="76">
        <f t="shared" ca="1" si="8"/>
        <v>142.73529771123191</v>
      </c>
      <c r="J240" s="76">
        <f t="shared" ca="1" si="8"/>
        <v>142.73529771123191</v>
      </c>
    </row>
    <row r="241" spans="1:15">
      <c r="A241" s="7" t="s">
        <v>165</v>
      </c>
      <c r="F241" s="100">
        <f t="shared" ca="1" si="8"/>
        <v>209.64289835810686</v>
      </c>
      <c r="G241" s="100">
        <f t="shared" ca="1" si="8"/>
        <v>267.49896127332329</v>
      </c>
      <c r="H241" s="100">
        <f t="shared" ca="1" si="8"/>
        <v>270.59508827590361</v>
      </c>
      <c r="I241" s="100">
        <f t="shared" ca="1" si="8"/>
        <v>132.94828091741212</v>
      </c>
      <c r="J241" s="100">
        <f t="shared" ca="1" si="8"/>
        <v>132.94828091741212</v>
      </c>
    </row>
    <row r="242" spans="1:15">
      <c r="A242" s="7" t="s">
        <v>166</v>
      </c>
      <c r="F242" s="100">
        <f t="shared" ca="1" si="8"/>
        <v>524.10724589526762</v>
      </c>
      <c r="G242" s="100">
        <f t="shared" ca="1" si="8"/>
        <v>668.74740318330782</v>
      </c>
      <c r="H242" s="100">
        <f t="shared" ca="1" si="8"/>
        <v>676.4877206897587</v>
      </c>
      <c r="I242" s="100">
        <f t="shared" ca="1" si="8"/>
        <v>332.37070229353054</v>
      </c>
      <c r="J242" s="100">
        <f t="shared" ca="1" si="8"/>
        <v>332.37070229353054</v>
      </c>
      <c r="L242" s="100"/>
      <c r="M242" s="100"/>
      <c r="N242" s="100"/>
      <c r="O242" s="100"/>
    </row>
    <row r="243" spans="1:15">
      <c r="A243" s="7" t="s">
        <v>171</v>
      </c>
      <c r="F243" s="209">
        <f ca="1">F233</f>
        <v>251.0303138263898</v>
      </c>
      <c r="G243" s="209">
        <f ca="1">G233</f>
        <v>306.77932135256475</v>
      </c>
      <c r="H243" s="209">
        <f ca="1">H233</f>
        <v>312.77755512282295</v>
      </c>
      <c r="I243" s="209">
        <f ca="1">I233</f>
        <v>154.49454490306624</v>
      </c>
      <c r="J243" s="209">
        <f ca="1">J233</f>
        <v>154.49454490306624</v>
      </c>
      <c r="L243" s="100"/>
      <c r="M243" s="100"/>
      <c r="N243" s="100"/>
      <c r="O243" s="100"/>
    </row>
    <row r="244" spans="1:15">
      <c r="A244" s="7" t="s">
        <v>540</v>
      </c>
      <c r="F244" s="101">
        <f ca="1">'Cost Input'!$F75/100*(SUM(F236:F243))</f>
        <v>392.49291017994159</v>
      </c>
      <c r="G244" s="101">
        <f ca="1">'Cost Input'!$F75/100*(SUM(G236:G243))</f>
        <v>431.56538328409584</v>
      </c>
      <c r="H244" s="101">
        <f ca="1">'Cost Input'!$F75/100*(SUM(H236:H243))</f>
        <v>453.25014671450242</v>
      </c>
      <c r="I244" s="101">
        <f ca="1">'Cost Input'!$F75/100*(SUM(I236:I243))</f>
        <v>225.90661032885973</v>
      </c>
      <c r="J244" s="101">
        <f ca="1">'Cost Input'!$F75/100*(SUM(J236:J243))</f>
        <v>225.90661032885973</v>
      </c>
      <c r="L244" s="100"/>
      <c r="M244" s="100"/>
      <c r="N244" s="100"/>
      <c r="O244" s="100"/>
    </row>
    <row r="245" spans="1:15">
      <c r="A245" s="321" t="s">
        <v>13</v>
      </c>
      <c r="F245" s="100">
        <f ca="1">SUM(F236:F244)</f>
        <v>7401.294877678899</v>
      </c>
      <c r="G245" s="100">
        <f ca="1">SUM(G236:G244)</f>
        <v>8138.0900847858084</v>
      </c>
      <c r="H245" s="100">
        <f ca="1">SUM(H236:H244)</f>
        <v>8547.0027666163314</v>
      </c>
      <c r="I245" s="100">
        <f ca="1">SUM(I236:I244)</f>
        <v>4259.9532233442123</v>
      </c>
      <c r="J245" s="100">
        <f ca="1">SUM(J236:J244)</f>
        <v>4259.9532233442123</v>
      </c>
      <c r="L245" s="100"/>
      <c r="M245" s="100"/>
      <c r="N245" s="100"/>
      <c r="O245" s="100"/>
    </row>
    <row r="246" spans="1:15" ht="15.75">
      <c r="A246" s="19" t="s">
        <v>684</v>
      </c>
      <c r="F246" s="100"/>
      <c r="G246" s="100"/>
      <c r="H246" s="100"/>
      <c r="I246" s="100"/>
      <c r="J246" s="100"/>
    </row>
    <row r="247" spans="1:15">
      <c r="A247" s="5" t="s">
        <v>685</v>
      </c>
      <c r="E247" s="321"/>
      <c r="F247" s="40"/>
      <c r="G247" s="40"/>
      <c r="H247" s="40"/>
      <c r="I247" s="40"/>
      <c r="J247" s="40"/>
    </row>
    <row r="248" spans="1:15">
      <c r="A248" s="7" t="s">
        <v>177</v>
      </c>
      <c r="F248" s="76">
        <f ca="1">'Manufacturing Cost Calculations'!F257+F208</f>
        <v>252.42778603099921</v>
      </c>
      <c r="G248" s="76">
        <f ca="1">'Manufacturing Cost Calculations'!G257+G208</f>
        <v>330.47871175540195</v>
      </c>
      <c r="H248" s="76">
        <f ca="1">'Manufacturing Cost Calculations'!H257+H208</f>
        <v>333.43017280901438</v>
      </c>
      <c r="I248" s="76">
        <f ca="1">'Manufacturing Cost Calculations'!I257+I208</f>
        <v>327.82590917934169</v>
      </c>
      <c r="J248" s="76">
        <f ca="1">'Manufacturing Cost Calculations'!J257+J208</f>
        <v>327.82590917934169</v>
      </c>
    </row>
    <row r="249" spans="1:15">
      <c r="A249" s="7" t="s">
        <v>185</v>
      </c>
      <c r="F249" s="76"/>
      <c r="G249" s="76"/>
      <c r="H249" s="76"/>
      <c r="I249" s="76"/>
      <c r="J249" s="76"/>
    </row>
    <row r="250" spans="1:15" ht="14.25">
      <c r="A250" s="7" t="s">
        <v>148</v>
      </c>
      <c r="F250" s="76">
        <f ca="1">'Manufacturing Cost Calculations'!F258+F209</f>
        <v>29285.692286958598</v>
      </c>
      <c r="G250" s="76">
        <f ca="1">'Manufacturing Cost Calculations'!G258+G209</f>
        <v>37019.967642756237</v>
      </c>
      <c r="H250" s="76">
        <f ca="1">'Manufacturing Cost Calculations'!H258+H209</f>
        <v>36801.012832453838</v>
      </c>
      <c r="I250" s="76">
        <f ca="1">'Manufacturing Cost Calculations'!I258+I209</f>
        <v>36720.945809044548</v>
      </c>
      <c r="J250" s="76">
        <f ca="1">'Manufacturing Cost Calculations'!J258+J209</f>
        <v>36720.945809044548</v>
      </c>
    </row>
    <row r="251" spans="1:15" ht="14.25">
      <c r="A251" s="7" t="s">
        <v>176</v>
      </c>
      <c r="F251" s="76">
        <f>'Cost Input'!$F55</f>
        <v>3000</v>
      </c>
      <c r="G251" s="76">
        <f>'Cost Input'!$F55</f>
        <v>3000</v>
      </c>
      <c r="H251" s="76">
        <f>'Cost Input'!$F55</f>
        <v>3000</v>
      </c>
      <c r="I251" s="76">
        <f>'Cost Input'!$F55</f>
        <v>3000</v>
      </c>
      <c r="J251" s="76">
        <f>'Cost Input'!$F55</f>
        <v>3000</v>
      </c>
    </row>
    <row r="252" spans="1:15">
      <c r="A252" s="7" t="s">
        <v>186</v>
      </c>
      <c r="F252" s="90">
        <f ca="1">F250*F251/1000000</f>
        <v>87.857076860875807</v>
      </c>
      <c r="G252" s="90">
        <f ca="1">G250*G251/1000000</f>
        <v>111.05990292826871</v>
      </c>
      <c r="H252" s="90">
        <f ca="1">H250*H251/1000000</f>
        <v>110.40303849736151</v>
      </c>
      <c r="I252" s="90">
        <f ca="1">I250*I251/1000000</f>
        <v>110.16283742713365</v>
      </c>
      <c r="J252" s="90">
        <f ca="1">J250*J251/1000000</f>
        <v>110.16283742713365</v>
      </c>
    </row>
    <row r="253" spans="1:15">
      <c r="A253" s="7" t="s">
        <v>149</v>
      </c>
      <c r="F253" s="76"/>
      <c r="G253" s="76"/>
      <c r="H253" s="76"/>
      <c r="I253" s="76"/>
      <c r="J253" s="76"/>
    </row>
    <row r="254" spans="1:15">
      <c r="A254" s="7" t="s">
        <v>150</v>
      </c>
      <c r="F254" s="76"/>
      <c r="G254" s="76"/>
      <c r="H254" s="76"/>
      <c r="I254" s="76"/>
      <c r="J254" s="76"/>
    </row>
    <row r="255" spans="1:15">
      <c r="A255" s="7" t="s">
        <v>151</v>
      </c>
      <c r="F255" s="199">
        <f ca="1">('Cost Input'!$F57/100*F260+'Cost Input'!$F58/100*(F261+F262))*'Manufacturing Cost Calculations'!F6/1000000</f>
        <v>27.029559613844523</v>
      </c>
      <c r="G255" s="199">
        <f ca="1">('Cost Input'!$F57/100*G260+'Cost Input'!$F58/100*(G261+G262))*'Manufacturing Cost Calculations'!G6/1000000</f>
        <v>29.214093916076571</v>
      </c>
      <c r="H255" s="199">
        <f ca="1">('Cost Input'!$F57/100*H260+'Cost Input'!$F58/100*(H261+H262))*'Manufacturing Cost Calculations'!H6/1000000</f>
        <v>30.756612428837695</v>
      </c>
      <c r="I255" s="199">
        <f ca="1">('Cost Input'!$F57/100*I260+'Cost Input'!$F58/100*(I261+I262))*'Manufacturing Cost Calculations'!I6/1000000</f>
        <v>30.891766743856632</v>
      </c>
      <c r="J255" s="199">
        <f ca="1">('Cost Input'!$F57/100*J260+'Cost Input'!$F58/100*(J261+J262))*'Manufacturing Cost Calculations'!J6/1000000</f>
        <v>30.891766743856632</v>
      </c>
    </row>
    <row r="256" spans="1:15">
      <c r="A256" s="7" t="s">
        <v>178</v>
      </c>
      <c r="F256" s="199">
        <f ca="1">F263*'Manufacturing Cost Calculations'!F6/1000000*'Cost Input'!$F$59/100</f>
        <v>75.62975822830002</v>
      </c>
      <c r="G256" s="199">
        <f ca="1">G263*'Manufacturing Cost Calculations'!G6/1000000*'Cost Input'!$F$59/100</f>
        <v>80.668760174513224</v>
      </c>
      <c r="H256" s="199">
        <f ca="1">H263*'Manufacturing Cost Calculations'!H6/1000000*'Cost Input'!$F$59/100</f>
        <v>85.28441791696406</v>
      </c>
      <c r="I256" s="199">
        <f ca="1">I263*'Manufacturing Cost Calculations'!I6/1000000*'Cost Input'!$F$59/100</f>
        <v>85.732818734331445</v>
      </c>
      <c r="J256" s="199">
        <f ca="1">J263*'Manufacturing Cost Calculations'!J6/1000000*'Cost Input'!$F$59/100</f>
        <v>85.732818734331445</v>
      </c>
    </row>
    <row r="257" spans="1:10">
      <c r="A257" s="7" t="s">
        <v>188</v>
      </c>
      <c r="F257" s="199">
        <f ca="1">F248+F252+F255+F256</f>
        <v>442.9441807340196</v>
      </c>
      <c r="G257" s="199">
        <f ca="1">G248+G252+G255+G256</f>
        <v>551.42146877426046</v>
      </c>
      <c r="H257" s="199">
        <f ca="1">H248+H252+H255+H256</f>
        <v>559.87424165217772</v>
      </c>
      <c r="I257" s="199">
        <f ca="1">I248+I252+I255+I256</f>
        <v>554.6133320846634</v>
      </c>
      <c r="J257" s="199">
        <f ca="1">J248+J252+J255+J256</f>
        <v>554.6133320846634</v>
      </c>
    </row>
    <row r="258" spans="1:10">
      <c r="A258" s="5" t="s">
        <v>686</v>
      </c>
      <c r="F258" s="91"/>
      <c r="G258" s="91"/>
      <c r="H258" s="91"/>
      <c r="I258" s="91"/>
      <c r="J258" s="91"/>
    </row>
    <row r="259" spans="1:10">
      <c r="A259" s="80" t="s">
        <v>93</v>
      </c>
      <c r="F259" s="76"/>
      <c r="G259" s="76"/>
      <c r="H259" s="76"/>
      <c r="I259" s="76"/>
      <c r="J259" s="76"/>
    </row>
    <row r="260" spans="1:10">
      <c r="A260" s="7" t="s">
        <v>152</v>
      </c>
      <c r="F260" s="76">
        <f ca="1">'Summary of Results'!F42+'Error Bars'!F56</f>
        <v>4678.0558410044086</v>
      </c>
      <c r="G260" s="76">
        <f ca="1">'Summary of Results'!G42+'Error Bars'!G56</f>
        <v>4913.0159067197337</v>
      </c>
      <c r="H260" s="76">
        <f ca="1">'Summary of Results'!H42+'Error Bars'!H56</f>
        <v>5219.9332364942911</v>
      </c>
      <c r="I260" s="76">
        <f ca="1">'Summary of Results'!I42+'Error Bars'!I56</f>
        <v>2626.3445745697654</v>
      </c>
      <c r="J260" s="76">
        <f ca="1">'Summary of Results'!J42+'Error Bars'!J56</f>
        <v>2626.3445745697654</v>
      </c>
    </row>
    <row r="261" spans="1:10">
      <c r="A261" s="7" t="s">
        <v>155</v>
      </c>
      <c r="F261" s="76">
        <f ca="1">'Summary of Results'!F51+'Error Bars'!F207/'Battery Design'!F69/'Battery Design'!F62</f>
        <v>193.57124132320143</v>
      </c>
      <c r="G261" s="76">
        <f ca="1">'Summary of Results'!G51+'Error Bars'!G207/'Battery Design'!G69/'Battery Design'!G62</f>
        <v>245.45419812128773</v>
      </c>
      <c r="H261" s="76">
        <f ca="1">'Summary of Results'!H51+'Error Bars'!H207/'Battery Design'!H69/'Battery Design'!H62</f>
        <v>245.36494989323111</v>
      </c>
      <c r="I261" s="76">
        <f ca="1">'Summary of Results'!I51+'Error Bars'!I207/'Battery Design'!I69/'Battery Design'!I62</f>
        <v>122.33589750478663</v>
      </c>
      <c r="J261" s="76">
        <f ca="1">'Summary of Results'!J51+'Error Bars'!J207/'Battery Design'!J69/'Battery Design'!J62</f>
        <v>122.33589750478663</v>
      </c>
    </row>
    <row r="262" spans="1:10">
      <c r="A262" s="7" t="s">
        <v>162</v>
      </c>
      <c r="F262" s="132">
        <f ca="1">F261*'Cost Input'!$F64/100+'Cost Input'!$F65/100*'Error Bars'!F267</f>
        <v>170.35679955903493</v>
      </c>
      <c r="G262" s="132">
        <f ca="1">G261*'Cost Input'!$F64/100+'Cost Input'!$F65/100*'Error Bars'!G267</f>
        <v>219.44724012647652</v>
      </c>
      <c r="H262" s="132">
        <f ca="1">H261*'Cost Input'!$F64/100+'Cost Input'!$F65/100*'Error Bars'!H267</f>
        <v>220.32967474336729</v>
      </c>
      <c r="I262" s="132">
        <f ca="1">I261*'Cost Input'!$F64/100+'Cost Input'!$F65/100*'Error Bars'!I267</f>
        <v>109.08015240316166</v>
      </c>
      <c r="J262" s="132">
        <f ca="1">J261*'Cost Input'!$F64/100+'Cost Input'!$F65/100*'Error Bars'!J267</f>
        <v>109.08015240316166</v>
      </c>
    </row>
    <row r="263" spans="1:10">
      <c r="A263" s="7" t="s">
        <v>163</v>
      </c>
      <c r="F263" s="132">
        <f ca="1">F260+F261+F262</f>
        <v>5041.9838818866447</v>
      </c>
      <c r="G263" s="132">
        <f ca="1">G260+G261+G262</f>
        <v>5377.9173449674981</v>
      </c>
      <c r="H263" s="132">
        <f ca="1">H260+H261+H262</f>
        <v>5685.627861130889</v>
      </c>
      <c r="I263" s="132">
        <f ca="1">I260+I261+I262</f>
        <v>2857.7606244777139</v>
      </c>
      <c r="J263" s="132">
        <f ca="1">J260+J261+J262</f>
        <v>2857.7606244777139</v>
      </c>
    </row>
    <row r="264" spans="1:10">
      <c r="A264" s="80" t="s">
        <v>95</v>
      </c>
      <c r="F264" s="261"/>
      <c r="G264" s="261"/>
      <c r="H264" s="261"/>
      <c r="I264" s="261"/>
      <c r="J264" s="261"/>
    </row>
    <row r="265" spans="1:10">
      <c r="A265" s="7" t="s">
        <v>164</v>
      </c>
      <c r="F265" s="132">
        <f ca="1">'Cost Input'!$F68/100*(F261+F262)+'Cost Input'!$F69/100*F267</f>
        <v>207.14238900775203</v>
      </c>
      <c r="G265" s="132">
        <f ca="1">'Cost Input'!$F68/100*(G261+G262)+'Cost Input'!$F69/100*G267</f>
        <v>267.80731065939284</v>
      </c>
      <c r="H265" s="132">
        <f ca="1">'Cost Input'!$F68/100*(H261+H262)+'Cost Input'!$F69/100*H267</f>
        <v>269.15327464174317</v>
      </c>
      <c r="I265" s="132">
        <f ca="1">'Cost Input'!$F68/100*(I261+I262)+'Cost Input'!$F69/100*I267</f>
        <v>133.03625422854583</v>
      </c>
      <c r="J265" s="132">
        <f ca="1">'Cost Input'!$F68/100*(J261+J262)+'Cost Input'!$F69/100*J267</f>
        <v>133.03625422854583</v>
      </c>
    </row>
    <row r="266" spans="1:10">
      <c r="A266" s="7" t="s">
        <v>165</v>
      </c>
      <c r="F266" s="132">
        <f ca="1">F267*'Cost Input'!$F70/100</f>
        <v>185.85660605950869</v>
      </c>
      <c r="G266" s="132">
        <f ca="1">G267*'Cost Input'!$F70/100</f>
        <v>242.53112175592284</v>
      </c>
      <c r="H266" s="132">
        <f ca="1">H267*'Cost Input'!$F70/100</f>
        <v>244.3673895721497</v>
      </c>
      <c r="I266" s="132">
        <f ca="1">I267*'Cost Input'!$F70/100</f>
        <v>120.29158680249402</v>
      </c>
      <c r="J266" s="132">
        <f ca="1">J267*'Cost Input'!$F70/100</f>
        <v>120.29158680249402</v>
      </c>
    </row>
    <row r="267" spans="1:10">
      <c r="A267" s="7" t="s">
        <v>166</v>
      </c>
      <c r="F267" s="132">
        <f ca="1">('Cost Input'!$F72/100*F248+'Cost Input'!$F73/100*F252)*1000000/'Manufacturing Cost Calculations'!F6</f>
        <v>464.64151514877</v>
      </c>
      <c r="G267" s="132">
        <f ca="1">('Cost Input'!$F72/100*G248+'Cost Input'!$F73/100*G252)*1000000/'Manufacturing Cost Calculations'!G6</f>
        <v>606.32780438980433</v>
      </c>
      <c r="H267" s="132">
        <f ca="1">('Cost Input'!$F72/100*H248+'Cost Input'!$F73/100*H252)*1000000/'Manufacturing Cost Calculations'!H6</f>
        <v>610.91847393037142</v>
      </c>
      <c r="I267" s="132">
        <f ca="1">('Cost Input'!$F72/100*I248+'Cost Input'!$F73/100*I252)*1000000/'Manufacturing Cost Calculations'!I6</f>
        <v>300.72896700623488</v>
      </c>
      <c r="J267" s="132">
        <f ca="1">('Cost Input'!$F72/100*J248+'Cost Input'!$F73/100*J252)*1000000/'Manufacturing Cost Calculations'!J6</f>
        <v>300.72896700623488</v>
      </c>
    </row>
    <row r="268" spans="1:10">
      <c r="A268" s="7" t="s">
        <v>167</v>
      </c>
      <c r="F268" s="100">
        <f ca="1">F265+F266+F267</f>
        <v>857.64051021603063</v>
      </c>
      <c r="G268" s="100">
        <f ca="1">G265+G266+G267</f>
        <v>1116.66623680512</v>
      </c>
      <c r="H268" s="100">
        <f ca="1">H265+H266+H267</f>
        <v>1124.4391381442642</v>
      </c>
      <c r="I268" s="100">
        <f ca="1">I265+I266+I267</f>
        <v>554.05680803727478</v>
      </c>
      <c r="J268" s="100">
        <f ca="1">J265+J266+J267</f>
        <v>554.05680803727478</v>
      </c>
    </row>
    <row r="269" spans="1:10">
      <c r="A269" s="7" t="s">
        <v>168</v>
      </c>
      <c r="F269" s="132">
        <f ca="1">'Cost Input'!$F74/100*F257*1000000/'Manufacturing Cost Calculations'!F6</f>
        <v>221.47209036700983</v>
      </c>
      <c r="G269" s="132">
        <f ca="1">'Cost Input'!$F74/100*G257*1000000/'Manufacturing Cost Calculations'!G6</f>
        <v>275.71073438713023</v>
      </c>
      <c r="H269" s="132">
        <f ca="1">'Cost Input'!$F74/100*H257*1000000/'Manufacturing Cost Calculations'!H6</f>
        <v>279.93712082608886</v>
      </c>
      <c r="I269" s="132">
        <f ca="1">'Cost Input'!$F74/100*I257*1000000/'Manufacturing Cost Calculations'!I6</f>
        <v>138.65333302116585</v>
      </c>
      <c r="J269" s="132">
        <f ca="1">'Cost Input'!$F74/100*J257*1000000/'Manufacturing Cost Calculations'!J6</f>
        <v>138.65333302116585</v>
      </c>
    </row>
    <row r="270" spans="1:10">
      <c r="A270" s="7" t="s">
        <v>373</v>
      </c>
      <c r="F270" s="100">
        <f ca="1">F263+F268+F269</f>
        <v>6121.0964824696848</v>
      </c>
      <c r="G270" s="100">
        <f ca="1">G263+G268+G269</f>
        <v>6770.2943161597486</v>
      </c>
      <c r="H270" s="100">
        <f ca="1">H263+H268+H269</f>
        <v>7090.0041201012427</v>
      </c>
      <c r="I270" s="100">
        <f ca="1">I263+I268+I269</f>
        <v>3550.4707655361544</v>
      </c>
      <c r="J270" s="100">
        <f ca="1">J263+J268+J269</f>
        <v>3550.4707655361544</v>
      </c>
    </row>
    <row r="271" spans="1:10">
      <c r="A271" s="5" t="s">
        <v>180</v>
      </c>
      <c r="F271" s="71"/>
      <c r="G271" s="71"/>
      <c r="H271" s="71"/>
      <c r="I271" s="71"/>
      <c r="J271" s="71"/>
    </row>
    <row r="272" spans="1:10">
      <c r="A272" s="7" t="s">
        <v>243</v>
      </c>
      <c r="F272" s="100">
        <f ca="1">F260-SUM('Summary of Results'!F39:F41)</f>
        <v>3842.1269097144718</v>
      </c>
      <c r="G272" s="100">
        <f ca="1">G260-SUM('Summary of Results'!G39:G41)</f>
        <v>3899.0190031479679</v>
      </c>
      <c r="H272" s="100">
        <f ca="1">H260-SUM('Summary of Results'!H39:H41)</f>
        <v>3886.7955476880684</v>
      </c>
      <c r="I272" s="100">
        <f ca="1">I260-SUM('Summary of Results'!I39:I41)</f>
        <v>1914.0542409131315</v>
      </c>
      <c r="J272" s="100">
        <f ca="1">J260-SUM('Summary of Results'!J39:J41)</f>
        <v>1914.0542409131315</v>
      </c>
    </row>
    <row r="273" spans="1:10">
      <c r="A273" s="7" t="s">
        <v>509</v>
      </c>
      <c r="F273" s="100">
        <f ca="1">SUM('Summary of Results'!F39:F41)</f>
        <v>835.92893128993683</v>
      </c>
      <c r="G273" s="100">
        <f ca="1">SUM('Summary of Results'!G39:G41)</f>
        <v>1013.9969035717656</v>
      </c>
      <c r="H273" s="100">
        <f ca="1">SUM('Summary of Results'!H39:H41)</f>
        <v>1333.1376888062227</v>
      </c>
      <c r="I273" s="100">
        <f ca="1">SUM('Summary of Results'!I39:I41)</f>
        <v>712.29033365663395</v>
      </c>
      <c r="J273" s="100">
        <f ca="1">SUM('Summary of Results'!J39:J41)</f>
        <v>712.29033365663395</v>
      </c>
    </row>
    <row r="274" spans="1:10">
      <c r="A274" s="7" t="s">
        <v>169</v>
      </c>
      <c r="F274" s="100">
        <f t="shared" ref="F274:J275" ca="1" si="9">F261</f>
        <v>193.57124132320143</v>
      </c>
      <c r="G274" s="100">
        <f t="shared" ca="1" si="9"/>
        <v>245.45419812128773</v>
      </c>
      <c r="H274" s="100">
        <f t="shared" ca="1" si="9"/>
        <v>245.36494989323111</v>
      </c>
      <c r="I274" s="100">
        <f t="shared" ca="1" si="9"/>
        <v>122.33589750478663</v>
      </c>
      <c r="J274" s="100">
        <f t="shared" ca="1" si="9"/>
        <v>122.33589750478663</v>
      </c>
    </row>
    <row r="275" spans="1:10">
      <c r="A275" s="7" t="s">
        <v>170</v>
      </c>
      <c r="F275" s="100">
        <f t="shared" ca="1" si="9"/>
        <v>170.35679955903493</v>
      </c>
      <c r="G275" s="100">
        <f t="shared" ca="1" si="9"/>
        <v>219.44724012647652</v>
      </c>
      <c r="H275" s="100">
        <f t="shared" ca="1" si="9"/>
        <v>220.32967474336729</v>
      </c>
      <c r="I275" s="100">
        <f t="shared" ca="1" si="9"/>
        <v>109.08015240316166</v>
      </c>
      <c r="J275" s="100">
        <f t="shared" ca="1" si="9"/>
        <v>109.08015240316166</v>
      </c>
    </row>
    <row r="276" spans="1:10">
      <c r="A276" s="7" t="s">
        <v>164</v>
      </c>
      <c r="F276" s="76">
        <f t="shared" ref="F276:J278" ca="1" si="10">F265</f>
        <v>207.14238900775203</v>
      </c>
      <c r="G276" s="76">
        <f t="shared" ca="1" si="10"/>
        <v>267.80731065939284</v>
      </c>
      <c r="H276" s="76">
        <f t="shared" ca="1" si="10"/>
        <v>269.15327464174317</v>
      </c>
      <c r="I276" s="76">
        <f t="shared" ca="1" si="10"/>
        <v>133.03625422854583</v>
      </c>
      <c r="J276" s="76">
        <f t="shared" ca="1" si="10"/>
        <v>133.03625422854583</v>
      </c>
    </row>
    <row r="277" spans="1:10">
      <c r="A277" s="7" t="s">
        <v>165</v>
      </c>
      <c r="F277" s="100">
        <f t="shared" ca="1" si="10"/>
        <v>185.85660605950869</v>
      </c>
      <c r="G277" s="100">
        <f t="shared" ca="1" si="10"/>
        <v>242.53112175592284</v>
      </c>
      <c r="H277" s="100">
        <f t="shared" ca="1" si="10"/>
        <v>244.3673895721497</v>
      </c>
      <c r="I277" s="100">
        <f t="shared" ca="1" si="10"/>
        <v>120.29158680249402</v>
      </c>
      <c r="J277" s="100">
        <f t="shared" ca="1" si="10"/>
        <v>120.29158680249402</v>
      </c>
    </row>
    <row r="278" spans="1:10">
      <c r="A278" s="7" t="s">
        <v>166</v>
      </c>
      <c r="F278" s="100">
        <f t="shared" ca="1" si="10"/>
        <v>464.64151514877</v>
      </c>
      <c r="G278" s="100">
        <f t="shared" ca="1" si="10"/>
        <v>606.32780438980433</v>
      </c>
      <c r="H278" s="100">
        <f t="shared" ca="1" si="10"/>
        <v>610.91847393037142</v>
      </c>
      <c r="I278" s="100">
        <f t="shared" ca="1" si="10"/>
        <v>300.72896700623488</v>
      </c>
      <c r="J278" s="100">
        <f t="shared" ca="1" si="10"/>
        <v>300.72896700623488</v>
      </c>
    </row>
    <row r="279" spans="1:10">
      <c r="A279" s="7" t="s">
        <v>171</v>
      </c>
      <c r="F279" s="209">
        <f ca="1">F269</f>
        <v>221.47209036700983</v>
      </c>
      <c r="G279" s="209">
        <f ca="1">G269</f>
        <v>275.71073438713023</v>
      </c>
      <c r="H279" s="209">
        <f ca="1">H269</f>
        <v>279.93712082608886</v>
      </c>
      <c r="I279" s="209">
        <f ca="1">I269</f>
        <v>138.65333302116585</v>
      </c>
      <c r="J279" s="209">
        <f ca="1">J269</f>
        <v>138.65333302116585</v>
      </c>
    </row>
    <row r="280" spans="1:10">
      <c r="A280" s="7" t="s">
        <v>540</v>
      </c>
      <c r="F280" s="101">
        <f ca="1">'Cost Input'!$F75/100*(SUM(F272:F279))</f>
        <v>342.78140301830234</v>
      </c>
      <c r="G280" s="101">
        <f ca="1">'Cost Input'!$F75/100*(SUM(G272:G279))</f>
        <v>379.13648170494588</v>
      </c>
      <c r="H280" s="101">
        <f ca="1">'Cost Input'!$F75/100*(SUM(H272:H279))</f>
        <v>397.04023072566957</v>
      </c>
      <c r="I280" s="101">
        <f ca="1">'Cost Input'!$F75/100*(SUM(I272:I279))</f>
        <v>198.82636287002464</v>
      </c>
      <c r="J280" s="101">
        <f ca="1">'Cost Input'!$F75/100*(SUM(J272:J279))</f>
        <v>198.82636287002464</v>
      </c>
    </row>
    <row r="281" spans="1:10">
      <c r="A281" s="321" t="s">
        <v>13</v>
      </c>
      <c r="F281" s="100">
        <f ca="1">SUM(F272:F280)</f>
        <v>6463.8778854879874</v>
      </c>
      <c r="G281" s="100">
        <f ca="1">SUM(G272:G280)</f>
        <v>7149.4307978646948</v>
      </c>
      <c r="H281" s="100">
        <f ca="1">SUM(H272:H280)</f>
        <v>7487.0443508269127</v>
      </c>
      <c r="I281" s="100">
        <f ca="1">SUM(I272:I280)</f>
        <v>3749.2971284061791</v>
      </c>
      <c r="J281" s="100">
        <f ca="1">SUM(J272:J280)</f>
        <v>3749.2971284061791</v>
      </c>
    </row>
    <row r="282" spans="1:10" ht="15.75">
      <c r="A282" s="425" t="s">
        <v>700</v>
      </c>
      <c r="B282" s="425"/>
      <c r="C282" s="425"/>
      <c r="D282" s="425"/>
      <c r="E282" s="425"/>
      <c r="F282" s="425"/>
      <c r="G282" s="425"/>
      <c r="H282" s="425"/>
      <c r="I282" s="425"/>
      <c r="J282" s="425"/>
    </row>
    <row r="283" spans="1:10" ht="15.75">
      <c r="A283" s="19" t="s">
        <v>718</v>
      </c>
    </row>
    <row r="284" spans="1:10" ht="15">
      <c r="A284" s="338" t="s">
        <v>711</v>
      </c>
    </row>
    <row r="285" spans="1:10">
      <c r="A285" s="47" t="s">
        <v>133</v>
      </c>
      <c r="B285" s="47"/>
      <c r="C285" s="47"/>
      <c r="D285" s="328"/>
      <c r="F285" s="39">
        <f ca="1">'Manufacturing Cost Calculations'!F89/IF(F6=1,2,1)</f>
        <v>16.569294179432934</v>
      </c>
      <c r="G285" s="39">
        <f ca="1">'Manufacturing Cost Calculations'!G89/IF(G6=1,2,1)</f>
        <v>17.179826104425729</v>
      </c>
      <c r="H285" s="39">
        <f ca="1">'Manufacturing Cost Calculations'!H89/IF(H6=1,2,1)</f>
        <v>8.6702225416057459</v>
      </c>
      <c r="I285" s="39">
        <f ca="1">'Manufacturing Cost Calculations'!I89/IF(I6=1,2,1)</f>
        <v>8.5115850815962197</v>
      </c>
      <c r="J285" s="39">
        <f ca="1">'Manufacturing Cost Calculations'!J89/IF(J6=1,2,1)</f>
        <v>8.5115850815962197</v>
      </c>
    </row>
    <row r="286" spans="1:10">
      <c r="A286" s="5" t="s">
        <v>488</v>
      </c>
      <c r="B286" s="5"/>
      <c r="C286" s="5"/>
      <c r="D286" s="328"/>
      <c r="F286" s="39"/>
      <c r="G286" s="39"/>
      <c r="H286" s="39"/>
      <c r="I286" s="39"/>
      <c r="J286" s="39"/>
    </row>
    <row r="287" spans="1:10">
      <c r="A287" s="52" t="s">
        <v>489</v>
      </c>
      <c r="B287" s="47"/>
      <c r="C287" s="47"/>
      <c r="D287" s="2"/>
      <c r="E287" s="58"/>
      <c r="F287" s="39">
        <f ca="1">('Cost Input'!$E9/'Manufacturing Cost Calculations'!F50)^(1-'Manufacturing Cost Calculations'!$E91)*('Battery Design'!F127/'Battery Design'!F56*'Cost Input'!$C40/1000+'Cost Input'!$D40)</f>
        <v>0.28408829684600245</v>
      </c>
      <c r="G287" s="39">
        <f ca="1">('Cost Input'!$E9/'Manufacturing Cost Calculations'!G50)^(1-'Manufacturing Cost Calculations'!$E91)*('Battery Design'!G127/'Battery Design'!G56*'Cost Input'!$C40/1000+'Cost Input'!$D40)</f>
        <v>0.23564247517176495</v>
      </c>
      <c r="H287" s="39">
        <f ca="1">('Cost Input'!$E9/'Manufacturing Cost Calculations'!H50)^(1-'Manufacturing Cost Calculations'!$E91)*('Battery Design'!H127/'Battery Design'!H56*'Cost Input'!$C40/1000+'Cost Input'!$D40)</f>
        <v>0.16260179612477904</v>
      </c>
      <c r="I287" s="39">
        <f ca="1">('Cost Input'!$E9/'Manufacturing Cost Calculations'!I50)^(1-'Manufacturing Cost Calculations'!$E91)*('Battery Design'!I127/'Battery Design'!I56*'Cost Input'!$C40/1000+'Cost Input'!$D40)</f>
        <v>0.16101326026962678</v>
      </c>
      <c r="J287" s="39">
        <f ca="1">('Cost Input'!$E9/'Manufacturing Cost Calculations'!J50)^(1-'Manufacturing Cost Calculations'!$E91)*('Battery Design'!J127/'Battery Design'!J56*'Cost Input'!$C40/1000+'Cost Input'!$D40)</f>
        <v>0.16101326026962678</v>
      </c>
    </row>
    <row r="288" spans="1:10">
      <c r="A288" s="52" t="s">
        <v>490</v>
      </c>
      <c r="B288" s="47"/>
      <c r="C288" s="47"/>
      <c r="D288" s="69"/>
      <c r="F288" s="39">
        <f ca="1">F287*'Battery Design'!F56*IF(F6=1,1.6,1)</f>
        <v>7.2726603992576635</v>
      </c>
      <c r="G288" s="39">
        <f ca="1">G287*'Battery Design'!G56*IF(G6=1,1.6,1)</f>
        <v>7.5405592054964785</v>
      </c>
      <c r="H288" s="39">
        <f ca="1">H287*'Battery Design'!H56*IF(H6=1,1.6,1)</f>
        <v>4.1626059807943436</v>
      </c>
      <c r="I288" s="39">
        <f ca="1">I287*'Battery Design'!I56*IF(I6=1,1.6,1)</f>
        <v>4.1219394629024455</v>
      </c>
      <c r="J288" s="39">
        <f ca="1">J287*'Battery Design'!J56*IF(J6=1,1.6,1)</f>
        <v>4.1219394629024455</v>
      </c>
    </row>
    <row r="289" spans="1:10">
      <c r="A289" s="7" t="s">
        <v>491</v>
      </c>
      <c r="B289" s="47"/>
      <c r="C289" s="47"/>
      <c r="F289" s="39">
        <f>IF('Battery Design'!F57=1,'Battery Design'!F56/'Battery Design'!F57*2*('Cost Input'!$D38+'Battery Design'!F116/1000*'Cost Input'!$C38),0)</f>
        <v>8</v>
      </c>
      <c r="G289" s="39">
        <f>IF('Battery Design'!G57=1,'Battery Design'!G56/'Battery Design'!G57*2*('Cost Input'!$D38+'Battery Design'!G116/1000*'Cost Input'!$C38),0)</f>
        <v>0</v>
      </c>
      <c r="H289" s="39">
        <f>IF('Battery Design'!H57=1,'Battery Design'!H56/'Battery Design'!H57*2*('Cost Input'!$D38+'Battery Design'!H116/1000*'Cost Input'!$C38),0)</f>
        <v>8</v>
      </c>
      <c r="I289" s="39">
        <f>IF('Battery Design'!I57=1,'Battery Design'!I56/'Battery Design'!I57*2*('Cost Input'!$D38+'Battery Design'!I116/1000*'Cost Input'!$C38),0)</f>
        <v>8</v>
      </c>
      <c r="J289" s="39">
        <f>IF('Battery Design'!J57=1,'Battery Design'!J56/'Battery Design'!J57*2*('Cost Input'!$D38+'Battery Design'!J116/1000*'Cost Input'!$C38),0)</f>
        <v>8</v>
      </c>
    </row>
    <row r="290" spans="1:10">
      <c r="A290" s="7" t="s">
        <v>58</v>
      </c>
      <c r="B290" s="7"/>
      <c r="C290" s="7"/>
      <c r="F290" s="39">
        <f ca="1">'Battery Design'!F56/'Battery Design'!F57*('Cost Input'!$J$15+'Cost Input'!$J$16*'Battery Design'!F77)</f>
        <v>52.005804740750747</v>
      </c>
      <c r="G290" s="39">
        <f ca="1">'Battery Design'!G56/'Battery Design'!G57*('Cost Input'!$J$15+'Cost Input'!$J$16*'Battery Design'!G77)</f>
        <v>52.25457233598604</v>
      </c>
      <c r="H290" s="39">
        <f ca="1">'Battery Design'!H56/'Battery Design'!H57*('Cost Input'!$J$15+'Cost Input'!$J$16*'Battery Design'!H77)</f>
        <v>46.120557158689465</v>
      </c>
      <c r="I290" s="39">
        <f ca="1">'Battery Design'!I56/'Battery Design'!I57*('Cost Input'!$J$15+'Cost Input'!$J$16*'Battery Design'!I77)</f>
        <v>45.999056989229047</v>
      </c>
      <c r="J290" s="39">
        <f ca="1">'Battery Design'!J56/'Battery Design'!J57*('Cost Input'!$J$15+'Cost Input'!$J$16*'Battery Design'!J77)</f>
        <v>45.999056989229047</v>
      </c>
    </row>
    <row r="291" spans="1:10">
      <c r="A291" s="7" t="s">
        <v>382</v>
      </c>
      <c r="B291" s="7"/>
      <c r="C291" s="7"/>
      <c r="F291" s="39">
        <f ca="1">'Cost Input'!$J$18*'Battery Design'!F120/1000+'Cost Input'!$J$19</f>
        <v>0.94746680501333769</v>
      </c>
      <c r="G291" s="39">
        <f ca="1">'Cost Input'!$J$18*'Battery Design'!G120/1000+'Cost Input'!$J$19</f>
        <v>0.94641626257149181</v>
      </c>
      <c r="H291" s="39">
        <f ca="1">'Cost Input'!$J$18*'Battery Design'!H120/1000+'Cost Input'!$J$19</f>
        <v>0.9448178374711802</v>
      </c>
      <c r="I291" s="39">
        <f ca="1">'Cost Input'!$J$18*'Battery Design'!I120/1000+'Cost Input'!$J$19</f>
        <v>0.84773240357037494</v>
      </c>
      <c r="J291" s="39">
        <f ca="1">'Cost Input'!$J$18*'Battery Design'!J120/1000+'Cost Input'!$J$19</f>
        <v>0.84773240357037494</v>
      </c>
    </row>
    <row r="292" spans="1:10">
      <c r="A292" s="7" t="s">
        <v>39</v>
      </c>
      <c r="B292" s="7"/>
      <c r="C292" s="7"/>
      <c r="F292" s="253">
        <f ca="1">'Cost Input'!$J$21*'Battery Design'!F128/1000+'Cost Input'!$J$22</f>
        <v>2.2420602702842061</v>
      </c>
      <c r="G292" s="253">
        <f ca="1">'Cost Input'!$J$21*'Battery Design'!G128/1000+'Cost Input'!$J$22</f>
        <v>2.278663661566747</v>
      </c>
      <c r="H292" s="253">
        <f ca="1">'Cost Input'!$J$21*'Battery Design'!H128/1000+'Cost Input'!$J$22</f>
        <v>1.7765104937179865</v>
      </c>
      <c r="I292" s="253">
        <f ca="1">'Cost Input'!$J$21*'Battery Design'!I128/1000+'Cost Input'!$J$22</f>
        <v>1.7677056289859192</v>
      </c>
      <c r="J292" s="253">
        <f ca="1">'Cost Input'!$J$21*'Battery Design'!J128/1000+'Cost Input'!$J$22</f>
        <v>1.7677056289859192</v>
      </c>
    </row>
    <row r="293" spans="1:10">
      <c r="A293" s="7" t="s">
        <v>492</v>
      </c>
      <c r="B293" s="7"/>
      <c r="C293" s="7"/>
      <c r="F293" s="39">
        <f ca="1">SUM(F288:F292)</f>
        <v>70.467992215305941</v>
      </c>
      <c r="G293" s="39">
        <f ca="1">SUM(G288:G292)</f>
        <v>63.020211465620754</v>
      </c>
      <c r="H293" s="39">
        <f ca="1">SUM(H288:H292)</f>
        <v>61.004491470672967</v>
      </c>
      <c r="I293" s="39">
        <f ca="1">SUM(I288:I292)</f>
        <v>60.736434484687791</v>
      </c>
      <c r="J293" s="39">
        <f ca="1">SUM(J288:J292)</f>
        <v>60.736434484687791</v>
      </c>
    </row>
    <row r="294" spans="1:10">
      <c r="A294" s="5" t="s">
        <v>493</v>
      </c>
      <c r="B294" s="7"/>
      <c r="C294" s="7"/>
      <c r="F294" s="39"/>
      <c r="G294" s="39"/>
      <c r="H294" s="39"/>
      <c r="I294" s="39"/>
      <c r="J294" s="39"/>
    </row>
    <row r="295" spans="1:10">
      <c r="A295" s="7" t="s">
        <v>517</v>
      </c>
      <c r="B295" s="7"/>
      <c r="C295" s="7"/>
      <c r="F295" s="39">
        <f ca="1">('Battery Design'!F60+1)*('Cost Input'!$J25*'Battery Design'!F153/1000*'Cost Input'!$J25+'Cost Input'!$J26)</f>
        <v>20.107507782000159</v>
      </c>
      <c r="G295" s="39">
        <f ca="1">('Battery Design'!G60+1)*('Cost Input'!$J25*'Battery Design'!G153/1000*'Cost Input'!$J25+'Cost Input'!$J26)</f>
        <v>20.048414769646314</v>
      </c>
      <c r="H295" s="39">
        <f ca="1">('Battery Design'!H60+1)*('Cost Input'!$J25*'Battery Design'!H153/1000*'Cost Input'!$J25+'Cost Input'!$J26)</f>
        <v>37.699395231312728</v>
      </c>
      <c r="I295" s="39">
        <f ca="1">('Battery Design'!I60+1)*('Cost Input'!$J25*'Battery Design'!I153/1000*'Cost Input'!$J25+'Cost Input'!$J26)</f>
        <v>14.497447700833579</v>
      </c>
      <c r="J295" s="39">
        <f ca="1">('Battery Design'!J60+1)*('Cost Input'!$J25*'Battery Design'!J153/1000*'Cost Input'!$J25+'Cost Input'!$J26)</f>
        <v>14.497447700833579</v>
      </c>
    </row>
    <row r="296" spans="1:10">
      <c r="A296" t="s">
        <v>527</v>
      </c>
      <c r="B296" s="7"/>
      <c r="C296" s="7"/>
      <c r="F296" s="39">
        <f ca="1">'Battery Design'!F154/1000*'Cost Input'!$J27</f>
        <v>4.9332366660567111</v>
      </c>
      <c r="G296" s="39">
        <f ca="1">'Battery Design'!G154/1000*'Cost Input'!$J27</f>
        <v>5.1660468976467246</v>
      </c>
      <c r="H296" s="39">
        <f ca="1">'Battery Design'!H154/1000*'Cost Input'!$J27</f>
        <v>5.4756906929622806</v>
      </c>
      <c r="I296" s="39">
        <f ca="1">'Battery Design'!I154/1000*'Cost Input'!$J27</f>
        <v>2.6917754064195671</v>
      </c>
      <c r="J296" s="39">
        <f ca="1">'Battery Design'!J154/1000*'Cost Input'!$J27</f>
        <v>2.6917754064195671</v>
      </c>
    </row>
    <row r="297" spans="1:10">
      <c r="A297" t="s">
        <v>526</v>
      </c>
      <c r="B297" s="7"/>
      <c r="C297" s="7"/>
      <c r="F297" s="39">
        <f ca="1">'Cost Input'!$J29+'Cost Input'!$J30*ROUNDUP('Battery Design'!F141,-2)</f>
        <v>21</v>
      </c>
      <c r="G297" s="39">
        <f ca="1">'Cost Input'!$J29+'Cost Input'!$J30*ROUNDUP('Battery Design'!G141,-2)</f>
        <v>21</v>
      </c>
      <c r="H297" s="39">
        <f ca="1">'Cost Input'!$J29+'Cost Input'!$J30*ROUNDUP('Battery Design'!H141,-2)</f>
        <v>21</v>
      </c>
      <c r="I297" s="39">
        <f ca="1">'Cost Input'!$J29+'Cost Input'!$J30*ROUNDUP('Battery Design'!I141,-2)</f>
        <v>19</v>
      </c>
      <c r="J297" s="39">
        <f ca="1">'Cost Input'!$J29+'Cost Input'!$J30*ROUNDUP('Battery Design'!J141,-2)</f>
        <v>19</v>
      </c>
    </row>
    <row r="298" spans="1:10">
      <c r="A298" t="s">
        <v>580</v>
      </c>
      <c r="B298" s="7"/>
      <c r="C298" s="7"/>
      <c r="F298" s="39">
        <f>IF(AND('Battery Design'!F59=1,'Battery Design'!F58&gt;1),'Cost Input'!$J32,0)</f>
        <v>0</v>
      </c>
      <c r="G298" s="39">
        <f>IF(AND('Battery Design'!G59=1,'Battery Design'!G58&gt;1),'Cost Input'!$J32,0)</f>
        <v>0</v>
      </c>
      <c r="H298" s="39">
        <f>IF(AND('Battery Design'!H59=1,'Battery Design'!H58&gt;1),'Cost Input'!$J32,0)</f>
        <v>0</v>
      </c>
      <c r="I298" s="39">
        <f>IF(AND('Battery Design'!I59=1,'Battery Design'!I58&gt;1),'Cost Input'!$J32,0)</f>
        <v>0</v>
      </c>
      <c r="J298" s="39">
        <f>IF(AND('Battery Design'!J59=1,'Battery Design'!J58&gt;1),'Cost Input'!$J32,0)</f>
        <v>0</v>
      </c>
    </row>
    <row r="299" spans="1:10">
      <c r="A299" s="7" t="s">
        <v>495</v>
      </c>
      <c r="B299" s="7"/>
      <c r="C299" s="7"/>
      <c r="F299" s="39">
        <f ca="1">'Cost Input'!$J34*'Battery Design'!F163+'Cost Input'!$J35</f>
        <v>196.47314018852637</v>
      </c>
      <c r="G299" s="39">
        <f ca="1">'Cost Input'!$J34*'Battery Design'!G163+'Cost Input'!$J35</f>
        <v>201.0565171828207</v>
      </c>
      <c r="H299" s="39">
        <f ca="1">'Cost Input'!$J34*'Battery Design'!H163+'Cost Input'!$J35</f>
        <v>214.07635374869719</v>
      </c>
      <c r="I299" s="39">
        <f ca="1">'Cost Input'!$J34*'Battery Design'!I163+'Cost Input'!$J35</f>
        <v>131.02296665158286</v>
      </c>
      <c r="J299" s="39">
        <f ca="1">'Cost Input'!$J34*'Battery Design'!J163+'Cost Input'!$J35</f>
        <v>131.02296665158286</v>
      </c>
    </row>
    <row r="300" spans="1:10">
      <c r="A300" s="7" t="s">
        <v>496</v>
      </c>
      <c r="B300" s="7"/>
      <c r="C300" s="7"/>
      <c r="F300" s="39">
        <f ca="1">SUM(F295:F299)</f>
        <v>242.51388463658324</v>
      </c>
      <c r="G300" s="39">
        <f ca="1">SUM(G295:G299)</f>
        <v>247.27097885011375</v>
      </c>
      <c r="H300" s="39">
        <f ca="1">SUM(H295:H299)</f>
        <v>278.2514396729722</v>
      </c>
      <c r="I300" s="39">
        <f ca="1">SUM(I295:I299)</f>
        <v>167.21218975883602</v>
      </c>
      <c r="J300" s="39">
        <f ca="1">SUM(J295:J299)</f>
        <v>167.21218975883602</v>
      </c>
    </row>
    <row r="301" spans="1:10">
      <c r="A301" s="7" t="s">
        <v>134</v>
      </c>
      <c r="B301" s="7"/>
      <c r="C301" s="7"/>
      <c r="F301" s="39">
        <f ca="1">IF(F6=1,2,1)*F285*'Battery Design'!F64+F293*'Battery Design'!F60+F300</f>
        <v>5047.9971322938618</v>
      </c>
      <c r="G301" s="39">
        <f ca="1">IF(G6=1,2,1)*G285*'Battery Design'!G64+G293*'Battery Design'!G60+G300</f>
        <v>5149.4681533080657</v>
      </c>
      <c r="H301" s="39">
        <f ca="1">IF(H6=1,2,1)*H285*'Battery Design'!H64+H293*'Battery Design'!H60+H300</f>
        <v>5693.4772445058816</v>
      </c>
      <c r="I301" s="39">
        <f ca="1">IF(I6=1,2,1)*I285*'Battery Design'!I64+I293*'Battery Design'!I60+I300</f>
        <v>2832.0694465249703</v>
      </c>
      <c r="J301" s="39">
        <f ca="1">IF(J6=1,2,1)*J285*'Battery Design'!J64+J293*'Battery Design'!J60+J300</f>
        <v>2832.0694465249703</v>
      </c>
    </row>
    <row r="302" spans="1:10">
      <c r="A302" s="7"/>
      <c r="B302" s="7"/>
      <c r="C302" s="7"/>
      <c r="F302" s="39"/>
      <c r="G302" s="39"/>
    </row>
    <row r="303" spans="1:10" ht="15.75">
      <c r="A303" s="338" t="s">
        <v>64</v>
      </c>
      <c r="B303" s="19"/>
      <c r="C303" s="19"/>
      <c r="F303" s="83"/>
      <c r="G303" s="83"/>
    </row>
    <row r="304" spans="1:10">
      <c r="A304" s="10"/>
      <c r="B304" s="10"/>
      <c r="C304" s="10"/>
      <c r="D304" s="72" t="s">
        <v>43</v>
      </c>
      <c r="E304" s="73"/>
      <c r="F304" s="344"/>
      <c r="G304" s="344"/>
    </row>
    <row r="305" spans="1:10">
      <c r="A305" s="74" t="s">
        <v>135</v>
      </c>
      <c r="B305" s="342"/>
      <c r="C305" s="342"/>
      <c r="D305" s="75" t="s">
        <v>66</v>
      </c>
      <c r="E305" s="64" t="s">
        <v>45</v>
      </c>
      <c r="F305" s="343"/>
      <c r="G305" s="343"/>
    </row>
    <row r="306" spans="1:10">
      <c r="A306" s="5" t="s">
        <v>239</v>
      </c>
      <c r="B306" s="5"/>
      <c r="C306" s="5"/>
      <c r="E306" s="76"/>
    </row>
    <row r="307" spans="1:10">
      <c r="A307" s="7" t="s">
        <v>136</v>
      </c>
      <c r="B307" s="7"/>
      <c r="C307" s="7"/>
      <c r="D307" s="14"/>
      <c r="E307" s="76"/>
      <c r="F307" s="128">
        <f ca="1">'Manufacturing Cost Calculations'!F7/'Cost Input'!$E8</f>
        <v>4.0595182473804847</v>
      </c>
      <c r="G307" s="128">
        <f ca="1">'Manufacturing Cost Calculations'!G7/'Cost Input'!$E8</f>
        <v>4.0595182473805211</v>
      </c>
      <c r="H307" s="128">
        <f ca="1">'Manufacturing Cost Calculations'!H7/'Cost Input'!$E8</f>
        <v>4.0595182473805211</v>
      </c>
      <c r="I307" s="128">
        <f ca="1">'Manufacturing Cost Calculations'!I7/'Cost Input'!$E8</f>
        <v>4.0595182473804838</v>
      </c>
      <c r="J307" s="128">
        <f ca="1">'Manufacturing Cost Calculations'!J7/'Cost Input'!$E8</f>
        <v>4.0595182473804838</v>
      </c>
    </row>
    <row r="308" spans="1:10">
      <c r="A308" s="7" t="s">
        <v>69</v>
      </c>
      <c r="B308" s="7"/>
      <c r="C308" s="7"/>
      <c r="D308" s="78">
        <f>'Cost Input'!D81</f>
        <v>14400</v>
      </c>
      <c r="E308" s="133">
        <f>'Cost Input'!E81</f>
        <v>0.4</v>
      </c>
      <c r="F308" s="76">
        <f ca="1">'Manufacturing Cost Calculations'!$D127*F$307^'Manufacturing Cost Calculations'!$E127</f>
        <v>25220.418639389001</v>
      </c>
      <c r="G308" s="76">
        <f ca="1">'Manufacturing Cost Calculations'!$D127*G$307^'Manufacturing Cost Calculations'!$E127</f>
        <v>25220.418639389092</v>
      </c>
      <c r="H308" s="76">
        <f ca="1">'Manufacturing Cost Calculations'!$D127*H$307^'Manufacturing Cost Calculations'!$E127</f>
        <v>25220.418639389092</v>
      </c>
      <c r="I308" s="76">
        <f ca="1">'Manufacturing Cost Calculations'!$D127*I$307^'Manufacturing Cost Calculations'!$E127</f>
        <v>25220.418639388998</v>
      </c>
      <c r="J308" s="76">
        <f ca="1">'Manufacturing Cost Calculations'!$D127*J$307^'Manufacturing Cost Calculations'!$E127</f>
        <v>25220.418639388998</v>
      </c>
    </row>
    <row r="309" spans="1:10">
      <c r="A309" s="7" t="s">
        <v>71</v>
      </c>
      <c r="B309" s="7"/>
      <c r="C309" s="7"/>
      <c r="D309" s="79">
        <f>'Cost Input'!D82</f>
        <v>3.6</v>
      </c>
      <c r="E309" s="133">
        <f>'Cost Input'!E82</f>
        <v>0.6</v>
      </c>
      <c r="F309" s="90">
        <f ca="1">'Manufacturing Cost Calculations'!$D128*F$307^'Manufacturing Cost Calculations'!$E128</f>
        <v>8.3442479267783742</v>
      </c>
      <c r="G309" s="90">
        <f ca="1">'Manufacturing Cost Calculations'!$D128*G$307^'Manufacturing Cost Calculations'!$E128</f>
        <v>8.3442479267784186</v>
      </c>
      <c r="H309" s="90">
        <f ca="1">'Manufacturing Cost Calculations'!$D128*H$307^'Manufacturing Cost Calculations'!$E128</f>
        <v>8.3442479267784186</v>
      </c>
      <c r="I309" s="90">
        <f ca="1">'Manufacturing Cost Calculations'!$D128*I$307^'Manufacturing Cost Calculations'!$E128</f>
        <v>8.3442479267783725</v>
      </c>
      <c r="J309" s="90">
        <f ca="1">'Manufacturing Cost Calculations'!$D128*J$307^'Manufacturing Cost Calculations'!$E128</f>
        <v>8.3442479267783725</v>
      </c>
    </row>
    <row r="310" spans="1:10">
      <c r="A310" s="7" t="s">
        <v>72</v>
      </c>
      <c r="B310" s="7"/>
      <c r="C310" s="7"/>
      <c r="D310" s="78">
        <f>'Cost Input'!D83</f>
        <v>900</v>
      </c>
      <c r="E310" s="133">
        <f>'Cost Input'!E83</f>
        <v>0.5</v>
      </c>
      <c r="F310" s="76">
        <f ca="1">'Manufacturing Cost Calculations'!$D129*F$307^'Manufacturing Cost Calculations'!$E129</f>
        <v>1813.3421575583006</v>
      </c>
      <c r="G310" s="76">
        <f ca="1">'Manufacturing Cost Calculations'!$D129*G$307^'Manufacturing Cost Calculations'!$E129</f>
        <v>1813.3421575583086</v>
      </c>
      <c r="H310" s="76">
        <f ca="1">'Manufacturing Cost Calculations'!$D129*H$307^'Manufacturing Cost Calculations'!$E129</f>
        <v>1813.3421575583086</v>
      </c>
      <c r="I310" s="76">
        <f ca="1">'Manufacturing Cost Calculations'!$D129*I$307^'Manufacturing Cost Calculations'!$E129</f>
        <v>1813.3421575583002</v>
      </c>
      <c r="J310" s="76">
        <f ca="1">'Manufacturing Cost Calculations'!$D129*J$307^'Manufacturing Cost Calculations'!$E129</f>
        <v>1813.3421575583002</v>
      </c>
    </row>
    <row r="311" spans="1:10">
      <c r="A311" s="5" t="s">
        <v>73</v>
      </c>
      <c r="B311" s="5"/>
      <c r="C311" s="5"/>
      <c r="D311" s="78"/>
      <c r="E311" s="133"/>
      <c r="F311" s="71"/>
      <c r="G311" s="71"/>
      <c r="H311" s="71"/>
      <c r="I311" s="71"/>
      <c r="J311" s="71"/>
    </row>
    <row r="312" spans="1:10">
      <c r="A312" s="7" t="s">
        <v>74</v>
      </c>
      <c r="B312" s="7"/>
      <c r="C312" s="7"/>
      <c r="D312" s="78"/>
      <c r="E312" s="133"/>
      <c r="F312" s="71"/>
      <c r="G312" s="71"/>
      <c r="H312" s="71"/>
      <c r="I312" s="71"/>
      <c r="J312" s="71"/>
    </row>
    <row r="313" spans="1:10">
      <c r="A313" s="7" t="s">
        <v>137</v>
      </c>
      <c r="B313" s="7"/>
      <c r="C313" s="7"/>
      <c r="D313" s="78"/>
      <c r="E313" s="133"/>
      <c r="F313" s="71"/>
      <c r="G313" s="71"/>
      <c r="H313" s="71"/>
      <c r="I313" s="71"/>
      <c r="J313" s="71"/>
    </row>
    <row r="314" spans="1:10">
      <c r="A314" s="7" t="s">
        <v>136</v>
      </c>
      <c r="B314" s="7"/>
      <c r="C314" s="7"/>
      <c r="D314" s="78"/>
      <c r="E314" s="133"/>
      <c r="F314" s="91">
        <f ca="1">'Manufacturing Cost Calculations'!F11/'Cost Input'!$E12</f>
        <v>3.6589119209907142</v>
      </c>
      <c r="G314" s="91">
        <f ca="1">'Manufacturing Cost Calculations'!G11/'Cost Input'!$E12</f>
        <v>3.7347268071577018</v>
      </c>
      <c r="H314" s="91">
        <f ca="1">'Manufacturing Cost Calculations'!H11/'Cost Input'!$E12</f>
        <v>3.7306253157726759</v>
      </c>
      <c r="I314" s="91">
        <f ca="1">'Manufacturing Cost Calculations'!I11/'Cost Input'!$E12</f>
        <v>3.6565680696253255</v>
      </c>
      <c r="J314" s="91">
        <f ca="1">'Manufacturing Cost Calculations'!J11/'Cost Input'!$E12</f>
        <v>3.6565680696253255</v>
      </c>
    </row>
    <row r="315" spans="1:10">
      <c r="A315" s="7" t="s">
        <v>69</v>
      </c>
      <c r="B315" s="7"/>
      <c r="C315" s="7"/>
      <c r="D315" s="78">
        <f>'Cost Input'!D88</f>
        <v>14400</v>
      </c>
      <c r="E315" s="133">
        <f>'Cost Input'!E88</f>
        <v>0.5</v>
      </c>
      <c r="F315" s="76">
        <f ca="1">'Manufacturing Cost Calculations'!$D134*F$314^'Manufacturing Cost Calculations'!$E134</f>
        <v>27544.726826320759</v>
      </c>
      <c r="G315" s="76">
        <f ca="1">'Manufacturing Cost Calculations'!$D134*G$314^'Manufacturing Cost Calculations'!$E134</f>
        <v>27828.635445027143</v>
      </c>
      <c r="H315" s="76">
        <f ca="1">'Manufacturing Cost Calculations'!$D134*H$314^'Manufacturing Cost Calculations'!$E134</f>
        <v>27813.350489982724</v>
      </c>
      <c r="I315" s="76">
        <f ca="1">'Manufacturing Cost Calculations'!$D134*I$314^'Manufacturing Cost Calculations'!$E134</f>
        <v>27535.903016198827</v>
      </c>
      <c r="J315" s="76">
        <f ca="1">'Manufacturing Cost Calculations'!$D134*J$314^'Manufacturing Cost Calculations'!$E134</f>
        <v>27535.903016198827</v>
      </c>
    </row>
    <row r="316" spans="1:10">
      <c r="A316" s="7" t="s">
        <v>71</v>
      </c>
      <c r="B316" s="7"/>
      <c r="C316" s="7"/>
      <c r="D316" s="79">
        <f>'Cost Input'!D89</f>
        <v>2</v>
      </c>
      <c r="E316" s="133">
        <f>'Cost Input'!E89</f>
        <v>0.7</v>
      </c>
      <c r="F316" s="90">
        <f ca="1">'Manufacturing Cost Calculations'!$D135*F$314^'Manufacturing Cost Calculations'!$E135</f>
        <v>4.9587973930859208</v>
      </c>
      <c r="G316" s="90">
        <f ca="1">'Manufacturing Cost Calculations'!$D135*G$314^'Manufacturing Cost Calculations'!$E135</f>
        <v>5.0305003428099013</v>
      </c>
      <c r="H316" s="90">
        <f ca="1">'Manufacturing Cost Calculations'!$D135*H$314^'Manufacturing Cost Calculations'!$E135</f>
        <v>5.0266325450510658</v>
      </c>
      <c r="I316" s="90">
        <f ca="1">'Manufacturing Cost Calculations'!$D135*I$314^'Manufacturing Cost Calculations'!$E135</f>
        <v>4.9565736006083112</v>
      </c>
      <c r="J316" s="90">
        <f ca="1">'Manufacturing Cost Calculations'!$D135*J$314^'Manufacturing Cost Calculations'!$E135</f>
        <v>4.9565736006083112</v>
      </c>
    </row>
    <row r="317" spans="1:10">
      <c r="A317" s="7" t="s">
        <v>72</v>
      </c>
      <c r="B317" s="7"/>
      <c r="C317" s="7"/>
      <c r="D317" s="78">
        <f>'Cost Input'!D90</f>
        <v>600</v>
      </c>
      <c r="E317" s="133">
        <f>'Cost Input'!E90</f>
        <v>0.6</v>
      </c>
      <c r="F317" s="76">
        <f ca="1">'Manufacturing Cost Calculations'!$D136*F$314^'Manufacturing Cost Calculations'!$E136</f>
        <v>1306.6594792620187</v>
      </c>
      <c r="G317" s="76">
        <f ca="1">'Manufacturing Cost Calculations'!$D136*G$314^'Manufacturing Cost Calculations'!$E136</f>
        <v>1322.8376702478504</v>
      </c>
      <c r="H317" s="76">
        <f ca="1">'Manufacturing Cost Calculations'!$D136*H$314^'Manufacturing Cost Calculations'!$E136</f>
        <v>1321.9658314412818</v>
      </c>
      <c r="I317" s="76">
        <f ca="1">'Manufacturing Cost Calculations'!$D136*I$314^'Manufacturing Cost Calculations'!$E136</f>
        <v>1306.1571974641963</v>
      </c>
      <c r="J317" s="76">
        <f ca="1">'Manufacturing Cost Calculations'!$D136*J$314^'Manufacturing Cost Calculations'!$E136</f>
        <v>1306.1571974641963</v>
      </c>
    </row>
    <row r="318" spans="1:10">
      <c r="A318" s="7" t="s">
        <v>138</v>
      </c>
      <c r="B318" s="7"/>
      <c r="C318" s="7"/>
      <c r="D318" s="78"/>
      <c r="E318" s="133"/>
      <c r="F318" s="71"/>
      <c r="G318" s="71"/>
      <c r="H318" s="71"/>
      <c r="I318" s="71"/>
      <c r="J318" s="71"/>
    </row>
    <row r="319" spans="1:10">
      <c r="A319" s="7" t="s">
        <v>136</v>
      </c>
      <c r="B319" s="7"/>
      <c r="C319" s="7"/>
      <c r="D319" s="78"/>
      <c r="E319" s="133"/>
      <c r="F319" s="91">
        <f ca="1">'Manufacturing Cost Calculations'!F12/'Cost Input'!$E13</f>
        <v>3.5230895443738537</v>
      </c>
      <c r="G319" s="91">
        <f ca="1">'Manufacturing Cost Calculations'!G12/'Cost Input'!$E13</f>
        <v>3.594279776227244</v>
      </c>
      <c r="H319" s="91">
        <f ca="1">'Manufacturing Cost Calculations'!H12/'Cost Input'!$E13</f>
        <v>3.6114753817631771</v>
      </c>
      <c r="I319" s="91">
        <f ca="1">'Manufacturing Cost Calculations'!I12/'Cost Input'!$E13</f>
        <v>3.5407733094675962</v>
      </c>
      <c r="J319" s="91">
        <f ca="1">'Manufacturing Cost Calculations'!J12/'Cost Input'!$E13</f>
        <v>3.5407733094675962</v>
      </c>
    </row>
    <row r="320" spans="1:10">
      <c r="A320" s="7" t="s">
        <v>69</v>
      </c>
      <c r="B320" s="7"/>
      <c r="C320" s="7"/>
      <c r="D320" s="78">
        <f>'Cost Input'!D93</f>
        <v>14400</v>
      </c>
      <c r="E320" s="133">
        <f>'Cost Input'!E93</f>
        <v>0.5</v>
      </c>
      <c r="F320" s="76">
        <f ca="1">'Manufacturing Cost Calculations'!$D139*F$319^'Manufacturing Cost Calculations'!$E139</f>
        <v>27028.648651409902</v>
      </c>
      <c r="G320" s="76">
        <f ca="1">'Manufacturing Cost Calculations'!$D139*G$319^'Manufacturing Cost Calculations'!$E139</f>
        <v>27300.363631250068</v>
      </c>
      <c r="H320" s="76">
        <f ca="1">'Manufacturing Cost Calculations'!$D139*H$319^'Manufacturing Cost Calculations'!$E139</f>
        <v>27365.590349239908</v>
      </c>
      <c r="I320" s="76">
        <f ca="1">'Manufacturing Cost Calculations'!$D139*I$319^'Manufacturing Cost Calculations'!$E139</f>
        <v>27096.397425694817</v>
      </c>
      <c r="J320" s="76">
        <f ca="1">'Manufacturing Cost Calculations'!$D139*J$319^'Manufacturing Cost Calculations'!$E139</f>
        <v>27096.397425694817</v>
      </c>
    </row>
    <row r="321" spans="1:10">
      <c r="A321" s="7" t="s">
        <v>71</v>
      </c>
      <c r="B321" s="7"/>
      <c r="C321" s="7"/>
      <c r="D321" s="79">
        <f>'Cost Input'!D94</f>
        <v>2</v>
      </c>
      <c r="E321" s="133">
        <f>'Cost Input'!E94</f>
        <v>0.7</v>
      </c>
      <c r="F321" s="90">
        <f ca="1">'Manufacturing Cost Calculations'!$D140*F$319^'Manufacturing Cost Calculations'!$E140</f>
        <v>4.8292153538153908</v>
      </c>
      <c r="G321" s="90">
        <f ca="1">'Manufacturing Cost Calculations'!$D140*G$319^'Manufacturing Cost Calculations'!$E140</f>
        <v>4.897318067171236</v>
      </c>
      <c r="H321" s="90">
        <f ca="1">'Manufacturing Cost Calculations'!$D140*H$319^'Manufacturing Cost Calculations'!$E140</f>
        <v>4.913707005412328</v>
      </c>
      <c r="I321" s="90">
        <f ca="1">'Manufacturing Cost Calculations'!$D140*I$319^'Manufacturing Cost Calculations'!$E140</f>
        <v>4.84617041146939</v>
      </c>
      <c r="J321" s="90">
        <f ca="1">'Manufacturing Cost Calculations'!$D140*J$319^'Manufacturing Cost Calculations'!$E140</f>
        <v>4.84617041146939</v>
      </c>
    </row>
    <row r="322" spans="1:10">
      <c r="A322" s="7" t="s">
        <v>72</v>
      </c>
      <c r="B322" s="7"/>
      <c r="C322" s="7"/>
      <c r="D322" s="78">
        <f>'Cost Input'!D95</f>
        <v>600</v>
      </c>
      <c r="E322" s="133">
        <f>'Cost Input'!E95</f>
        <v>0.6</v>
      </c>
      <c r="F322" s="76">
        <f ca="1">'Manufacturing Cost Calculations'!$D141*F$319^'Manufacturing Cost Calculations'!$E141</f>
        <v>1277.3369027994843</v>
      </c>
      <c r="G322" s="76">
        <f ca="1">'Manufacturing Cost Calculations'!$D141*G$319^'Manufacturing Cost Calculations'!$E141</f>
        <v>1292.761405150161</v>
      </c>
      <c r="H322" s="76">
        <f ca="1">'Manufacturing Cost Calculations'!$D141*H$319^'Manufacturing Cost Calculations'!$E141</f>
        <v>1296.468727960224</v>
      </c>
      <c r="I322" s="76">
        <f ca="1">'Manufacturing Cost Calculations'!$D141*I$319^'Manufacturing Cost Calculations'!$E141</f>
        <v>1281.1799222875447</v>
      </c>
      <c r="J322" s="76">
        <f ca="1">'Manufacturing Cost Calculations'!$D141*J$319^'Manufacturing Cost Calculations'!$E141</f>
        <v>1281.1799222875447</v>
      </c>
    </row>
    <row r="323" spans="1:10">
      <c r="A323" s="7" t="s">
        <v>81</v>
      </c>
      <c r="B323" s="7"/>
      <c r="C323" s="7"/>
      <c r="D323" s="78"/>
      <c r="E323" s="133"/>
      <c r="F323" s="71"/>
      <c r="G323" s="71"/>
      <c r="H323" s="71"/>
      <c r="I323" s="71"/>
      <c r="J323" s="71"/>
    </row>
    <row r="324" spans="1:10">
      <c r="A324" s="7" t="s">
        <v>139</v>
      </c>
      <c r="B324" s="7"/>
      <c r="C324" s="7"/>
      <c r="D324" s="78"/>
      <c r="E324" s="133"/>
      <c r="F324" s="71"/>
      <c r="G324" s="71"/>
      <c r="H324" s="71"/>
      <c r="I324" s="71"/>
      <c r="J324" s="71"/>
    </row>
    <row r="325" spans="1:10">
      <c r="A325" s="7" t="s">
        <v>136</v>
      </c>
      <c r="B325" s="7"/>
      <c r="C325" s="7"/>
      <c r="D325" s="78"/>
      <c r="E325" s="133"/>
      <c r="F325" s="91">
        <f ca="1">'Manufacturing Cost Calculations'!F10/'Cost Input'!$E11</f>
        <v>3.4937073410832236</v>
      </c>
      <c r="G325" s="91">
        <f ca="1">'Manufacturing Cost Calculations'!G10/'Cost Input'!$E11</f>
        <v>3.5660990876145484</v>
      </c>
      <c r="H325" s="91">
        <f ca="1">'Manufacturing Cost Calculations'!H10/'Cost Input'!$E11</f>
        <v>3.5621827838415459</v>
      </c>
      <c r="I325" s="91">
        <f ca="1">'Manufacturing Cost Calculations'!I10/'Cost Input'!$E11</f>
        <v>3.4914693176220988</v>
      </c>
      <c r="J325" s="91">
        <f ca="1">'Manufacturing Cost Calculations'!J10/'Cost Input'!$E11</f>
        <v>3.4914693176220988</v>
      </c>
    </row>
    <row r="326" spans="1:10" ht="14.25">
      <c r="A326" s="321" t="s">
        <v>915</v>
      </c>
      <c r="B326" s="7"/>
      <c r="C326" s="7"/>
      <c r="D326" s="78">
        <f>'Cost Input'!D99</f>
        <v>0.28127792478399444</v>
      </c>
      <c r="E326" s="79">
        <f>'Cost Input'!E99</f>
        <v>0</v>
      </c>
      <c r="F326" s="91">
        <f ca="1">'Manufacturing Cost Calculations'!F145</f>
        <v>0.29457852407998114</v>
      </c>
      <c r="G326" s="91">
        <f ca="1">'Manufacturing Cost Calculations'!G145</f>
        <v>0.29457852407998764</v>
      </c>
      <c r="H326" s="91">
        <f ca="1">'Manufacturing Cost Calculations'!H145</f>
        <v>0.29457852407998775</v>
      </c>
      <c r="I326" s="91">
        <f ca="1">'Manufacturing Cost Calculations'!I145</f>
        <v>0.29457852407997304</v>
      </c>
      <c r="J326" s="91">
        <f ca="1">'Manufacturing Cost Calculations'!J145</f>
        <v>0.29457852407997304</v>
      </c>
    </row>
    <row r="327" spans="1:10">
      <c r="A327" s="7" t="s">
        <v>69</v>
      </c>
      <c r="B327" s="7"/>
      <c r="C327" s="7"/>
      <c r="D327" s="78">
        <f>'Cost Input'!D100</f>
        <v>28800</v>
      </c>
      <c r="E327" s="133">
        <f>'Cost Input'!E100</f>
        <v>0.5</v>
      </c>
      <c r="F327" s="76">
        <f ca="1">'Manufacturing Cost Calculations'!$D146*F$325^'Manufacturing Cost Calculations'!$E146</f>
        <v>53831.409204924857</v>
      </c>
      <c r="G327" s="76">
        <f ca="1">'Manufacturing Cost Calculations'!$D146*G$325^'Manufacturing Cost Calculations'!$E146</f>
        <v>54386.259544401568</v>
      </c>
      <c r="H327" s="76">
        <f ca="1">'Manufacturing Cost Calculations'!$D146*H$325^'Manufacturing Cost Calculations'!$E146</f>
        <v>54356.387740812323</v>
      </c>
      <c r="I327" s="76">
        <f ca="1">'Manufacturing Cost Calculations'!$D146*I$325^'Manufacturing Cost Calculations'!$E146</f>
        <v>53814.164592683905</v>
      </c>
      <c r="J327" s="76">
        <f ca="1">'Manufacturing Cost Calculations'!$D146*J$325^'Manufacturing Cost Calculations'!$E146</f>
        <v>53814.164592683905</v>
      </c>
    </row>
    <row r="328" spans="1:10">
      <c r="A328" s="7" t="s">
        <v>71</v>
      </c>
      <c r="B328" s="7"/>
      <c r="C328" s="7"/>
      <c r="D328" s="79">
        <f>'Cost Input'!D101</f>
        <v>8</v>
      </c>
      <c r="E328" s="133">
        <f>'Cost Input'!E101</f>
        <v>0.8</v>
      </c>
      <c r="F328" s="90">
        <f ca="1">'Manufacturing Cost Calculations'!$D147*F$325^'Manufacturing Cost Calculations'!$E147*(F326/'Manufacturing Cost Calculations'!$D145)^0.2</f>
        <v>21.965054817991597</v>
      </c>
      <c r="G328" s="90">
        <f ca="1">'Manufacturing Cost Calculations'!$D147*G$325^'Manufacturing Cost Calculations'!$E147*(G326/'Manufacturing Cost Calculations'!$D145)^0.2</f>
        <v>22.328410020003503</v>
      </c>
      <c r="H328" s="90">
        <f ca="1">'Manufacturing Cost Calculations'!$D147*H$325^'Manufacturing Cost Calculations'!$E147*(H326/'Manufacturing Cost Calculations'!$D145)^0.2</f>
        <v>22.308790947912772</v>
      </c>
      <c r="I328" s="90">
        <f ca="1">'Manufacturing Cost Calculations'!$D147*I$325^'Manufacturing Cost Calculations'!$E147*(I326/'Manufacturing Cost Calculations'!$D145)^0.2</f>
        <v>21.953797674096474</v>
      </c>
      <c r="J328" s="90">
        <f ca="1">'Manufacturing Cost Calculations'!$D147*J$325^'Manufacturing Cost Calculations'!$E147*(J326/'Manufacturing Cost Calculations'!$D145)^0.2</f>
        <v>21.953797674096474</v>
      </c>
    </row>
    <row r="329" spans="1:10">
      <c r="A329" s="7" t="s">
        <v>72</v>
      </c>
      <c r="B329" s="7"/>
      <c r="C329" s="7"/>
      <c r="D329" s="78">
        <f>'Cost Input'!D102</f>
        <v>750</v>
      </c>
      <c r="E329" s="133">
        <f>'Cost Input'!E102</f>
        <v>0.8</v>
      </c>
      <c r="F329" s="76">
        <f ca="1">'Manufacturing Cost Calculations'!$D148*F$325^'Manufacturing Cost Calculations'!$E148</f>
        <v>2040.283330624362</v>
      </c>
      <c r="G329" s="76">
        <f ca="1">'Manufacturing Cost Calculations'!$D148*G$325^'Manufacturing Cost Calculations'!$E148</f>
        <v>2074.0345581037991</v>
      </c>
      <c r="H329" s="76">
        <f ca="1">'Manufacturing Cost Calculations'!$D148*H$325^'Manufacturing Cost Calculations'!$E148</f>
        <v>2072.2121877031459</v>
      </c>
      <c r="I329" s="76">
        <f ca="1">'Manufacturing Cost Calculations'!$D148*I$325^'Manufacturing Cost Calculations'!$E148</f>
        <v>2039.2376804664302</v>
      </c>
      <c r="J329" s="76">
        <f ca="1">'Manufacturing Cost Calculations'!$D148*J$325^'Manufacturing Cost Calculations'!$E148</f>
        <v>2039.2376804664302</v>
      </c>
    </row>
    <row r="330" spans="1:10">
      <c r="A330" s="7" t="s">
        <v>140</v>
      </c>
      <c r="B330" s="7"/>
      <c r="C330" s="7"/>
      <c r="D330" s="78"/>
      <c r="E330" s="133"/>
      <c r="F330" s="71"/>
      <c r="G330" s="71"/>
      <c r="H330" s="71"/>
      <c r="I330" s="71"/>
      <c r="J330" s="71"/>
    </row>
    <row r="331" spans="1:10">
      <c r="A331" s="7" t="s">
        <v>136</v>
      </c>
      <c r="B331" s="7"/>
      <c r="C331" s="7"/>
      <c r="D331" s="78"/>
      <c r="E331" s="133"/>
      <c r="F331" s="91">
        <f ca="1">F325</f>
        <v>3.4937073410832236</v>
      </c>
      <c r="G331" s="91">
        <f ca="1">G325</f>
        <v>3.5660990876145484</v>
      </c>
      <c r="H331" s="91">
        <f ca="1">H325</f>
        <v>3.5621827838415459</v>
      </c>
      <c r="I331" s="91">
        <f ca="1">I325</f>
        <v>3.4914693176220988</v>
      </c>
      <c r="J331" s="91">
        <f ca="1">J325</f>
        <v>3.4914693176220988</v>
      </c>
    </row>
    <row r="332" spans="1:10" ht="14.25">
      <c r="A332" s="321" t="s">
        <v>915</v>
      </c>
      <c r="B332" s="7"/>
      <c r="C332" s="7"/>
      <c r="D332" s="78">
        <f>'Cost Input'!E15</f>
        <v>1527104.6987965889</v>
      </c>
      <c r="E332" s="79">
        <f>'Cost Input'!E105</f>
        <v>0</v>
      </c>
      <c r="F332" s="91">
        <f ca="1">'Manufacturing Cost Calculations'!F151</f>
        <v>0.18711602585747616</v>
      </c>
      <c r="G332" s="91">
        <f ca="1">'Manufacturing Cost Calculations'!G151</f>
        <v>0.18702182852356078</v>
      </c>
      <c r="H332" s="91">
        <f ca="1">'Manufacturing Cost Calculations'!H151</f>
        <v>0.18812316825566364</v>
      </c>
      <c r="I332" s="91">
        <f ca="1">'Manufacturing Cost Calculations'!I151</f>
        <v>0.1881757773686617</v>
      </c>
      <c r="J332" s="91">
        <f ca="1">'Manufacturing Cost Calculations'!J151</f>
        <v>0.1881757773686617</v>
      </c>
    </row>
    <row r="333" spans="1:10">
      <c r="A333" s="7" t="s">
        <v>69</v>
      </c>
      <c r="B333" s="7"/>
      <c r="C333" s="7"/>
      <c r="D333" s="78">
        <f>'Cost Input'!D106</f>
        <v>28800</v>
      </c>
      <c r="E333" s="133">
        <f>'Cost Input'!E106</f>
        <v>0.5</v>
      </c>
      <c r="F333" s="76">
        <f ca="1">'Manufacturing Cost Calculations'!$D152*F$331^'Manufacturing Cost Calculations'!$E152</f>
        <v>53831.409204924857</v>
      </c>
      <c r="G333" s="76">
        <f ca="1">'Manufacturing Cost Calculations'!$D152*G$331^'Manufacturing Cost Calculations'!$E152</f>
        <v>54386.259544401568</v>
      </c>
      <c r="H333" s="76">
        <f ca="1">'Manufacturing Cost Calculations'!$D152*H$331^'Manufacturing Cost Calculations'!$E152</f>
        <v>54356.387740812323</v>
      </c>
      <c r="I333" s="76">
        <f ca="1">'Manufacturing Cost Calculations'!$D152*I$331^'Manufacturing Cost Calculations'!$E152</f>
        <v>53814.164592683905</v>
      </c>
      <c r="J333" s="76">
        <f ca="1">'Manufacturing Cost Calculations'!$D152*J$331^'Manufacturing Cost Calculations'!$E152</f>
        <v>53814.164592683905</v>
      </c>
    </row>
    <row r="334" spans="1:10">
      <c r="A334" s="7" t="s">
        <v>71</v>
      </c>
      <c r="B334" s="7"/>
      <c r="C334" s="7"/>
      <c r="D334" s="79">
        <f>'Cost Input'!D107</f>
        <v>8</v>
      </c>
      <c r="E334" s="133">
        <f>'Cost Input'!E107</f>
        <v>0.8</v>
      </c>
      <c r="F334" s="90">
        <f ca="1">'Manufacturing Cost Calculations'!$D153*F$325^'Manufacturing Cost Calculations'!$E153*(F332/'Manufacturing Cost Calculations'!$D151)^0.2</f>
        <v>21.788438339070627</v>
      </c>
      <c r="G334" s="90">
        <f ca="1">'Manufacturing Cost Calculations'!$D153*G$325^'Manufacturing Cost Calculations'!$E153*(G332/'Manufacturing Cost Calculations'!$D151)^0.2</f>
        <v>22.146641405163439</v>
      </c>
      <c r="H334" s="90">
        <f ca="1">'Manufacturing Cost Calculations'!$D153*H$325^'Manufacturing Cost Calculations'!$E153*(H332/'Manufacturing Cost Calculations'!$D151)^0.2</f>
        <v>22.15318151730559</v>
      </c>
      <c r="I334" s="90">
        <f ca="1">'Manufacturing Cost Calculations'!$D153*I$325^'Manufacturing Cost Calculations'!$E153*(I332/'Manufacturing Cost Calculations'!$D151)^0.2</f>
        <v>21.801883596562984</v>
      </c>
      <c r="J334" s="90">
        <f ca="1">'Manufacturing Cost Calculations'!$D153*J$325^'Manufacturing Cost Calculations'!$E153*(J332/'Manufacturing Cost Calculations'!$D151)^0.2</f>
        <v>21.801883596562984</v>
      </c>
    </row>
    <row r="335" spans="1:10">
      <c r="A335" s="7" t="s">
        <v>72</v>
      </c>
      <c r="B335" s="7"/>
      <c r="C335" s="7"/>
      <c r="D335" s="78">
        <f>'Cost Input'!D108</f>
        <v>750</v>
      </c>
      <c r="E335" s="133">
        <f>'Cost Input'!E108</f>
        <v>0.8</v>
      </c>
      <c r="F335" s="76">
        <f ca="1">'Manufacturing Cost Calculations'!$D154*F$331^'Manufacturing Cost Calculations'!$E154</f>
        <v>2040.283330624362</v>
      </c>
      <c r="G335" s="76">
        <f ca="1">'Manufacturing Cost Calculations'!$D154*G$331^'Manufacturing Cost Calculations'!$E154</f>
        <v>2074.0345581037991</v>
      </c>
      <c r="H335" s="76">
        <f ca="1">'Manufacturing Cost Calculations'!$D154*H$331^'Manufacturing Cost Calculations'!$E154</f>
        <v>2072.2121877031459</v>
      </c>
      <c r="I335" s="76">
        <f ca="1">'Manufacturing Cost Calculations'!$D154*I$331^'Manufacturing Cost Calculations'!$E154</f>
        <v>2039.2376804664302</v>
      </c>
      <c r="J335" s="76">
        <f ca="1">'Manufacturing Cost Calculations'!$D154*J$331^'Manufacturing Cost Calculations'!$E154</f>
        <v>2039.2376804664302</v>
      </c>
    </row>
    <row r="336" spans="1:10">
      <c r="A336" t="s">
        <v>309</v>
      </c>
      <c r="B336" s="7"/>
      <c r="C336" s="7"/>
      <c r="D336" s="78"/>
      <c r="E336" s="133"/>
      <c r="F336" s="76"/>
      <c r="G336" s="76"/>
      <c r="H336" s="76"/>
      <c r="I336" s="76"/>
      <c r="J336" s="76"/>
    </row>
    <row r="337" spans="1:10">
      <c r="A337" s="7" t="s">
        <v>136</v>
      </c>
      <c r="B337" s="7"/>
      <c r="C337" s="7"/>
      <c r="D337" s="78"/>
      <c r="E337" s="133"/>
      <c r="F337" s="91">
        <f ca="1">'Manufacturing Cost Calculations'!F13/'Cost Input'!$E14</f>
        <v>3.6589119209907532</v>
      </c>
      <c r="G337" s="91">
        <f ca="1">'Manufacturing Cost Calculations'!G13/'Cost Input'!$E14</f>
        <v>3.7347268071578084</v>
      </c>
      <c r="H337" s="91">
        <f ca="1">'Manufacturing Cost Calculations'!H13/'Cost Input'!$E14</f>
        <v>3.7306253157727833</v>
      </c>
      <c r="I337" s="91">
        <f ca="1">'Manufacturing Cost Calculations'!I13/'Cost Input'!$E14</f>
        <v>3.6565680696253264</v>
      </c>
      <c r="J337" s="91">
        <f ca="1">'Manufacturing Cost Calculations'!J13/'Cost Input'!$E14</f>
        <v>3.6565680696253264</v>
      </c>
    </row>
    <row r="338" spans="1:10">
      <c r="A338" s="7" t="s">
        <v>69</v>
      </c>
      <c r="B338" s="7"/>
      <c r="C338" s="7"/>
      <c r="D338" s="78">
        <f>'Cost Input'!D111</f>
        <v>14400</v>
      </c>
      <c r="E338" s="133">
        <f>'Cost Input'!E111</f>
        <v>0.4</v>
      </c>
      <c r="F338" s="76">
        <f ca="1">'Manufacturing Cost Calculations'!$D157*F$337^'Manufacturing Cost Calculations'!$E157</f>
        <v>24193.754760968361</v>
      </c>
      <c r="G338" s="76">
        <f ca="1">'Manufacturing Cost Calculations'!$D157*G$337^'Manufacturing Cost Calculations'!$E157</f>
        <v>24393.045601579437</v>
      </c>
      <c r="H338" s="76">
        <f ca="1">'Manufacturing Cost Calculations'!$D157*H$337^'Manufacturing Cost Calculations'!$E157</f>
        <v>24382.326654490371</v>
      </c>
      <c r="I338" s="76">
        <f ca="1">'Manufacturing Cost Calculations'!$D157*I$337^'Manufacturing Cost Calculations'!$E157</f>
        <v>24187.554287414798</v>
      </c>
      <c r="J338" s="76">
        <f ca="1">'Manufacturing Cost Calculations'!$D157*J$337^'Manufacturing Cost Calculations'!$E157</f>
        <v>24187.554287414798</v>
      </c>
    </row>
    <row r="339" spans="1:10">
      <c r="A339" s="7" t="s">
        <v>71</v>
      </c>
      <c r="B339" s="7"/>
      <c r="C339" s="7"/>
      <c r="D339" s="78">
        <f>'Cost Input'!D112</f>
        <v>3</v>
      </c>
      <c r="E339" s="133">
        <f>'Cost Input'!E112</f>
        <v>0.6</v>
      </c>
      <c r="F339" s="90">
        <f ca="1">'Manufacturing Cost Calculations'!$D158*F$337^'Manufacturing Cost Calculations'!$E158</f>
        <v>6.533297396310136</v>
      </c>
      <c r="G339" s="90">
        <f ca="1">'Manufacturing Cost Calculations'!$D158*G$337^'Manufacturing Cost Calculations'!$E158</f>
        <v>6.6141883512393642</v>
      </c>
      <c r="H339" s="90">
        <f ca="1">'Manufacturing Cost Calculations'!$D158*H$337^'Manufacturing Cost Calculations'!$E158</f>
        <v>6.6098291572065229</v>
      </c>
      <c r="I339" s="90">
        <f ca="1">'Manufacturing Cost Calculations'!$D158*I$337^'Manufacturing Cost Calculations'!$E158</f>
        <v>6.530785987320983</v>
      </c>
      <c r="J339" s="90">
        <f ca="1">'Manufacturing Cost Calculations'!$D158*J$337^'Manufacturing Cost Calculations'!$E158</f>
        <v>6.530785987320983</v>
      </c>
    </row>
    <row r="340" spans="1:10">
      <c r="A340" s="7" t="s">
        <v>72</v>
      </c>
      <c r="B340" s="7"/>
      <c r="C340" s="7"/>
      <c r="D340" s="78">
        <f>'Cost Input'!D113</f>
        <v>225</v>
      </c>
      <c r="E340" s="133">
        <f>'Cost Input'!E113</f>
        <v>0.6</v>
      </c>
      <c r="F340" s="76">
        <f ca="1">'Manufacturing Cost Calculations'!$D159*F$337^'Manufacturing Cost Calculations'!$E159</f>
        <v>489.99730472326019</v>
      </c>
      <c r="G340" s="76">
        <f ca="1">'Manufacturing Cost Calculations'!$D159*G$337^'Manufacturing Cost Calculations'!$E159</f>
        <v>496.06412634295231</v>
      </c>
      <c r="H340" s="76">
        <f ca="1">'Manufacturing Cost Calculations'!$D159*H$337^'Manufacturing Cost Calculations'!$E159</f>
        <v>495.73718679048926</v>
      </c>
      <c r="I340" s="76">
        <f ca="1">'Manufacturing Cost Calculations'!$D159*I$337^'Manufacturing Cost Calculations'!$E159</f>
        <v>489.8089490490737</v>
      </c>
      <c r="J340" s="76">
        <f ca="1">'Manufacturing Cost Calculations'!$D159*J$337^'Manufacturing Cost Calculations'!$E159</f>
        <v>489.8089490490737</v>
      </c>
    </row>
    <row r="341" spans="1:10">
      <c r="A341" s="7" t="s">
        <v>244</v>
      </c>
      <c r="B341" s="7"/>
      <c r="C341" s="7"/>
      <c r="D341" s="78"/>
      <c r="E341" s="133"/>
      <c r="F341" s="71"/>
      <c r="G341" s="71"/>
      <c r="H341" s="71"/>
      <c r="I341" s="71"/>
      <c r="J341" s="71"/>
    </row>
    <row r="342" spans="1:10">
      <c r="A342" s="7" t="s">
        <v>139</v>
      </c>
      <c r="B342" s="7"/>
      <c r="C342" s="7"/>
      <c r="D342" s="78"/>
      <c r="E342" s="133"/>
      <c r="F342" s="71"/>
      <c r="G342" s="71"/>
      <c r="H342" s="71"/>
      <c r="I342" s="71"/>
      <c r="J342" s="71"/>
    </row>
    <row r="343" spans="1:10">
      <c r="A343" s="7" t="s">
        <v>136</v>
      </c>
      <c r="B343" s="7"/>
      <c r="C343" s="7"/>
      <c r="D343" s="78"/>
      <c r="E343" s="133"/>
      <c r="F343" s="91">
        <f ca="1">F325</f>
        <v>3.4937073410832236</v>
      </c>
      <c r="G343" s="91">
        <f ca="1">G325</f>
        <v>3.5660990876145484</v>
      </c>
      <c r="H343" s="91">
        <f ca="1">H325</f>
        <v>3.5621827838415459</v>
      </c>
      <c r="I343" s="91">
        <f ca="1">I325</f>
        <v>3.4914693176220988</v>
      </c>
      <c r="J343" s="91">
        <f ca="1">J325</f>
        <v>3.4914693176220988</v>
      </c>
    </row>
    <row r="344" spans="1:10">
      <c r="A344" s="7" t="s">
        <v>69</v>
      </c>
      <c r="B344" s="7"/>
      <c r="C344" s="7"/>
      <c r="D344" s="78">
        <f>'Cost Input'!D117</f>
        <v>14400</v>
      </c>
      <c r="E344" s="133">
        <f>'Cost Input'!E117</f>
        <v>0.5</v>
      </c>
      <c r="F344" s="76">
        <f ca="1">'Manufacturing Cost Calculations'!$D163*F$343^'Manufacturing Cost Calculations'!$E163</f>
        <v>26915.704602462429</v>
      </c>
      <c r="G344" s="76">
        <f ca="1">'Manufacturing Cost Calculations'!$D163*G$343^'Manufacturing Cost Calculations'!$E163</f>
        <v>27193.129772200784</v>
      </c>
      <c r="H344" s="76">
        <f ca="1">'Manufacturing Cost Calculations'!$D163*H$343^'Manufacturing Cost Calculations'!$E163</f>
        <v>27178.193870406161</v>
      </c>
      <c r="I344" s="76">
        <f ca="1">'Manufacturing Cost Calculations'!$D163*I$343^'Manufacturing Cost Calculations'!$E163</f>
        <v>26907.082296341952</v>
      </c>
      <c r="J344" s="76">
        <f ca="1">'Manufacturing Cost Calculations'!$D163*J$343^'Manufacturing Cost Calculations'!$E163</f>
        <v>26907.082296341952</v>
      </c>
    </row>
    <row r="345" spans="1:10">
      <c r="A345" s="7" t="s">
        <v>71</v>
      </c>
      <c r="B345" s="7"/>
      <c r="C345" s="7"/>
      <c r="D345" s="79">
        <f>'Cost Input'!D118</f>
        <v>1</v>
      </c>
      <c r="E345" s="133">
        <f>'Cost Input'!E118</f>
        <v>0.7</v>
      </c>
      <c r="F345" s="90">
        <f ca="1">'Manufacturing Cost Calculations'!$D164*F$343^'Manufacturing Cost Calculations'!$E164</f>
        <v>2.4004936733895614</v>
      </c>
      <c r="G345" s="90">
        <f ca="1">'Manufacturing Cost Calculations'!$D164*G$343^'Manufacturing Cost Calculations'!$E164</f>
        <v>2.4352042016752411</v>
      </c>
      <c r="H345" s="90">
        <f ca="1">'Manufacturing Cost Calculations'!$D164*H$343^'Manufacturing Cost Calculations'!$E164</f>
        <v>2.4333318476921999</v>
      </c>
      <c r="I345" s="90">
        <f ca="1">'Manufacturing Cost Calculations'!$D164*I$343^'Manufacturing Cost Calculations'!$E164</f>
        <v>2.3994171624232776</v>
      </c>
      <c r="J345" s="90">
        <f ca="1">'Manufacturing Cost Calculations'!$D164*J$343^'Manufacturing Cost Calculations'!$E164</f>
        <v>2.3994171624232776</v>
      </c>
    </row>
    <row r="346" spans="1:10">
      <c r="A346" s="7" t="s">
        <v>72</v>
      </c>
      <c r="B346" s="7"/>
      <c r="C346" s="7"/>
      <c r="D346" s="78">
        <f>'Cost Input'!D119</f>
        <v>225</v>
      </c>
      <c r="E346" s="133">
        <f>'Cost Input'!E119</f>
        <v>0.6</v>
      </c>
      <c r="F346" s="76">
        <f ca="1">'Manufacturing Cost Calculations'!$D165*F$343^'Manufacturing Cost Calculations'!$E165</f>
        <v>476.60043189913853</v>
      </c>
      <c r="G346" s="76">
        <f ca="1">'Manufacturing Cost Calculations'!$D165*G$343^'Manufacturing Cost Calculations'!$E165</f>
        <v>482.50138232544498</v>
      </c>
      <c r="H346" s="76">
        <f ca="1">'Manufacturing Cost Calculations'!$D165*H$343^'Manufacturing Cost Calculations'!$E165</f>
        <v>482.18338153154895</v>
      </c>
      <c r="I346" s="76">
        <f ca="1">'Manufacturing Cost Calculations'!$D165*I$343^'Manufacturing Cost Calculations'!$E165</f>
        <v>476.41722600229417</v>
      </c>
      <c r="J346" s="76">
        <f ca="1">'Manufacturing Cost Calculations'!$D165*J$343^'Manufacturing Cost Calculations'!$E165</f>
        <v>476.41722600229417</v>
      </c>
    </row>
    <row r="347" spans="1:10">
      <c r="A347" s="7" t="s">
        <v>140</v>
      </c>
      <c r="B347" s="7"/>
      <c r="C347" s="7"/>
      <c r="D347" s="78"/>
      <c r="E347" s="133"/>
    </row>
    <row r="348" spans="1:10">
      <c r="A348" s="7" t="s">
        <v>136</v>
      </c>
      <c r="B348" s="7"/>
      <c r="C348" s="7"/>
      <c r="D348" s="78"/>
      <c r="E348" s="133"/>
      <c r="F348" s="92">
        <f ca="1">F331</f>
        <v>3.4937073410832236</v>
      </c>
      <c r="G348" s="92">
        <f ca="1">G331</f>
        <v>3.5660990876145484</v>
      </c>
      <c r="H348" s="92">
        <f ca="1">H331</f>
        <v>3.5621827838415459</v>
      </c>
      <c r="I348" s="92">
        <f ca="1">I331</f>
        <v>3.4914693176220988</v>
      </c>
      <c r="J348" s="92">
        <f ca="1">J331</f>
        <v>3.4914693176220988</v>
      </c>
    </row>
    <row r="349" spans="1:10">
      <c r="A349" s="7" t="s">
        <v>69</v>
      </c>
      <c r="B349" s="7"/>
      <c r="C349" s="7"/>
      <c r="D349" s="78">
        <f>'Cost Input'!D122</f>
        <v>7200</v>
      </c>
      <c r="E349" s="133">
        <f>'Cost Input'!E122</f>
        <v>0.5</v>
      </c>
      <c r="F349" s="76">
        <f ca="1">'Manufacturing Cost Calculations'!$D168*F$348^'Manufacturing Cost Calculations'!$E168</f>
        <v>13457.852301231214</v>
      </c>
      <c r="G349" s="76">
        <f ca="1">'Manufacturing Cost Calculations'!$D168*G$348^'Manufacturing Cost Calculations'!$E168</f>
        <v>13596.564886100392</v>
      </c>
      <c r="H349" s="76">
        <f ca="1">'Manufacturing Cost Calculations'!$D168*H$348^'Manufacturing Cost Calculations'!$E168</f>
        <v>13589.096935203081</v>
      </c>
      <c r="I349" s="76">
        <f ca="1">'Manufacturing Cost Calculations'!$D168*I$348^'Manufacturing Cost Calculations'!$E168</f>
        <v>13453.541148170976</v>
      </c>
      <c r="J349" s="76">
        <f ca="1">'Manufacturing Cost Calculations'!$D168*J$348^'Manufacturing Cost Calculations'!$E168</f>
        <v>13453.541148170976</v>
      </c>
    </row>
    <row r="350" spans="1:10">
      <c r="A350" s="7" t="s">
        <v>71</v>
      </c>
      <c r="B350" s="7"/>
      <c r="C350" s="7"/>
      <c r="D350" s="79">
        <f>'Cost Input'!D123</f>
        <v>1</v>
      </c>
      <c r="E350" s="133">
        <f>'Cost Input'!E123</f>
        <v>0.7</v>
      </c>
      <c r="F350" s="90">
        <f ca="1">'Manufacturing Cost Calculations'!$D169*F$348^'Manufacturing Cost Calculations'!$E169</f>
        <v>2.4004936733895614</v>
      </c>
      <c r="G350" s="90">
        <f ca="1">'Manufacturing Cost Calculations'!$D169*G$348^'Manufacturing Cost Calculations'!$E169</f>
        <v>2.4352042016752411</v>
      </c>
      <c r="H350" s="90">
        <f ca="1">'Manufacturing Cost Calculations'!$D169*H$348^'Manufacturing Cost Calculations'!$E169</f>
        <v>2.4333318476921999</v>
      </c>
      <c r="I350" s="90">
        <f ca="1">'Manufacturing Cost Calculations'!$D169*I$348^'Manufacturing Cost Calculations'!$E169</f>
        <v>2.3994171624232776</v>
      </c>
      <c r="J350" s="90">
        <f ca="1">'Manufacturing Cost Calculations'!$D169*J$348^'Manufacturing Cost Calculations'!$E169</f>
        <v>2.3994171624232776</v>
      </c>
    </row>
    <row r="351" spans="1:10">
      <c r="A351" s="7" t="s">
        <v>72</v>
      </c>
      <c r="B351" s="7"/>
      <c r="C351" s="7"/>
      <c r="D351" s="78">
        <f>'Cost Input'!D124</f>
        <v>225</v>
      </c>
      <c r="E351" s="133">
        <f>'Cost Input'!E124</f>
        <v>0.6</v>
      </c>
      <c r="F351" s="76">
        <f ca="1">'Manufacturing Cost Calculations'!$D170*F$348^'Manufacturing Cost Calculations'!$E170</f>
        <v>476.60043189913853</v>
      </c>
      <c r="G351" s="76">
        <f ca="1">'Manufacturing Cost Calculations'!$D170*G$348^'Manufacturing Cost Calculations'!$E170</f>
        <v>482.50138232544498</v>
      </c>
      <c r="H351" s="76">
        <f ca="1">'Manufacturing Cost Calculations'!$D170*H$348^'Manufacturing Cost Calculations'!$E170</f>
        <v>482.18338153154895</v>
      </c>
      <c r="I351" s="76">
        <f ca="1">'Manufacturing Cost Calculations'!$D170*I$348^'Manufacturing Cost Calculations'!$E170</f>
        <v>476.41722600229417</v>
      </c>
      <c r="J351" s="76">
        <f ca="1">'Manufacturing Cost Calculations'!$D170*J$348^'Manufacturing Cost Calculations'!$E170</f>
        <v>476.41722600229417</v>
      </c>
    </row>
    <row r="352" spans="1:10">
      <c r="A352" s="7" t="s">
        <v>249</v>
      </c>
      <c r="B352" s="7"/>
      <c r="C352" s="7"/>
      <c r="D352" s="10"/>
      <c r="E352" s="77"/>
      <c r="F352" s="71"/>
      <c r="G352" s="71"/>
      <c r="H352" s="71"/>
      <c r="I352" s="71"/>
      <c r="J352" s="71"/>
    </row>
    <row r="353" spans="1:10">
      <c r="A353" s="7" t="s">
        <v>136</v>
      </c>
      <c r="B353" s="7"/>
      <c r="C353" s="7"/>
      <c r="D353" s="10"/>
      <c r="E353" s="77"/>
      <c r="F353" s="93">
        <f ca="1">F343</f>
        <v>3.4937073410832236</v>
      </c>
      <c r="G353" s="93">
        <f ca="1">G343</f>
        <v>3.5660990876145484</v>
      </c>
      <c r="H353" s="93">
        <f ca="1">H343</f>
        <v>3.5621827838415459</v>
      </c>
      <c r="I353" s="93">
        <f ca="1">I343</f>
        <v>3.4914693176220988</v>
      </c>
      <c r="J353" s="93">
        <f ca="1">J343</f>
        <v>3.4914693176220988</v>
      </c>
    </row>
    <row r="354" spans="1:10">
      <c r="A354" s="7" t="s">
        <v>69</v>
      </c>
      <c r="B354" s="7"/>
      <c r="C354" s="7"/>
      <c r="D354" s="76">
        <f>'Cost Input'!D127</f>
        <v>28800</v>
      </c>
      <c r="E354" s="90">
        <f>'Cost Input'!E127</f>
        <v>0.7</v>
      </c>
      <c r="F354" s="76">
        <f ca="1">'Manufacturing Cost Calculations'!$D173*F$353^'Manufacturing Cost Calculations'!$E173</f>
        <v>69134.217793619362</v>
      </c>
      <c r="G354" s="76">
        <f ca="1">'Manufacturing Cost Calculations'!$D173*G$353^'Manufacturing Cost Calculations'!$E173</f>
        <v>70133.881008246943</v>
      </c>
      <c r="H354" s="76">
        <f ca="1">'Manufacturing Cost Calculations'!$D173*H$353^'Manufacturing Cost Calculations'!$E173</f>
        <v>70079.957213535352</v>
      </c>
      <c r="I354" s="76">
        <f ca="1">'Manufacturing Cost Calculations'!$D173*I$353^'Manufacturing Cost Calculations'!$E173</f>
        <v>69103.214277790394</v>
      </c>
      <c r="J354" s="76">
        <f ca="1">'Manufacturing Cost Calculations'!$D173*J$353^'Manufacturing Cost Calculations'!$E173</f>
        <v>69103.214277790394</v>
      </c>
    </row>
    <row r="355" spans="1:10">
      <c r="A355" s="7" t="s">
        <v>71</v>
      </c>
      <c r="B355" s="7"/>
      <c r="C355" s="7"/>
      <c r="D355" s="90">
        <f>'Cost Input'!D128</f>
        <v>1.5</v>
      </c>
      <c r="E355" s="90">
        <f>'Cost Input'!E128</f>
        <v>0.7</v>
      </c>
      <c r="F355" s="90">
        <f ca="1">'Manufacturing Cost Calculations'!$D174*F$353^'Manufacturing Cost Calculations'!$E174</f>
        <v>3.6007405100843419</v>
      </c>
      <c r="G355" s="90">
        <f ca="1">'Manufacturing Cost Calculations'!$D174*G$353^'Manufacturing Cost Calculations'!$E174</f>
        <v>3.6528063025128619</v>
      </c>
      <c r="H355" s="90">
        <f ca="1">'Manufacturing Cost Calculations'!$D174*H$353^'Manufacturing Cost Calculations'!$E174</f>
        <v>3.6499977715382999</v>
      </c>
      <c r="I355" s="90">
        <f ca="1">'Manufacturing Cost Calculations'!$D174*I$353^'Manufacturing Cost Calculations'!$E174</f>
        <v>3.5991257436349162</v>
      </c>
      <c r="J355" s="90">
        <f ca="1">'Manufacturing Cost Calculations'!$D174*J$353^'Manufacturing Cost Calculations'!$E174</f>
        <v>3.5991257436349162</v>
      </c>
    </row>
    <row r="356" spans="1:10">
      <c r="A356" s="7" t="s">
        <v>72</v>
      </c>
      <c r="B356" s="7"/>
      <c r="C356" s="7"/>
      <c r="D356" s="76">
        <f>'Cost Input'!D129</f>
        <v>900</v>
      </c>
      <c r="E356" s="90">
        <f>'Cost Input'!E129</f>
        <v>0.6</v>
      </c>
      <c r="F356" s="76">
        <f ca="1">'Manufacturing Cost Calculations'!$D175*F$353^'Manufacturing Cost Calculations'!$E175</f>
        <v>1906.4017275965541</v>
      </c>
      <c r="G356" s="76">
        <f ca="1">'Manufacturing Cost Calculations'!$D175*G$353^'Manufacturing Cost Calculations'!$E175</f>
        <v>1930.0055293017799</v>
      </c>
      <c r="H356" s="76">
        <f ca="1">'Manufacturing Cost Calculations'!$D175*H$353^'Manufacturing Cost Calculations'!$E175</f>
        <v>1928.7335261261958</v>
      </c>
      <c r="I356" s="76">
        <f ca="1">'Manufacturing Cost Calculations'!$D175*I$353^'Manufacturing Cost Calculations'!$E175</f>
        <v>1905.6689040091767</v>
      </c>
      <c r="J356" s="76">
        <f ca="1">'Manufacturing Cost Calculations'!$D175*J$353^'Manufacturing Cost Calculations'!$E175</f>
        <v>1905.6689040091767</v>
      </c>
    </row>
    <row r="357" spans="1:10">
      <c r="A357" s="7" t="s">
        <v>141</v>
      </c>
      <c r="B357" s="7"/>
      <c r="C357" s="7"/>
      <c r="D357" s="76"/>
      <c r="E357" s="90"/>
      <c r="F357" s="71"/>
      <c r="G357" s="71"/>
      <c r="H357" s="71"/>
      <c r="I357" s="71"/>
      <c r="J357" s="71"/>
    </row>
    <row r="358" spans="1:10">
      <c r="A358" s="7" t="s">
        <v>136</v>
      </c>
      <c r="B358" s="7"/>
      <c r="C358" s="7"/>
      <c r="D358" s="76"/>
      <c r="E358" s="90"/>
      <c r="F358" s="91">
        <f ca="1">F353</f>
        <v>3.4937073410832236</v>
      </c>
      <c r="G358" s="91">
        <f ca="1">G353</f>
        <v>3.5660990876145484</v>
      </c>
      <c r="H358" s="91">
        <f ca="1">H353</f>
        <v>3.5621827838415459</v>
      </c>
      <c r="I358" s="91">
        <f ca="1">I353</f>
        <v>3.4914693176220988</v>
      </c>
      <c r="J358" s="91">
        <f ca="1">J353</f>
        <v>3.4914693176220988</v>
      </c>
    </row>
    <row r="359" spans="1:10">
      <c r="A359" s="7" t="s">
        <v>69</v>
      </c>
      <c r="B359" s="7"/>
      <c r="C359" s="7"/>
      <c r="D359" s="76">
        <f>'Cost Input'!D132</f>
        <v>28800</v>
      </c>
      <c r="E359" s="90">
        <f>'Cost Input'!E132</f>
        <v>0.5</v>
      </c>
      <c r="F359" s="76">
        <f ca="1">'Manufacturing Cost Calculations'!$D178*F$358^'Manufacturing Cost Calculations'!$E178</f>
        <v>53831.409204924857</v>
      </c>
      <c r="G359" s="76">
        <f ca="1">'Manufacturing Cost Calculations'!$D178*G$358^'Manufacturing Cost Calculations'!$E178</f>
        <v>54386.259544401568</v>
      </c>
      <c r="H359" s="76">
        <f ca="1">'Manufacturing Cost Calculations'!$D178*H$358^'Manufacturing Cost Calculations'!$E178</f>
        <v>54356.387740812323</v>
      </c>
      <c r="I359" s="76">
        <f ca="1">'Manufacturing Cost Calculations'!$D178*I$358^'Manufacturing Cost Calculations'!$E178</f>
        <v>53814.164592683905</v>
      </c>
      <c r="J359" s="76">
        <f ca="1">'Manufacturing Cost Calculations'!$D178*J$358^'Manufacturing Cost Calculations'!$E178</f>
        <v>53814.164592683905</v>
      </c>
    </row>
    <row r="360" spans="1:10">
      <c r="A360" s="7" t="s">
        <v>71</v>
      </c>
      <c r="B360" s="7"/>
      <c r="C360" s="7"/>
      <c r="D360" s="90">
        <f>'Cost Input'!D133</f>
        <v>2</v>
      </c>
      <c r="E360" s="90">
        <f>'Cost Input'!E133</f>
        <v>0.7</v>
      </c>
      <c r="F360" s="90">
        <f ca="1">'Manufacturing Cost Calculations'!$D179*F$358^'Manufacturing Cost Calculations'!$E179</f>
        <v>4.8009873467791229</v>
      </c>
      <c r="G360" s="90">
        <f ca="1">'Manufacturing Cost Calculations'!$D179*G$358^'Manufacturing Cost Calculations'!$E179</f>
        <v>4.8704084033504822</v>
      </c>
      <c r="H360" s="90">
        <f ca="1">'Manufacturing Cost Calculations'!$D179*H$358^'Manufacturing Cost Calculations'!$E179</f>
        <v>4.8666636953843998</v>
      </c>
      <c r="I360" s="90">
        <f ca="1">'Manufacturing Cost Calculations'!$D179*I$358^'Manufacturing Cost Calculations'!$E179</f>
        <v>4.7988343248465553</v>
      </c>
      <c r="J360" s="90">
        <f ca="1">'Manufacturing Cost Calculations'!$D179*J$358^'Manufacturing Cost Calculations'!$E179</f>
        <v>4.7988343248465553</v>
      </c>
    </row>
    <row r="361" spans="1:10">
      <c r="A361" s="7" t="s">
        <v>72</v>
      </c>
      <c r="B361" s="7"/>
      <c r="C361" s="7"/>
      <c r="D361" s="76">
        <f>'Cost Input'!D134</f>
        <v>300</v>
      </c>
      <c r="E361" s="90">
        <f>'Cost Input'!E134</f>
        <v>0.6</v>
      </c>
      <c r="F361" s="76">
        <f ca="1">'Manufacturing Cost Calculations'!$D180*F$358^'Manufacturing Cost Calculations'!$E180</f>
        <v>635.46724253218474</v>
      </c>
      <c r="G361" s="76">
        <f ca="1">'Manufacturing Cost Calculations'!$D180*G$358^'Manufacturing Cost Calculations'!$E180</f>
        <v>643.33517643392668</v>
      </c>
      <c r="H361" s="76">
        <f ca="1">'Manufacturing Cost Calculations'!$D180*H$358^'Manufacturing Cost Calculations'!$E180</f>
        <v>642.91117537539867</v>
      </c>
      <c r="I361" s="76">
        <f ca="1">'Manufacturing Cost Calculations'!$D180*I$358^'Manufacturing Cost Calculations'!$E180</f>
        <v>635.2229680030589</v>
      </c>
      <c r="J361" s="76">
        <f ca="1">'Manufacturing Cost Calculations'!$D180*J$358^'Manufacturing Cost Calculations'!$E180</f>
        <v>635.2229680030589</v>
      </c>
    </row>
    <row r="362" spans="1:10">
      <c r="A362" s="5" t="s">
        <v>335</v>
      </c>
      <c r="B362" s="7"/>
      <c r="C362" s="7"/>
      <c r="D362" s="76"/>
      <c r="E362" s="90"/>
      <c r="F362" s="76"/>
      <c r="G362" s="76"/>
      <c r="H362" s="76"/>
      <c r="I362" s="76"/>
      <c r="J362" s="76"/>
    </row>
    <row r="363" spans="1:10">
      <c r="A363" s="7" t="s">
        <v>136</v>
      </c>
      <c r="B363" s="7"/>
      <c r="C363" s="7"/>
      <c r="D363" s="76"/>
      <c r="E363" s="90"/>
      <c r="F363" s="91">
        <f ca="1">F358</f>
        <v>3.4937073410832236</v>
      </c>
      <c r="G363" s="91">
        <f ca="1">G358</f>
        <v>3.5660990876145484</v>
      </c>
      <c r="H363" s="91">
        <f ca="1">H358</f>
        <v>3.5621827838415459</v>
      </c>
      <c r="I363" s="91">
        <f ca="1">I358</f>
        <v>3.4914693176220988</v>
      </c>
      <c r="J363" s="91">
        <f ca="1">J358</f>
        <v>3.4914693176220988</v>
      </c>
    </row>
    <row r="364" spans="1:10">
      <c r="A364" s="7" t="s">
        <v>69</v>
      </c>
      <c r="B364" s="7"/>
      <c r="C364" s="7"/>
      <c r="D364" s="76">
        <f>'Cost Input'!D137</f>
        <v>14400</v>
      </c>
      <c r="E364" s="90">
        <f>'Cost Input'!E137</f>
        <v>0.5</v>
      </c>
      <c r="F364" s="76">
        <f ca="1">'Manufacturing Cost Calculations'!$D183*F$363^'Manufacturing Cost Calculations'!$E183</f>
        <v>26915.704602462429</v>
      </c>
      <c r="G364" s="76">
        <f ca="1">'Manufacturing Cost Calculations'!$D183*G$363^'Manufacturing Cost Calculations'!$E183</f>
        <v>27193.129772200784</v>
      </c>
      <c r="H364" s="76">
        <f ca="1">'Manufacturing Cost Calculations'!$D183*H$363^'Manufacturing Cost Calculations'!$E183</f>
        <v>27178.193870406161</v>
      </c>
      <c r="I364" s="76">
        <f ca="1">'Manufacturing Cost Calculations'!$D183*I$363^'Manufacturing Cost Calculations'!$E183</f>
        <v>26907.082296341952</v>
      </c>
      <c r="J364" s="76">
        <f ca="1">'Manufacturing Cost Calculations'!$D183*J$363^'Manufacturing Cost Calculations'!$E183</f>
        <v>26907.082296341952</v>
      </c>
    </row>
    <row r="365" spans="1:10">
      <c r="A365" s="7" t="s">
        <v>71</v>
      </c>
      <c r="B365" s="7"/>
      <c r="C365" s="7"/>
      <c r="D365" s="90">
        <f>'Cost Input'!D138</f>
        <v>1.6</v>
      </c>
      <c r="E365" s="90">
        <f>'Cost Input'!E138</f>
        <v>0.7</v>
      </c>
      <c r="F365" s="90">
        <f ca="1">'Manufacturing Cost Calculations'!$D184*F$363^'Manufacturing Cost Calculations'!$E184</f>
        <v>3.8407898774232985</v>
      </c>
      <c r="G365" s="90">
        <f ca="1">'Manufacturing Cost Calculations'!$D184*G$363^'Manufacturing Cost Calculations'!$E184</f>
        <v>3.8963267226803859</v>
      </c>
      <c r="H365" s="90">
        <f ca="1">'Manufacturing Cost Calculations'!$D184*H$363^'Manufacturing Cost Calculations'!$E184</f>
        <v>3.89333095630752</v>
      </c>
      <c r="I365" s="90">
        <f ca="1">'Manufacturing Cost Calculations'!$D184*I$363^'Manufacturing Cost Calculations'!$E184</f>
        <v>3.8390674598772443</v>
      </c>
      <c r="J365" s="90">
        <f ca="1">'Manufacturing Cost Calculations'!$D184*J$363^'Manufacturing Cost Calculations'!$E184</f>
        <v>3.8390674598772443</v>
      </c>
    </row>
    <row r="366" spans="1:10">
      <c r="A366" s="7" t="s">
        <v>72</v>
      </c>
      <c r="B366" s="7"/>
      <c r="C366" s="7"/>
      <c r="D366" s="76">
        <f>'Cost Input'!D139</f>
        <v>300</v>
      </c>
      <c r="E366" s="90">
        <f>'Cost Input'!E139</f>
        <v>0.6</v>
      </c>
      <c r="F366" s="76">
        <f ca="1">'Manufacturing Cost Calculations'!$D185*F$363^'Manufacturing Cost Calculations'!$E185</f>
        <v>635.46724253218474</v>
      </c>
      <c r="G366" s="76">
        <f ca="1">'Manufacturing Cost Calculations'!$D185*G$363^'Manufacturing Cost Calculations'!$E185</f>
        <v>643.33517643392668</v>
      </c>
      <c r="H366" s="76">
        <f ca="1">'Manufacturing Cost Calculations'!$D185*H$363^'Manufacturing Cost Calculations'!$E185</f>
        <v>642.91117537539867</v>
      </c>
      <c r="I366" s="76">
        <f ca="1">'Manufacturing Cost Calculations'!$D185*I$363^'Manufacturing Cost Calculations'!$E185</f>
        <v>635.2229680030589</v>
      </c>
      <c r="J366" s="76">
        <f ca="1">'Manufacturing Cost Calculations'!$D185*J$363^'Manufacturing Cost Calculations'!$E185</f>
        <v>635.2229680030589</v>
      </c>
    </row>
    <row r="367" spans="1:10">
      <c r="A367" s="5" t="s">
        <v>336</v>
      </c>
      <c r="B367" s="7"/>
      <c r="C367" s="7"/>
      <c r="D367" s="76"/>
      <c r="E367" s="90"/>
      <c r="F367" s="76"/>
      <c r="G367" s="76"/>
      <c r="H367" s="76"/>
      <c r="I367" s="76"/>
      <c r="J367" s="76"/>
    </row>
    <row r="368" spans="1:10">
      <c r="A368" s="7" t="s">
        <v>136</v>
      </c>
      <c r="B368" s="7"/>
      <c r="C368" s="7"/>
      <c r="D368" s="76"/>
      <c r="E368" s="90"/>
      <c r="F368" s="91">
        <f ca="1">F307</f>
        <v>4.0595182473804847</v>
      </c>
      <c r="G368" s="91">
        <f ca="1">G307</f>
        <v>4.0595182473805211</v>
      </c>
      <c r="H368" s="91">
        <f ca="1">H307</f>
        <v>4.0595182473805211</v>
      </c>
      <c r="I368" s="91">
        <f ca="1">I307</f>
        <v>4.0595182473804838</v>
      </c>
      <c r="J368" s="91">
        <f ca="1">J307</f>
        <v>4.0595182473804838</v>
      </c>
    </row>
    <row r="369" spans="1:10">
      <c r="A369" s="7" t="s">
        <v>69</v>
      </c>
      <c r="B369" s="7"/>
      <c r="C369" s="7"/>
      <c r="D369" s="76">
        <f>'Cost Input'!D142</f>
        <v>28800</v>
      </c>
      <c r="E369" s="90">
        <f>'Cost Input'!E142</f>
        <v>0.5</v>
      </c>
      <c r="F369" s="76">
        <f ca="1">'Manufacturing Cost Calculations'!$D188*F$368^'Manufacturing Cost Calculations'!$E188</f>
        <v>58026.949041865621</v>
      </c>
      <c r="G369" s="76">
        <f ca="1">'Manufacturing Cost Calculations'!$D188*G$368^'Manufacturing Cost Calculations'!$E188</f>
        <v>58026.949041865875</v>
      </c>
      <c r="H369" s="76">
        <f ca="1">'Manufacturing Cost Calculations'!$D188*H$368^'Manufacturing Cost Calculations'!$E188</f>
        <v>58026.949041865875</v>
      </c>
      <c r="I369" s="76">
        <f ca="1">'Manufacturing Cost Calculations'!$D188*I$368^'Manufacturing Cost Calculations'!$E188</f>
        <v>58026.949041865606</v>
      </c>
      <c r="J369" s="76">
        <f ca="1">'Manufacturing Cost Calculations'!$D188*J$368^'Manufacturing Cost Calculations'!$E188</f>
        <v>58026.949041865606</v>
      </c>
    </row>
    <row r="370" spans="1:10">
      <c r="A370" s="7" t="s">
        <v>71</v>
      </c>
      <c r="B370" s="7"/>
      <c r="C370" s="7"/>
      <c r="D370" s="90">
        <f>'Cost Input'!D143</f>
        <v>1.5</v>
      </c>
      <c r="E370" s="90">
        <f>'Cost Input'!E143</f>
        <v>0.7</v>
      </c>
      <c r="F370" s="90">
        <f ca="1">'Manufacturing Cost Calculations'!$D189*F$368^'Manufacturing Cost Calculations'!$E189</f>
        <v>3.9996630653635719</v>
      </c>
      <c r="G370" s="90">
        <f ca="1">'Manufacturing Cost Calculations'!$D189*G$368^'Manufacturing Cost Calculations'!$E189</f>
        <v>3.9996630653635963</v>
      </c>
      <c r="H370" s="90">
        <f ca="1">'Manufacturing Cost Calculations'!$D189*H$368^'Manufacturing Cost Calculations'!$E189</f>
        <v>3.9996630653635963</v>
      </c>
      <c r="I370" s="90">
        <f ca="1">'Manufacturing Cost Calculations'!$D189*I$368^'Manufacturing Cost Calculations'!$E189</f>
        <v>3.9996630653635705</v>
      </c>
      <c r="J370" s="90">
        <f ca="1">'Manufacturing Cost Calculations'!$D189*J$368^'Manufacturing Cost Calculations'!$E189</f>
        <v>3.9996630653635705</v>
      </c>
    </row>
    <row r="371" spans="1:10">
      <c r="A371" s="7" t="s">
        <v>72</v>
      </c>
      <c r="B371" s="7"/>
      <c r="C371" s="7"/>
      <c r="D371" s="76">
        <f>'Cost Input'!D144</f>
        <v>300</v>
      </c>
      <c r="E371" s="90">
        <f>'Cost Input'!E144</f>
        <v>0.6</v>
      </c>
      <c r="F371" s="76">
        <f ca="1">'Manufacturing Cost Calculations'!$D190*F$368^'Manufacturing Cost Calculations'!$E190</f>
        <v>695.35399389819781</v>
      </c>
      <c r="G371" s="76">
        <f ca="1">'Manufacturing Cost Calculations'!$D190*G$368^'Manufacturing Cost Calculations'!$E190</f>
        <v>695.35399389820157</v>
      </c>
      <c r="H371" s="76">
        <f ca="1">'Manufacturing Cost Calculations'!$D190*H$368^'Manufacturing Cost Calculations'!$E190</f>
        <v>695.35399389820157</v>
      </c>
      <c r="I371" s="76">
        <f ca="1">'Manufacturing Cost Calculations'!$D190*I$368^'Manufacturing Cost Calculations'!$E190</f>
        <v>695.3539938981977</v>
      </c>
      <c r="J371" s="76">
        <f ca="1">'Manufacturing Cost Calculations'!$D190*J$368^'Manufacturing Cost Calculations'!$E190</f>
        <v>695.3539938981977</v>
      </c>
    </row>
    <row r="372" spans="1:10">
      <c r="A372" s="5" t="s">
        <v>329</v>
      </c>
      <c r="B372" s="7"/>
      <c r="C372" s="7"/>
      <c r="D372" s="76"/>
      <c r="E372" s="90"/>
      <c r="F372" s="76"/>
      <c r="G372" s="76"/>
      <c r="H372" s="76"/>
      <c r="I372" s="76"/>
      <c r="J372" s="76"/>
    </row>
    <row r="373" spans="1:10">
      <c r="A373" s="321" t="s">
        <v>709</v>
      </c>
      <c r="B373" s="7"/>
      <c r="C373" s="7"/>
      <c r="D373" s="76"/>
      <c r="E373" s="90"/>
      <c r="F373" s="71"/>
      <c r="G373" s="71"/>
      <c r="H373" s="71"/>
      <c r="I373" s="71"/>
      <c r="J373" s="71"/>
    </row>
    <row r="374" spans="1:10">
      <c r="A374" s="7" t="s">
        <v>136</v>
      </c>
      <c r="C374" s="7"/>
      <c r="D374" s="76"/>
      <c r="E374" s="90"/>
      <c r="F374" s="91">
        <f>'Manufacturing Cost Calculations'!F9/'Cost Input'!$E10*IF(F6=1,2,1)</f>
        <v>4.2666666666666657</v>
      </c>
      <c r="G374" s="91">
        <f>'Manufacturing Cost Calculations'!G9/'Cost Input'!$E10*IF(G6=1,2,1)</f>
        <v>4.2666666666666657</v>
      </c>
      <c r="H374" s="91">
        <f>'Manufacturing Cost Calculations'!H9/'Cost Input'!$E10*IF(H6=1,2,1)</f>
        <v>8.5333333333333314</v>
      </c>
      <c r="I374" s="91">
        <f>'Manufacturing Cost Calculations'!I9/'Cost Input'!$E10*IF(I6=1,2,1)</f>
        <v>8.5333333333333314</v>
      </c>
      <c r="J374" s="91">
        <f>'Manufacturing Cost Calculations'!J9/'Cost Input'!$E10*IF(J6=1,2,1)</f>
        <v>8.5333333333333314</v>
      </c>
    </row>
    <row r="375" spans="1:10">
      <c r="A375" s="7" t="s">
        <v>251</v>
      </c>
      <c r="B375" s="7"/>
      <c r="C375" s="7"/>
      <c r="D375" s="76">
        <f>'Cost Input'!I82</f>
        <v>40</v>
      </c>
      <c r="E375" s="90">
        <f>'Cost Input'!J82</f>
        <v>0.3</v>
      </c>
      <c r="F375" s="199">
        <f ca="1">'Battery Design'!F78/IF(F6=1,2,1)</f>
        <v>37.518139814846087</v>
      </c>
      <c r="G375" s="199">
        <f ca="1">'Battery Design'!G78/IF(G6=1,2,1)</f>
        <v>38.295538549956383</v>
      </c>
      <c r="H375" s="199">
        <f ca="1">'Battery Design'!H78/IF(H6=1,2,1)</f>
        <v>19.12674112090458</v>
      </c>
      <c r="I375" s="199">
        <f ca="1">'Battery Design'!I78/IF(I6=1,2,1)</f>
        <v>18.747053091340781</v>
      </c>
      <c r="J375" s="199">
        <f ca="1">'Battery Design'!J78/IF(J6=1,2,1)</f>
        <v>18.747053091340781</v>
      </c>
    </row>
    <row r="376" spans="1:10">
      <c r="A376" s="7" t="s">
        <v>69</v>
      </c>
      <c r="B376" s="7"/>
      <c r="C376" s="7"/>
      <c r="D376" s="76">
        <f>'Cost Input'!I83</f>
        <v>36000</v>
      </c>
      <c r="E376" s="90">
        <f>'Cost Input'!J83</f>
        <v>0.7</v>
      </c>
      <c r="F376" s="76">
        <f>'Manufacturing Cost Calculations'!$D195*F$374^'Manufacturing Cost Calculations'!$E195</f>
        <v>99395.014456988734</v>
      </c>
      <c r="G376" s="76">
        <f>'Manufacturing Cost Calculations'!$D195*G$374^'Manufacturing Cost Calculations'!$E195</f>
        <v>99395.014456988734</v>
      </c>
      <c r="H376" s="76">
        <f>'Manufacturing Cost Calculations'!$D195*H$374^'Manufacturing Cost Calculations'!$E195</f>
        <v>161467.67735710353</v>
      </c>
      <c r="I376" s="76">
        <f>'Manufacturing Cost Calculations'!$D195*I$374^'Manufacturing Cost Calculations'!$E195</f>
        <v>161467.67735710353</v>
      </c>
      <c r="J376" s="76">
        <f>'Manufacturing Cost Calculations'!$D195*J$374^'Manufacturing Cost Calculations'!$E195</f>
        <v>161467.67735710353</v>
      </c>
    </row>
    <row r="377" spans="1:10">
      <c r="A377" s="7" t="s">
        <v>71</v>
      </c>
      <c r="B377" s="7"/>
      <c r="C377" s="7"/>
      <c r="D377" s="90">
        <f>'Cost Input'!I84</f>
        <v>4</v>
      </c>
      <c r="E377" s="90">
        <f>'Cost Input'!J84</f>
        <v>0.8</v>
      </c>
      <c r="F377" s="90">
        <f ca="1">'Manufacturing Cost Calculations'!$D196*F$374^'Manufacturing Cost Calculations'!$E196*(F375/'Manufacturing Cost Calculations'!$D194)^'Manufacturing Cost Calculations'!$E194</f>
        <v>12.525219778663965</v>
      </c>
      <c r="G377" s="90">
        <f ca="1">'Manufacturing Cost Calculations'!$D196*G$374^'Manufacturing Cost Calculations'!$E196*(G375/'Manufacturing Cost Calculations'!$D194)^'Manufacturing Cost Calculations'!$E194</f>
        <v>12.602520724243263</v>
      </c>
      <c r="H377" s="90">
        <f ca="1">'Manufacturing Cost Calculations'!$D196*H$374^'Manufacturing Cost Calculations'!$E196*(H375/'Manufacturing Cost Calculations'!$D194)^'Manufacturing Cost Calculations'!$E194</f>
        <v>17.816781597147905</v>
      </c>
      <c r="I377" s="90">
        <f ca="1">'Manufacturing Cost Calculations'!$D196*I$374^'Manufacturing Cost Calculations'!$E196*(I375/'Manufacturing Cost Calculations'!$D194)^'Manufacturing Cost Calculations'!$E194</f>
        <v>17.70993083949632</v>
      </c>
      <c r="J377" s="90">
        <f ca="1">'Manufacturing Cost Calculations'!$D196*J$374^'Manufacturing Cost Calculations'!$E196*(J375/'Manufacturing Cost Calculations'!$D194)^'Manufacturing Cost Calculations'!$E194</f>
        <v>17.70993083949632</v>
      </c>
    </row>
    <row r="378" spans="1:10">
      <c r="A378" s="7" t="s">
        <v>72</v>
      </c>
      <c r="B378" s="7"/>
      <c r="C378" s="7"/>
      <c r="D378" s="76">
        <f>'Cost Input'!I85</f>
        <v>600</v>
      </c>
      <c r="E378" s="90">
        <f>'Cost Input'!J85</f>
        <v>0.8</v>
      </c>
      <c r="F378" s="76">
        <f>'Manufacturing Cost Calculations'!$D197*F$374^'Manufacturing Cost Calculations'!$E197</f>
        <v>1915.2356732657213</v>
      </c>
      <c r="G378" s="76">
        <f>'Manufacturing Cost Calculations'!$D197*G$374^'Manufacturing Cost Calculations'!$E197</f>
        <v>1915.2356732657213</v>
      </c>
      <c r="H378" s="76">
        <f>'Manufacturing Cost Calculations'!$D197*H$374^'Manufacturing Cost Calculations'!$E197</f>
        <v>3334.6189884126097</v>
      </c>
      <c r="I378" s="76">
        <f>'Manufacturing Cost Calculations'!$D197*I$374^'Manufacturing Cost Calculations'!$E197</f>
        <v>3334.6189884126097</v>
      </c>
      <c r="J378" s="76">
        <f>'Manufacturing Cost Calculations'!$D197*J$374^'Manufacturing Cost Calculations'!$E197</f>
        <v>3334.6189884126097</v>
      </c>
    </row>
    <row r="379" spans="1:10">
      <c r="A379" s="7" t="s">
        <v>142</v>
      </c>
      <c r="B379" s="7"/>
      <c r="C379" s="7"/>
      <c r="D379" s="76"/>
      <c r="E379" s="90"/>
      <c r="F379" s="71"/>
      <c r="G379" s="71"/>
      <c r="H379" s="71"/>
      <c r="I379" s="71"/>
      <c r="J379" s="71"/>
    </row>
    <row r="380" spans="1:10">
      <c r="A380" s="7" t="s">
        <v>136</v>
      </c>
      <c r="B380" s="7"/>
      <c r="C380" s="7"/>
      <c r="D380" s="76"/>
      <c r="E380" s="90"/>
      <c r="F380" s="91">
        <f>F374</f>
        <v>4.2666666666666657</v>
      </c>
      <c r="G380" s="91">
        <f>G374</f>
        <v>4.2666666666666657</v>
      </c>
      <c r="H380" s="91">
        <f>H374</f>
        <v>8.5333333333333314</v>
      </c>
      <c r="I380" s="91">
        <f>I374</f>
        <v>8.5333333333333314</v>
      </c>
      <c r="J380" s="91">
        <f>J374</f>
        <v>8.5333333333333314</v>
      </c>
    </row>
    <row r="381" spans="1:10">
      <c r="A381" s="7" t="s">
        <v>69</v>
      </c>
      <c r="B381" s="7"/>
      <c r="C381" s="7"/>
      <c r="D381" s="76">
        <f>'Cost Input'!I88</f>
        <v>36000</v>
      </c>
      <c r="E381" s="90">
        <f>'Cost Input'!J88</f>
        <v>0.7</v>
      </c>
      <c r="F381" s="76">
        <f>'Manufacturing Cost Calculations'!$D200*F$380^'Manufacturing Cost Calculations'!$E200</f>
        <v>99395.014456988734</v>
      </c>
      <c r="G381" s="76">
        <f>'Manufacturing Cost Calculations'!$D200*G$380^'Manufacturing Cost Calculations'!$E200</f>
        <v>99395.014456988734</v>
      </c>
      <c r="H381" s="76">
        <f>'Manufacturing Cost Calculations'!$D200*H$380^'Manufacturing Cost Calculations'!$E200</f>
        <v>161467.67735710353</v>
      </c>
      <c r="I381" s="76">
        <f>'Manufacturing Cost Calculations'!$D200*I$380^'Manufacturing Cost Calculations'!$E200</f>
        <v>161467.67735710353</v>
      </c>
      <c r="J381" s="76">
        <f>'Manufacturing Cost Calculations'!$D200*J$380^'Manufacturing Cost Calculations'!$E200</f>
        <v>161467.67735710353</v>
      </c>
    </row>
    <row r="382" spans="1:10">
      <c r="A382" s="7" t="s">
        <v>71</v>
      </c>
      <c r="B382" s="7"/>
      <c r="C382" s="7"/>
      <c r="D382" s="90">
        <f>'Cost Input'!I89</f>
        <v>4</v>
      </c>
      <c r="E382" s="90">
        <f>'Cost Input'!J89</f>
        <v>0.8</v>
      </c>
      <c r="F382" s="90">
        <f>'Manufacturing Cost Calculations'!$D201*F$380^'Manufacturing Cost Calculations'!$E201</f>
        <v>12.768237821771475</v>
      </c>
      <c r="G382" s="90">
        <f>'Manufacturing Cost Calculations'!$D201*G$380^'Manufacturing Cost Calculations'!$E201</f>
        <v>12.768237821771475</v>
      </c>
      <c r="H382" s="90">
        <f>'Manufacturing Cost Calculations'!$D201*H$380^'Manufacturing Cost Calculations'!$E201</f>
        <v>22.230793256084066</v>
      </c>
      <c r="I382" s="90">
        <f>'Manufacturing Cost Calculations'!$D201*I$380^'Manufacturing Cost Calculations'!$E201</f>
        <v>22.230793256084066</v>
      </c>
      <c r="J382" s="90">
        <f>'Manufacturing Cost Calculations'!$D201*J$380^'Manufacturing Cost Calculations'!$E201</f>
        <v>22.230793256084066</v>
      </c>
    </row>
    <row r="383" spans="1:10">
      <c r="A383" s="7" t="s">
        <v>72</v>
      </c>
      <c r="B383" s="7"/>
      <c r="C383" s="7"/>
      <c r="D383" s="76">
        <f>'Cost Input'!I90</f>
        <v>600</v>
      </c>
      <c r="E383" s="90">
        <f>'Cost Input'!J90</f>
        <v>0.8</v>
      </c>
      <c r="F383" s="76">
        <f>'Manufacturing Cost Calculations'!$D202*F$380^'Manufacturing Cost Calculations'!$E202</f>
        <v>1915.2356732657213</v>
      </c>
      <c r="G383" s="76">
        <f>'Manufacturing Cost Calculations'!$D202*G$380^'Manufacturing Cost Calculations'!$E202</f>
        <v>1915.2356732657213</v>
      </c>
      <c r="H383" s="76">
        <f>'Manufacturing Cost Calculations'!$D202*H$380^'Manufacturing Cost Calculations'!$E202</f>
        <v>3334.6189884126097</v>
      </c>
      <c r="I383" s="76">
        <f>'Manufacturing Cost Calculations'!$D202*I$380^'Manufacturing Cost Calculations'!$E202</f>
        <v>3334.6189884126097</v>
      </c>
      <c r="J383" s="76">
        <f>'Manufacturing Cost Calculations'!$D202*J$380^'Manufacturing Cost Calculations'!$E202</f>
        <v>3334.6189884126097</v>
      </c>
    </row>
    <row r="384" spans="1:10">
      <c r="A384" s="7" t="s">
        <v>250</v>
      </c>
      <c r="B384" s="7"/>
      <c r="C384" s="7"/>
      <c r="D384" s="76"/>
      <c r="E384" s="90"/>
      <c r="F384" s="71"/>
      <c r="G384" s="71"/>
      <c r="H384" s="71"/>
      <c r="I384" s="71"/>
      <c r="J384" s="71"/>
    </row>
    <row r="385" spans="1:10">
      <c r="A385" s="7" t="s">
        <v>136</v>
      </c>
      <c r="B385" s="7"/>
      <c r="C385" s="7"/>
      <c r="D385" s="76"/>
      <c r="E385" s="90"/>
      <c r="F385" s="91">
        <f>F380</f>
        <v>4.2666666666666657</v>
      </c>
      <c r="G385" s="91">
        <f>G380</f>
        <v>4.2666666666666657</v>
      </c>
      <c r="H385" s="91">
        <f>H380</f>
        <v>8.5333333333333314</v>
      </c>
      <c r="I385" s="91">
        <f>I380</f>
        <v>8.5333333333333314</v>
      </c>
      <c r="J385" s="91">
        <f>J380</f>
        <v>8.5333333333333314</v>
      </c>
    </row>
    <row r="386" spans="1:10">
      <c r="A386" s="7" t="s">
        <v>69</v>
      </c>
      <c r="B386" s="7"/>
      <c r="C386" s="7"/>
      <c r="D386" s="76">
        <f>'Cost Input'!I93</f>
        <v>21600</v>
      </c>
      <c r="E386" s="90">
        <f>'Cost Input'!J93</f>
        <v>0.5</v>
      </c>
      <c r="F386" s="76">
        <f>'Manufacturing Cost Calculations'!$D205*F$385^'Manufacturing Cost Calculations'!$E205</f>
        <v>44616.768148309435</v>
      </c>
      <c r="G386" s="76">
        <f>'Manufacturing Cost Calculations'!$D205*G$385^'Manufacturing Cost Calculations'!$E205</f>
        <v>44616.768148309435</v>
      </c>
      <c r="H386" s="76">
        <f>'Manufacturing Cost Calculations'!$D205*H$385^'Manufacturing Cost Calculations'!$E205</f>
        <v>63097.638624595129</v>
      </c>
      <c r="I386" s="76">
        <f>'Manufacturing Cost Calculations'!$D205*I$385^'Manufacturing Cost Calculations'!$E205</f>
        <v>63097.638624595129</v>
      </c>
      <c r="J386" s="76">
        <f>'Manufacturing Cost Calculations'!$D205*J$385^'Manufacturing Cost Calculations'!$E205</f>
        <v>63097.638624595129</v>
      </c>
    </row>
    <row r="387" spans="1:10">
      <c r="A387" s="7" t="s">
        <v>71</v>
      </c>
      <c r="B387" s="7"/>
      <c r="C387" s="7"/>
      <c r="D387" s="90">
        <f>'Cost Input'!I94</f>
        <v>3</v>
      </c>
      <c r="E387" s="90">
        <f>'Cost Input'!J94</f>
        <v>0.7</v>
      </c>
      <c r="F387" s="90">
        <f>'Manufacturing Cost Calculations'!$D206*F$385^'Manufacturing Cost Calculations'!$E206</f>
        <v>8.2829178714157283</v>
      </c>
      <c r="G387" s="90">
        <f>'Manufacturing Cost Calculations'!$D206*G$385^'Manufacturing Cost Calculations'!$E206</f>
        <v>8.2829178714157283</v>
      </c>
      <c r="H387" s="90">
        <f>'Manufacturing Cost Calculations'!$D206*H$385^'Manufacturing Cost Calculations'!$E206</f>
        <v>13.455639779758627</v>
      </c>
      <c r="I387" s="90">
        <f>'Manufacturing Cost Calculations'!$D206*I$385^'Manufacturing Cost Calculations'!$E206</f>
        <v>13.455639779758627</v>
      </c>
      <c r="J387" s="90">
        <f>'Manufacturing Cost Calculations'!$D206*J$385^'Manufacturing Cost Calculations'!$E206</f>
        <v>13.455639779758627</v>
      </c>
    </row>
    <row r="388" spans="1:10">
      <c r="A388" s="7" t="s">
        <v>72</v>
      </c>
      <c r="B388" s="7"/>
      <c r="C388" s="7"/>
      <c r="D388" s="76">
        <f>'Cost Input'!I95</f>
        <v>600</v>
      </c>
      <c r="E388" s="90">
        <f>'Cost Input'!J95</f>
        <v>0.6</v>
      </c>
      <c r="F388" s="76">
        <f>'Manufacturing Cost Calculations'!$D207*F$385^'Manufacturing Cost Calculations'!$E207</f>
        <v>1432.8623766209375</v>
      </c>
      <c r="G388" s="76">
        <f>'Manufacturing Cost Calculations'!$D207*G$385^'Manufacturing Cost Calculations'!$E207</f>
        <v>1432.8623766209375</v>
      </c>
      <c r="H388" s="76">
        <f>'Manufacturing Cost Calculations'!$D207*H$385^'Manufacturing Cost Calculations'!$E207</f>
        <v>2171.8132417738161</v>
      </c>
      <c r="I388" s="76">
        <f>'Manufacturing Cost Calculations'!$D207*I$385^'Manufacturing Cost Calculations'!$E207</f>
        <v>2171.8132417738161</v>
      </c>
      <c r="J388" s="76">
        <f>'Manufacturing Cost Calculations'!$D207*J$385^'Manufacturing Cost Calculations'!$E207</f>
        <v>2171.8132417738161</v>
      </c>
    </row>
    <row r="389" spans="1:10">
      <c r="A389" s="7" t="s">
        <v>143</v>
      </c>
      <c r="B389" s="7"/>
      <c r="C389" s="7"/>
      <c r="D389" s="76"/>
      <c r="E389" s="90"/>
      <c r="F389" s="71"/>
      <c r="G389" s="71"/>
      <c r="H389" s="71"/>
      <c r="I389" s="71"/>
      <c r="J389" s="71"/>
    </row>
    <row r="390" spans="1:10">
      <c r="A390" s="7" t="s">
        <v>136</v>
      </c>
      <c r="B390" s="7"/>
      <c r="C390" s="7"/>
      <c r="D390" s="76"/>
      <c r="E390" s="90"/>
      <c r="F390" s="91">
        <f>F385</f>
        <v>4.2666666666666657</v>
      </c>
      <c r="G390" s="91">
        <f>G385</f>
        <v>4.2666666666666657</v>
      </c>
      <c r="H390" s="91">
        <f>H385</f>
        <v>8.5333333333333314</v>
      </c>
      <c r="I390" s="91">
        <f>I385</f>
        <v>8.5333333333333314</v>
      </c>
      <c r="J390" s="91">
        <f>J385</f>
        <v>8.5333333333333314</v>
      </c>
    </row>
    <row r="391" spans="1:10">
      <c r="A391" s="7" t="s">
        <v>69</v>
      </c>
      <c r="B391" s="7"/>
      <c r="C391" s="7"/>
      <c r="D391" s="76">
        <f>'Cost Input'!I98</f>
        <v>36000</v>
      </c>
      <c r="E391" s="90">
        <f>'Cost Input'!J98</f>
        <v>0.5</v>
      </c>
      <c r="F391" s="76">
        <f>'Manufacturing Cost Calculations'!$D210*F$390^'Manufacturing Cost Calculations'!$E210</f>
        <v>74361.280247182396</v>
      </c>
      <c r="G391" s="76">
        <f>'Manufacturing Cost Calculations'!$D210*G$390^'Manufacturing Cost Calculations'!$E210</f>
        <v>74361.280247182396</v>
      </c>
      <c r="H391" s="76">
        <f>'Manufacturing Cost Calculations'!$D210*H$390^'Manufacturing Cost Calculations'!$E210</f>
        <v>105162.73104099189</v>
      </c>
      <c r="I391" s="76">
        <f>'Manufacturing Cost Calculations'!$D210*I$390^'Manufacturing Cost Calculations'!$E210</f>
        <v>105162.73104099189</v>
      </c>
      <c r="J391" s="76">
        <f>'Manufacturing Cost Calculations'!$D210*J$390^'Manufacturing Cost Calculations'!$E210</f>
        <v>105162.73104099189</v>
      </c>
    </row>
    <row r="392" spans="1:10">
      <c r="A392" s="7" t="s">
        <v>71</v>
      </c>
      <c r="B392" s="7"/>
      <c r="C392" s="7"/>
      <c r="D392" s="90">
        <f>'Cost Input'!I99</f>
        <v>5</v>
      </c>
      <c r="E392" s="90">
        <f>'Cost Input'!J99</f>
        <v>0.7</v>
      </c>
      <c r="F392" s="90">
        <f>'Manufacturing Cost Calculations'!$D211*F$390^'Manufacturing Cost Calculations'!$E211</f>
        <v>13.804863119026214</v>
      </c>
      <c r="G392" s="90">
        <f>'Manufacturing Cost Calculations'!$D211*G$390^'Manufacturing Cost Calculations'!$E211</f>
        <v>13.804863119026214</v>
      </c>
      <c r="H392" s="90">
        <f>'Manufacturing Cost Calculations'!$D211*H$390^'Manufacturing Cost Calculations'!$E211</f>
        <v>22.426066299597714</v>
      </c>
      <c r="I392" s="90">
        <f>'Manufacturing Cost Calculations'!$D211*I$390^'Manufacturing Cost Calculations'!$E211</f>
        <v>22.426066299597714</v>
      </c>
      <c r="J392" s="90">
        <f>'Manufacturing Cost Calculations'!$D211*J$390^'Manufacturing Cost Calculations'!$E211</f>
        <v>22.426066299597714</v>
      </c>
    </row>
    <row r="393" spans="1:10">
      <c r="A393" s="7" t="s">
        <v>72</v>
      </c>
      <c r="B393" s="7"/>
      <c r="C393" s="7"/>
      <c r="D393" s="76">
        <f>'Cost Input'!I100</f>
        <v>900</v>
      </c>
      <c r="E393" s="90">
        <f>'Cost Input'!J100</f>
        <v>0.6</v>
      </c>
      <c r="F393" s="76">
        <f>'Manufacturing Cost Calculations'!$D212*F$390^'Manufacturing Cost Calculations'!$E212</f>
        <v>2149.2935649314063</v>
      </c>
      <c r="G393" s="76">
        <f>'Manufacturing Cost Calculations'!$D212*G$390^'Manufacturing Cost Calculations'!$E212</f>
        <v>2149.2935649314063</v>
      </c>
      <c r="H393" s="76">
        <f>'Manufacturing Cost Calculations'!$D212*H$390^'Manufacturing Cost Calculations'!$E212</f>
        <v>3257.7198626607237</v>
      </c>
      <c r="I393" s="76">
        <f>'Manufacturing Cost Calculations'!$D212*I$390^'Manufacturing Cost Calculations'!$E212</f>
        <v>3257.7198626607237</v>
      </c>
      <c r="J393" s="76">
        <f>'Manufacturing Cost Calculations'!$D212*J$390^'Manufacturing Cost Calculations'!$E212</f>
        <v>3257.7198626607237</v>
      </c>
    </row>
    <row r="394" spans="1:10">
      <c r="A394" s="7" t="s">
        <v>339</v>
      </c>
      <c r="B394" s="7"/>
      <c r="C394" s="7"/>
      <c r="D394" s="76"/>
      <c r="E394" s="90"/>
      <c r="F394" s="76"/>
      <c r="G394" s="76"/>
      <c r="H394" s="76"/>
      <c r="I394" s="76"/>
      <c r="J394" s="76"/>
    </row>
    <row r="395" spans="1:10">
      <c r="A395" s="7" t="s">
        <v>136</v>
      </c>
      <c r="B395" s="7"/>
      <c r="C395" s="7"/>
      <c r="D395" s="76"/>
      <c r="E395" s="90"/>
      <c r="F395" s="91">
        <f ca="1">'Manufacturing Cost Calculations'!F14/'Cost Input'!$E16</f>
        <v>1.7329456203647915</v>
      </c>
      <c r="G395" s="91">
        <f ca="1">'Manufacturing Cost Calculations'!G14/'Cost Input'!$E16</f>
        <v>2.6853208215059028</v>
      </c>
      <c r="H395" s="91">
        <f ca="1">'Manufacturing Cost Calculations'!H14/'Cost Input'!$E16</f>
        <v>2.6851794878197266</v>
      </c>
      <c r="I395" s="91">
        <f ca="1">'Manufacturing Cost Calculations'!I14/'Cost Input'!$E16</f>
        <v>2.6826167520289474</v>
      </c>
      <c r="J395" s="91">
        <f ca="1">'Manufacturing Cost Calculations'!J14/'Cost Input'!$E16</f>
        <v>2.6826167520289474</v>
      </c>
    </row>
    <row r="396" spans="1:10">
      <c r="A396" s="7" t="s">
        <v>69</v>
      </c>
      <c r="B396" s="7"/>
      <c r="C396" s="7"/>
      <c r="D396" s="76">
        <f>'Cost Input'!I103</f>
        <v>14400</v>
      </c>
      <c r="E396" s="90">
        <f>'Cost Input'!J103</f>
        <v>0.4</v>
      </c>
      <c r="F396" s="76">
        <f ca="1">'Manufacturing Cost Calculations'!$D215*F$395^'Manufacturing Cost Calculations'!$E215</f>
        <v>17942.231919449478</v>
      </c>
      <c r="G396" s="76">
        <f ca="1">'Manufacturing Cost Calculations'!$D215*G$395^'Manufacturing Cost Calculations'!$E215</f>
        <v>21377.699292691555</v>
      </c>
      <c r="H396" s="76">
        <f ca="1">'Manufacturing Cost Calculations'!$D215*H$395^'Manufacturing Cost Calculations'!$E215</f>
        <v>21377.249225537325</v>
      </c>
      <c r="I396" s="76">
        <f ca="1">'Manufacturing Cost Calculations'!$D215*I$395^'Manufacturing Cost Calculations'!$E215</f>
        <v>21369.085907477795</v>
      </c>
      <c r="J396" s="76">
        <f ca="1">'Manufacturing Cost Calculations'!$D215*J$395^'Manufacturing Cost Calculations'!$E215</f>
        <v>21369.085907477795</v>
      </c>
    </row>
    <row r="397" spans="1:10">
      <c r="A397" s="7" t="s">
        <v>71</v>
      </c>
      <c r="B397" s="7"/>
      <c r="C397" s="7"/>
      <c r="D397" s="76">
        <f>'Cost Input'!I104</f>
        <v>20</v>
      </c>
      <c r="E397" s="90">
        <f>'Cost Input'!J104</f>
        <v>0.6</v>
      </c>
      <c r="F397" s="90">
        <f ca="1">'Manufacturing Cost Calculations'!$D216*F$395^'Manufacturing Cost Calculations'!$E216</f>
        <v>27.816402156971645</v>
      </c>
      <c r="G397" s="90">
        <f ca="1">'Manufacturing Cost Calculations'!$D216*G$395^'Manufacturing Cost Calculations'!$E216</f>
        <v>36.17659627470271</v>
      </c>
      <c r="H397" s="90">
        <f ca="1">'Manufacturing Cost Calculations'!$D216*H$395^'Manufacturing Cost Calculations'!$E216</f>
        <v>36.175453835672037</v>
      </c>
      <c r="I397" s="90">
        <f ca="1">'Manufacturing Cost Calculations'!$D216*I$395^'Manufacturing Cost Calculations'!$E216</f>
        <v>36.154734363905533</v>
      </c>
      <c r="J397" s="90">
        <f ca="1">'Manufacturing Cost Calculations'!$D216*J$395^'Manufacturing Cost Calculations'!$E216</f>
        <v>36.154734363905533</v>
      </c>
    </row>
    <row r="398" spans="1:10">
      <c r="A398" s="7" t="s">
        <v>72</v>
      </c>
      <c r="B398" s="7"/>
      <c r="C398" s="7"/>
      <c r="D398" s="76">
        <f>'Cost Input'!I105</f>
        <v>100</v>
      </c>
      <c r="E398" s="90">
        <f>'Cost Input'!J105</f>
        <v>0.4</v>
      </c>
      <c r="F398" s="76">
        <f ca="1">'Manufacturing Cost Calculations'!$D217*F$395^'Manufacturing Cost Calculations'!$E217</f>
        <v>124.59883277395471</v>
      </c>
      <c r="G398" s="76">
        <f ca="1">'Manufacturing Cost Calculations'!$D217*G$395^'Manufacturing Cost Calculations'!$E217</f>
        <v>148.4562450881358</v>
      </c>
      <c r="H398" s="76">
        <f ca="1">'Manufacturing Cost Calculations'!$D217*H$395^'Manufacturing Cost Calculations'!$E217</f>
        <v>148.45311962178698</v>
      </c>
      <c r="I398" s="76">
        <f ca="1">'Manufacturing Cost Calculations'!$D217*I$395^'Manufacturing Cost Calculations'!$E217</f>
        <v>148.39642991304024</v>
      </c>
      <c r="J398" s="76">
        <f ca="1">'Manufacturing Cost Calculations'!$D217*J$395^'Manufacturing Cost Calculations'!$E217</f>
        <v>148.39642991304024</v>
      </c>
    </row>
    <row r="399" spans="1:10">
      <c r="A399" s="5" t="s">
        <v>144</v>
      </c>
      <c r="B399" s="5"/>
      <c r="C399" s="5"/>
      <c r="D399" s="76"/>
      <c r="E399" s="90"/>
      <c r="F399" s="71"/>
      <c r="G399" s="71"/>
      <c r="H399" s="71"/>
      <c r="I399" s="71"/>
      <c r="J399" s="71"/>
    </row>
    <row r="400" spans="1:10">
      <c r="A400" s="7" t="s">
        <v>136</v>
      </c>
      <c r="B400" s="7"/>
      <c r="C400" s="7"/>
      <c r="D400" s="76"/>
      <c r="E400" s="90"/>
      <c r="F400" s="91">
        <f>F390</f>
        <v>4.2666666666666657</v>
      </c>
      <c r="G400" s="91">
        <f>G390</f>
        <v>4.2666666666666657</v>
      </c>
      <c r="H400" s="91">
        <f>H390</f>
        <v>8.5333333333333314</v>
      </c>
      <c r="I400" s="91">
        <f>I390</f>
        <v>8.5333333333333314</v>
      </c>
      <c r="J400" s="91">
        <f>J390</f>
        <v>8.5333333333333314</v>
      </c>
    </row>
    <row r="401" spans="1:10">
      <c r="A401" s="7" t="s">
        <v>251</v>
      </c>
      <c r="B401" s="7"/>
      <c r="C401" s="7"/>
      <c r="D401" s="76">
        <f>'Cost Input'!I108</f>
        <v>40</v>
      </c>
      <c r="E401" s="90">
        <f>'Cost Input'!J108</f>
        <v>0.3</v>
      </c>
      <c r="F401" s="90">
        <f ca="1">'Battery Design'!F78/IF(F6=1,2,1)</f>
        <v>37.518139814846087</v>
      </c>
      <c r="G401" s="90">
        <f ca="1">'Battery Design'!G78/IF(G6=1,2,1)</f>
        <v>38.295538549956383</v>
      </c>
      <c r="H401" s="90">
        <f ca="1">'Battery Design'!H78/IF(H6=1,2,1)</f>
        <v>19.12674112090458</v>
      </c>
      <c r="I401" s="90">
        <f ca="1">'Battery Design'!I78/IF(I6=1,2,1)</f>
        <v>18.747053091340781</v>
      </c>
      <c r="J401" s="90">
        <f ca="1">'Battery Design'!J78/IF(J6=1,2,1)</f>
        <v>18.747053091340781</v>
      </c>
    </row>
    <row r="402" spans="1:10">
      <c r="A402" s="7" t="s">
        <v>69</v>
      </c>
      <c r="B402" s="7"/>
      <c r="C402" s="7"/>
      <c r="D402" s="76">
        <f>'Cost Input'!I109</f>
        <v>57600</v>
      </c>
      <c r="E402" s="90">
        <f>'Cost Input'!J109</f>
        <v>0.7</v>
      </c>
      <c r="F402" s="76">
        <f>'Manufacturing Cost Calculations'!$D221*F$400^'Manufacturing Cost Calculations'!$E221</f>
        <v>159032.02313118198</v>
      </c>
      <c r="G402" s="76">
        <f>'Manufacturing Cost Calculations'!$D221*G$400^'Manufacturing Cost Calculations'!$E221</f>
        <v>159032.02313118198</v>
      </c>
      <c r="H402" s="76">
        <f>'Manufacturing Cost Calculations'!$D221*H$400^'Manufacturing Cost Calculations'!$E221</f>
        <v>258348.28377136565</v>
      </c>
      <c r="I402" s="76">
        <f>'Manufacturing Cost Calculations'!$D221*I$400^'Manufacturing Cost Calculations'!$E221</f>
        <v>258348.28377136565</v>
      </c>
      <c r="J402" s="76">
        <f>'Manufacturing Cost Calculations'!$D221*J$400^'Manufacturing Cost Calculations'!$E221</f>
        <v>258348.28377136565</v>
      </c>
    </row>
    <row r="403" spans="1:10">
      <c r="A403" s="7" t="s">
        <v>71</v>
      </c>
      <c r="B403" s="7"/>
      <c r="C403" s="7"/>
      <c r="D403" s="76">
        <f>'Cost Input'!I110</f>
        <v>30</v>
      </c>
      <c r="E403" s="90">
        <f>'Cost Input'!J110</f>
        <v>0.8</v>
      </c>
      <c r="F403" s="90">
        <f ca="1">'Manufacturing Cost Calculations'!$D222*F$400^'Manufacturing Cost Calculations'!$E222*(F401/'Manufacturing Cost Calculations'!$D220)^'Manufacturing Cost Calculations'!$E220</f>
        <v>93.939148339979738</v>
      </c>
      <c r="G403" s="90">
        <f ca="1">'Manufacturing Cost Calculations'!$D222*G$400^'Manufacturing Cost Calculations'!$E222*(G401/'Manufacturing Cost Calculations'!$D220)^'Manufacturing Cost Calculations'!$E220</f>
        <v>94.518905431824479</v>
      </c>
      <c r="H403" s="90">
        <f ca="1">'Manufacturing Cost Calculations'!$D222*H$400^'Manufacturing Cost Calculations'!$E222*(H401/'Manufacturing Cost Calculations'!$D220)^'Manufacturing Cost Calculations'!$E220</f>
        <v>133.62586197860932</v>
      </c>
      <c r="I403" s="90">
        <f ca="1">'Manufacturing Cost Calculations'!$D222*I$400^'Manufacturing Cost Calculations'!$E222*(I401/'Manufacturing Cost Calculations'!$D220)^'Manufacturing Cost Calculations'!$E220</f>
        <v>132.82448129622242</v>
      </c>
      <c r="J403" s="90">
        <f ca="1">'Manufacturing Cost Calculations'!$D222*J$400^'Manufacturing Cost Calculations'!$E222*(J401/'Manufacturing Cost Calculations'!$D220)^'Manufacturing Cost Calculations'!$E220</f>
        <v>132.82448129622242</v>
      </c>
    </row>
    <row r="404" spans="1:10">
      <c r="A404" s="7" t="s">
        <v>72</v>
      </c>
      <c r="B404" s="7"/>
      <c r="C404" s="7"/>
      <c r="D404" s="76">
        <f>'Cost Input'!I111</f>
        <v>2200</v>
      </c>
      <c r="E404" s="90">
        <f>'Cost Input'!J111</f>
        <v>0.8</v>
      </c>
      <c r="F404" s="90">
        <f ca="1">'Manufacturing Cost Calculations'!$D223*F$400^'Manufacturing Cost Calculations'!$E223*(F401/'Manufacturing Cost Calculations'!$D220)^'Manufacturing Cost Calculations'!$E220</f>
        <v>6888.8708782651811</v>
      </c>
      <c r="G404" s="90">
        <f ca="1">'Manufacturing Cost Calculations'!$D223*G$400^'Manufacturing Cost Calculations'!$E223*(G401/'Manufacturing Cost Calculations'!$D220)^'Manufacturing Cost Calculations'!$E220</f>
        <v>6931.3863983337951</v>
      </c>
      <c r="H404" s="90">
        <f ca="1">'Manufacturing Cost Calculations'!$D223*H$400^'Manufacturing Cost Calculations'!$E223*(H401/'Manufacturing Cost Calculations'!$D220)^'Manufacturing Cost Calculations'!$E220</f>
        <v>9799.2298784313498</v>
      </c>
      <c r="I404" s="90">
        <f ca="1">'Manufacturing Cost Calculations'!$D223*I$400^'Manufacturing Cost Calculations'!$E223*(I401/'Manufacturing Cost Calculations'!$D220)^'Manufacturing Cost Calculations'!$E220</f>
        <v>9740.4619617229764</v>
      </c>
      <c r="J404" s="90">
        <f ca="1">'Manufacturing Cost Calculations'!$D223*J$400^'Manufacturing Cost Calculations'!$E223*(J401/'Manufacturing Cost Calculations'!$D220)^'Manufacturing Cost Calculations'!$E220</f>
        <v>9740.4619617229764</v>
      </c>
    </row>
    <row r="405" spans="1:10">
      <c r="A405" s="5" t="s">
        <v>705</v>
      </c>
      <c r="B405" s="7"/>
      <c r="C405" s="7"/>
      <c r="D405" s="76"/>
      <c r="E405" s="90"/>
      <c r="F405" s="90"/>
      <c r="G405" s="90"/>
      <c r="H405" s="90"/>
      <c r="I405" s="90"/>
      <c r="J405" s="90"/>
    </row>
    <row r="406" spans="1:10">
      <c r="A406" s="7" t="s">
        <v>136</v>
      </c>
      <c r="B406" s="7"/>
      <c r="C406" s="7"/>
      <c r="D406" s="76"/>
      <c r="E406" s="90"/>
      <c r="F406" s="91">
        <f>F400</f>
        <v>4.2666666666666657</v>
      </c>
      <c r="G406" s="91">
        <f>G400</f>
        <v>4.2666666666666657</v>
      </c>
      <c r="H406" s="91">
        <f>H400</f>
        <v>8.5333333333333314</v>
      </c>
      <c r="I406" s="91">
        <f>I400</f>
        <v>8.5333333333333314</v>
      </c>
      <c r="J406" s="91">
        <f>J400</f>
        <v>8.5333333333333314</v>
      </c>
    </row>
    <row r="407" spans="1:10">
      <c r="A407" s="7" t="s">
        <v>69</v>
      </c>
      <c r="B407" s="7"/>
      <c r="C407" s="7"/>
      <c r="D407" s="76">
        <f>'Cost Input'!I114</f>
        <v>14400</v>
      </c>
      <c r="E407" s="90">
        <f>'Cost Input'!J114</f>
        <v>0.5</v>
      </c>
      <c r="F407" s="76">
        <f>'Manufacturing Cost Calculations'!$D226*F$406^'Manufacturing Cost Calculations'!$E226</f>
        <v>29744.512098872958</v>
      </c>
      <c r="G407" s="76">
        <f>'Manufacturing Cost Calculations'!$D226*G$406^'Manufacturing Cost Calculations'!$E226</f>
        <v>29744.512098872958</v>
      </c>
      <c r="H407" s="76">
        <f>'Manufacturing Cost Calculations'!$D226*H$406^'Manufacturing Cost Calculations'!$E226</f>
        <v>42065.092416396757</v>
      </c>
      <c r="I407" s="76">
        <f>'Manufacturing Cost Calculations'!$D226*I$406^'Manufacturing Cost Calculations'!$E226</f>
        <v>42065.092416396757</v>
      </c>
      <c r="J407" s="76">
        <f>'Manufacturing Cost Calculations'!$D226*J$406^'Manufacturing Cost Calculations'!$E226</f>
        <v>42065.092416396757</v>
      </c>
    </row>
    <row r="408" spans="1:10">
      <c r="A408" s="7" t="s">
        <v>71</v>
      </c>
      <c r="B408" s="7"/>
      <c r="C408" s="7"/>
      <c r="D408" s="90">
        <f>'Cost Input'!I115</f>
        <v>2</v>
      </c>
      <c r="E408" s="90">
        <f>'Cost Input'!J115</f>
        <v>0.7</v>
      </c>
      <c r="F408" s="90">
        <f>'Manufacturing Cost Calculations'!$D227*F$406^'Manufacturing Cost Calculations'!$E227</f>
        <v>5.5219452476104856</v>
      </c>
      <c r="G408" s="90">
        <f>'Manufacturing Cost Calculations'!$D227*G$406^'Manufacturing Cost Calculations'!$E227</f>
        <v>5.5219452476104856</v>
      </c>
      <c r="H408" s="90">
        <f>'Manufacturing Cost Calculations'!$D227*H$406^'Manufacturing Cost Calculations'!$E227</f>
        <v>8.9704265198390853</v>
      </c>
      <c r="I408" s="90">
        <f>'Manufacturing Cost Calculations'!$D227*I$406^'Manufacturing Cost Calculations'!$E227</f>
        <v>8.9704265198390853</v>
      </c>
      <c r="J408" s="90">
        <f>'Manufacturing Cost Calculations'!$D227*J$406^'Manufacturing Cost Calculations'!$E227</f>
        <v>8.9704265198390853</v>
      </c>
    </row>
    <row r="409" spans="1:10">
      <c r="A409" s="7" t="s">
        <v>72</v>
      </c>
      <c r="B409" s="7"/>
      <c r="C409" s="7"/>
      <c r="D409" s="76">
        <f>'Cost Input'!I116</f>
        <v>450</v>
      </c>
      <c r="E409" s="90">
        <f>'Cost Input'!J116</f>
        <v>0.6</v>
      </c>
      <c r="F409" s="76">
        <f>'Manufacturing Cost Calculations'!$D228*F$406^'Manufacturing Cost Calculations'!$E228</f>
        <v>1074.6467824657032</v>
      </c>
      <c r="G409" s="76">
        <f>'Manufacturing Cost Calculations'!$D228*G$406^'Manufacturing Cost Calculations'!$E228</f>
        <v>1074.6467824657032</v>
      </c>
      <c r="H409" s="76">
        <f>'Manufacturing Cost Calculations'!$D228*H$406^'Manufacturing Cost Calculations'!$E228</f>
        <v>1628.8599313303619</v>
      </c>
      <c r="I409" s="76">
        <f>'Manufacturing Cost Calculations'!$D228*I$406^'Manufacturing Cost Calculations'!$E228</f>
        <v>1628.8599313303619</v>
      </c>
      <c r="J409" s="76">
        <f>'Manufacturing Cost Calculations'!$D228*J$406^'Manufacturing Cost Calculations'!$E228</f>
        <v>1628.8599313303619</v>
      </c>
    </row>
    <row r="410" spans="1:10">
      <c r="A410" s="5" t="s">
        <v>706</v>
      </c>
      <c r="B410" s="7"/>
      <c r="C410" s="7"/>
      <c r="D410" s="76"/>
      <c r="E410" s="90"/>
      <c r="F410" s="90"/>
      <c r="G410" s="90"/>
      <c r="H410" s="90"/>
      <c r="I410" s="90"/>
      <c r="J410" s="90"/>
    </row>
    <row r="411" spans="1:10">
      <c r="A411" s="7" t="s">
        <v>136</v>
      </c>
      <c r="B411" s="7"/>
      <c r="C411" s="7"/>
      <c r="D411" s="76"/>
      <c r="E411" s="90"/>
      <c r="F411" s="91">
        <f>F406</f>
        <v>4.2666666666666657</v>
      </c>
      <c r="G411" s="91">
        <f>G406</f>
        <v>4.2666666666666657</v>
      </c>
      <c r="H411" s="91">
        <f>H406</f>
        <v>8.5333333333333314</v>
      </c>
      <c r="I411" s="91">
        <f>I406</f>
        <v>8.5333333333333314</v>
      </c>
      <c r="J411" s="91">
        <f>J406</f>
        <v>8.5333333333333314</v>
      </c>
    </row>
    <row r="412" spans="1:10">
      <c r="A412" s="7" t="s">
        <v>69</v>
      </c>
      <c r="B412" s="7"/>
      <c r="C412" s="7"/>
      <c r="D412" s="76">
        <f>'Cost Input'!I119</f>
        <v>21600</v>
      </c>
      <c r="E412" s="90">
        <f>'Cost Input'!J119</f>
        <v>0.4</v>
      </c>
      <c r="F412" s="76">
        <f>'Manufacturing Cost Calculations'!$D231*F$411^'Manufacturing Cost Calculations'!$E231</f>
        <v>38591.28476134767</v>
      </c>
      <c r="G412" s="76">
        <f>'Manufacturing Cost Calculations'!$D231*G$411^'Manufacturing Cost Calculations'!$E231</f>
        <v>38591.28476134767</v>
      </c>
      <c r="H412" s="76">
        <f>'Manufacturing Cost Calculations'!$D231*H$411^'Manufacturing Cost Calculations'!$E231</f>
        <v>50921.505529487687</v>
      </c>
      <c r="I412" s="76">
        <f>'Manufacturing Cost Calculations'!$D231*I$411^'Manufacturing Cost Calculations'!$E231</f>
        <v>50921.505529487687</v>
      </c>
      <c r="J412" s="76">
        <f>'Manufacturing Cost Calculations'!$D231*J$411^'Manufacturing Cost Calculations'!$E231</f>
        <v>50921.505529487687</v>
      </c>
    </row>
    <row r="413" spans="1:10">
      <c r="A413" s="7" t="s">
        <v>71</v>
      </c>
      <c r="B413" s="7"/>
      <c r="C413" s="7"/>
      <c r="D413" s="199">
        <f>'Cost Input'!I120</f>
        <v>4.75</v>
      </c>
      <c r="E413" s="90">
        <f>'Cost Input'!J120</f>
        <v>0.7</v>
      </c>
      <c r="F413" s="199">
        <f>'Manufacturing Cost Calculations'!$D232*F$411^'Manufacturing Cost Calculations'!$E232</f>
        <v>13.114619963074903</v>
      </c>
      <c r="G413" s="199">
        <f>'Manufacturing Cost Calculations'!$D232*G$411^'Manufacturing Cost Calculations'!$E232</f>
        <v>13.114619963074903</v>
      </c>
      <c r="H413" s="199">
        <f>'Manufacturing Cost Calculations'!$D232*H$411^'Manufacturing Cost Calculations'!$E232</f>
        <v>21.304762984617827</v>
      </c>
      <c r="I413" s="199">
        <f>'Manufacturing Cost Calculations'!$D232*I$411^'Manufacturing Cost Calculations'!$E232</f>
        <v>21.304762984617827</v>
      </c>
      <c r="J413" s="199">
        <f>'Manufacturing Cost Calculations'!$D232*J$411^'Manufacturing Cost Calculations'!$E232</f>
        <v>21.304762984617827</v>
      </c>
    </row>
    <row r="414" spans="1:10">
      <c r="A414" s="7" t="s">
        <v>72</v>
      </c>
      <c r="B414" s="7"/>
      <c r="C414" s="7"/>
      <c r="D414" s="76">
        <f>'Cost Input'!I121</f>
        <v>900</v>
      </c>
      <c r="E414" s="90">
        <f>'Cost Input'!J121</f>
        <v>0.6</v>
      </c>
      <c r="F414" s="76">
        <f>'Manufacturing Cost Calculations'!$D233*F$411^'Manufacturing Cost Calculations'!$E233</f>
        <v>2149.2935649314063</v>
      </c>
      <c r="G414" s="76">
        <f>'Manufacturing Cost Calculations'!$D233*G$411^'Manufacturing Cost Calculations'!$E233</f>
        <v>2149.2935649314063</v>
      </c>
      <c r="H414" s="76">
        <f>'Manufacturing Cost Calculations'!$D233*H$411^'Manufacturing Cost Calculations'!$E233</f>
        <v>3257.7198626607237</v>
      </c>
      <c r="I414" s="76">
        <f>'Manufacturing Cost Calculations'!$D233*I$411^'Manufacturing Cost Calculations'!$E233</f>
        <v>3257.7198626607237</v>
      </c>
      <c r="J414" s="76">
        <f>'Manufacturing Cost Calculations'!$D233*J$411^'Manufacturing Cost Calculations'!$E233</f>
        <v>3257.7198626607237</v>
      </c>
    </row>
    <row r="415" spans="1:10">
      <c r="A415" s="5" t="s">
        <v>145</v>
      </c>
      <c r="B415" s="5"/>
      <c r="C415" s="5"/>
      <c r="D415" s="76"/>
      <c r="E415" s="90"/>
      <c r="F415" s="71"/>
      <c r="G415" s="71"/>
      <c r="H415" s="71"/>
      <c r="I415" s="71"/>
      <c r="J415" s="71"/>
    </row>
    <row r="416" spans="1:10">
      <c r="A416" s="7" t="s">
        <v>136</v>
      </c>
      <c r="B416" s="7"/>
      <c r="C416" s="7"/>
      <c r="D416" s="76"/>
      <c r="E416" s="90"/>
      <c r="F416" s="93">
        <f>F400</f>
        <v>4.2666666666666657</v>
      </c>
      <c r="G416" s="93">
        <f>G400</f>
        <v>4.2666666666666657</v>
      </c>
      <c r="H416" s="93">
        <f>H400</f>
        <v>8.5333333333333314</v>
      </c>
      <c r="I416" s="93">
        <f>I400</f>
        <v>8.5333333333333314</v>
      </c>
      <c r="J416" s="93">
        <f>J400</f>
        <v>8.5333333333333314</v>
      </c>
    </row>
    <row r="417" spans="1:10">
      <c r="A417" s="7" t="s">
        <v>69</v>
      </c>
      <c r="B417" s="7"/>
      <c r="C417" s="7"/>
      <c r="D417" s="76">
        <f>'Cost Input'!I124</f>
        <v>43200</v>
      </c>
      <c r="E417" s="90">
        <f>'Cost Input'!J124</f>
        <v>0.5</v>
      </c>
      <c r="F417" s="76">
        <f>'Manufacturing Cost Calculations'!$D236*F$416^'Manufacturing Cost Calculations'!$E236</f>
        <v>89233.53629661887</v>
      </c>
      <c r="G417" s="76">
        <f>'Manufacturing Cost Calculations'!$D236*G$416^'Manufacturing Cost Calculations'!$E236</f>
        <v>89233.53629661887</v>
      </c>
      <c r="H417" s="76">
        <f>'Manufacturing Cost Calculations'!$D236*H$416^'Manufacturing Cost Calculations'!$E236</f>
        <v>126195.27724919026</v>
      </c>
      <c r="I417" s="76">
        <f>'Manufacturing Cost Calculations'!$D236*I$416^'Manufacturing Cost Calculations'!$E236</f>
        <v>126195.27724919026</v>
      </c>
      <c r="J417" s="76">
        <f>'Manufacturing Cost Calculations'!$D236*J$416^'Manufacturing Cost Calculations'!$E236</f>
        <v>126195.27724919026</v>
      </c>
    </row>
    <row r="418" spans="1:10">
      <c r="A418" s="7" t="s">
        <v>71</v>
      </c>
      <c r="B418" s="7"/>
      <c r="C418" s="7"/>
      <c r="D418" s="90">
        <f>'Cost Input'!I125</f>
        <v>6</v>
      </c>
      <c r="E418" s="90">
        <f>'Cost Input'!J125</f>
        <v>0.7</v>
      </c>
      <c r="F418" s="90">
        <f>'Manufacturing Cost Calculations'!$D237*F$416^'Manufacturing Cost Calculations'!$E237</f>
        <v>16.565835742831457</v>
      </c>
      <c r="G418" s="90">
        <f>'Manufacturing Cost Calculations'!$D237*G$416^'Manufacturing Cost Calculations'!$E237</f>
        <v>16.565835742831457</v>
      </c>
      <c r="H418" s="90">
        <f>'Manufacturing Cost Calculations'!$D237*H$416^'Manufacturing Cost Calculations'!$E237</f>
        <v>26.911279559517254</v>
      </c>
      <c r="I418" s="90">
        <f>'Manufacturing Cost Calculations'!$D237*I$416^'Manufacturing Cost Calculations'!$E237</f>
        <v>26.911279559517254</v>
      </c>
      <c r="J418" s="90">
        <f>'Manufacturing Cost Calculations'!$D237*J$416^'Manufacturing Cost Calculations'!$E237</f>
        <v>26.911279559517254</v>
      </c>
    </row>
    <row r="419" spans="1:10">
      <c r="A419" s="7" t="s">
        <v>72</v>
      </c>
      <c r="B419" s="7"/>
      <c r="C419" s="7"/>
      <c r="D419" s="76">
        <f>'Cost Input'!I126</f>
        <v>600</v>
      </c>
      <c r="E419" s="90">
        <f>'Cost Input'!J126</f>
        <v>0.6</v>
      </c>
      <c r="F419" s="76">
        <f>'Manufacturing Cost Calculations'!$D238*F$416^'Manufacturing Cost Calculations'!$E238</f>
        <v>1432.8623766209375</v>
      </c>
      <c r="G419" s="76">
        <f>'Manufacturing Cost Calculations'!$D238*G$416^'Manufacturing Cost Calculations'!$E238</f>
        <v>1432.8623766209375</v>
      </c>
      <c r="H419" s="76">
        <f>'Manufacturing Cost Calculations'!$D238*H$416^'Manufacturing Cost Calculations'!$E238</f>
        <v>2171.8132417738161</v>
      </c>
      <c r="I419" s="76">
        <f>'Manufacturing Cost Calculations'!$D238*I$416^'Manufacturing Cost Calculations'!$E238</f>
        <v>2171.8132417738161</v>
      </c>
      <c r="J419" s="76">
        <f>'Manufacturing Cost Calculations'!$D238*J$416^'Manufacturing Cost Calculations'!$E238</f>
        <v>2171.8132417738161</v>
      </c>
    </row>
    <row r="420" spans="1:10">
      <c r="A420" s="344" t="s">
        <v>398</v>
      </c>
      <c r="B420" s="5"/>
      <c r="C420" s="5"/>
      <c r="D420" s="76"/>
      <c r="E420" s="90"/>
      <c r="F420" s="71"/>
      <c r="G420" s="71"/>
      <c r="H420" s="71"/>
      <c r="I420" s="71"/>
      <c r="J420" s="71"/>
    </row>
    <row r="421" spans="1:10">
      <c r="A421" s="7" t="s">
        <v>136</v>
      </c>
      <c r="B421" s="7"/>
      <c r="C421" s="7"/>
      <c r="D421" s="76"/>
      <c r="E421" s="90"/>
      <c r="F421" s="93">
        <f>F416</f>
        <v>4.2666666666666657</v>
      </c>
      <c r="G421" s="93">
        <f>G416</f>
        <v>4.2666666666666657</v>
      </c>
      <c r="H421" s="93">
        <f>H416</f>
        <v>8.5333333333333314</v>
      </c>
      <c r="I421" s="93">
        <f>I416</f>
        <v>8.5333333333333314</v>
      </c>
      <c r="J421" s="93">
        <f>J416</f>
        <v>8.5333333333333314</v>
      </c>
    </row>
    <row r="422" spans="1:10">
      <c r="A422" s="7" t="s">
        <v>389</v>
      </c>
      <c r="B422" s="7"/>
      <c r="C422" s="7"/>
      <c r="D422" s="76">
        <f>'Cost Input'!I129</f>
        <v>4</v>
      </c>
      <c r="E422" s="90">
        <f>'Cost Input'!J129</f>
        <v>0.3</v>
      </c>
      <c r="F422" s="77">
        <f>'Battery Design'!F60</f>
        <v>8</v>
      </c>
      <c r="G422" s="77">
        <f>'Battery Design'!G60</f>
        <v>8</v>
      </c>
      <c r="H422" s="77">
        <f>'Battery Design'!H60</f>
        <v>16</v>
      </c>
      <c r="I422" s="77">
        <f>'Battery Design'!I60</f>
        <v>8</v>
      </c>
      <c r="J422" s="77">
        <f>'Battery Design'!J60</f>
        <v>8</v>
      </c>
    </row>
    <row r="423" spans="1:10">
      <c r="A423" s="7" t="s">
        <v>69</v>
      </c>
      <c r="B423" s="7"/>
      <c r="C423" s="7"/>
      <c r="D423" s="76">
        <f>'Cost Input'!I130</f>
        <v>43200</v>
      </c>
      <c r="E423" s="90">
        <f>'Cost Input'!J130</f>
        <v>0.5</v>
      </c>
      <c r="F423" s="76">
        <f>'Manufacturing Cost Calculations'!$D242*F$421^'Manufacturing Cost Calculations'!$E242</f>
        <v>89233.53629661887</v>
      </c>
      <c r="G423" s="76">
        <f>'Manufacturing Cost Calculations'!$D242*G$421^'Manufacturing Cost Calculations'!$E242</f>
        <v>89233.53629661887</v>
      </c>
      <c r="H423" s="76">
        <f>'Manufacturing Cost Calculations'!$D242*H$421^'Manufacturing Cost Calculations'!$E242</f>
        <v>126195.27724919026</v>
      </c>
      <c r="I423" s="76">
        <f>'Manufacturing Cost Calculations'!$D242*I$421^'Manufacturing Cost Calculations'!$E242</f>
        <v>126195.27724919026</v>
      </c>
      <c r="J423" s="76">
        <f>'Manufacturing Cost Calculations'!$D242*J$421^'Manufacturing Cost Calculations'!$E242</f>
        <v>126195.27724919026</v>
      </c>
    </row>
    <row r="424" spans="1:10">
      <c r="A424" s="7" t="s">
        <v>71</v>
      </c>
      <c r="B424" s="7"/>
      <c r="C424" s="7"/>
      <c r="D424" s="90">
        <f>'Cost Input'!I131</f>
        <v>6</v>
      </c>
      <c r="E424" s="90">
        <f>'Cost Input'!J131</f>
        <v>0.7</v>
      </c>
      <c r="F424" s="90">
        <f>'Manufacturing Cost Calculations'!$D243*F$421^'Manufacturing Cost Calculations'!$E243*(F422/'Manufacturing Cost Calculations'!$D241)^'Manufacturing Cost Calculations'!$E241</f>
        <v>20.394936127176479</v>
      </c>
      <c r="G424" s="90">
        <f>'Manufacturing Cost Calculations'!$D243*G$421^'Manufacturing Cost Calculations'!$E243*(G422/'Manufacturing Cost Calculations'!$D241)^'Manufacturing Cost Calculations'!$E241</f>
        <v>20.394936127176479</v>
      </c>
      <c r="H424" s="90">
        <f>'Manufacturing Cost Calculations'!$D243*H$421^'Manufacturing Cost Calculations'!$E243*(H422/'Manufacturing Cost Calculations'!$D241)^'Manufacturing Cost Calculations'!$E241</f>
        <v>40.78987225435295</v>
      </c>
      <c r="I424" s="90">
        <f>'Manufacturing Cost Calculations'!$D243*I$421^'Manufacturing Cost Calculations'!$E243*(I422/'Manufacturing Cost Calculations'!$D241)^'Manufacturing Cost Calculations'!$E241</f>
        <v>33.131671485662906</v>
      </c>
      <c r="J424" s="90">
        <f>'Manufacturing Cost Calculations'!$D243*J$421^'Manufacturing Cost Calculations'!$E243*(J422/'Manufacturing Cost Calculations'!$D241)^'Manufacturing Cost Calculations'!$E241</f>
        <v>33.131671485662906</v>
      </c>
    </row>
    <row r="425" spans="1:10">
      <c r="A425" s="7" t="s">
        <v>72</v>
      </c>
      <c r="B425" s="7"/>
      <c r="C425" s="7"/>
      <c r="D425" s="76">
        <f>'Cost Input'!I132</f>
        <v>900</v>
      </c>
      <c r="E425" s="90">
        <f>'Cost Input'!J132</f>
        <v>0.6</v>
      </c>
      <c r="F425" s="76">
        <f>'Manufacturing Cost Calculations'!$D244*F$421^'Manufacturing Cost Calculations'!$E244</f>
        <v>2149.2935649314063</v>
      </c>
      <c r="G425" s="76">
        <f>'Manufacturing Cost Calculations'!$D244*G$421^'Manufacturing Cost Calculations'!$E244</f>
        <v>2149.2935649314063</v>
      </c>
      <c r="H425" s="76">
        <f>'Manufacturing Cost Calculations'!$D244*H$421^'Manufacturing Cost Calculations'!$E244</f>
        <v>3257.7198626607237</v>
      </c>
      <c r="I425" s="76">
        <f>'Manufacturing Cost Calculations'!$D244*I$421^'Manufacturing Cost Calculations'!$E244</f>
        <v>3257.7198626607237</v>
      </c>
      <c r="J425" s="76">
        <f>'Manufacturing Cost Calculations'!$D244*J$421^'Manufacturing Cost Calculations'!$E244</f>
        <v>3257.7198626607237</v>
      </c>
    </row>
    <row r="426" spans="1:10">
      <c r="A426" s="5" t="s">
        <v>146</v>
      </c>
      <c r="B426" s="5"/>
      <c r="C426" s="5"/>
      <c r="D426" s="76"/>
      <c r="E426" s="90"/>
    </row>
    <row r="427" spans="1:10">
      <c r="A427" s="7" t="s">
        <v>136</v>
      </c>
      <c r="B427" s="7"/>
      <c r="C427" s="7"/>
      <c r="D427" s="76"/>
      <c r="E427" s="90"/>
      <c r="F427" s="59">
        <f>F421</f>
        <v>4.2666666666666657</v>
      </c>
      <c r="G427" s="59">
        <f>G421</f>
        <v>4.2666666666666657</v>
      </c>
      <c r="H427" s="59">
        <f>H421</f>
        <v>8.5333333333333314</v>
      </c>
      <c r="I427" s="59">
        <f>I421</f>
        <v>8.5333333333333314</v>
      </c>
      <c r="J427" s="59">
        <f>J421</f>
        <v>8.5333333333333314</v>
      </c>
    </row>
    <row r="428" spans="1:10">
      <c r="A428" s="7" t="s">
        <v>69</v>
      </c>
      <c r="B428" s="7"/>
      <c r="C428" s="7"/>
      <c r="D428" s="76">
        <f>'Cost Input'!I135</f>
        <v>36000</v>
      </c>
      <c r="E428" s="90">
        <f>'Cost Input'!J135</f>
        <v>0.7</v>
      </c>
      <c r="F428" s="76">
        <f>'Manufacturing Cost Calculations'!$D247*F$427^'Manufacturing Cost Calculations'!$E247</f>
        <v>99395.014456988734</v>
      </c>
      <c r="G428" s="76">
        <f>'Manufacturing Cost Calculations'!$D247*G$427^'Manufacturing Cost Calculations'!$E247</f>
        <v>99395.014456988734</v>
      </c>
      <c r="H428" s="76">
        <f>'Manufacturing Cost Calculations'!$D247*H$427^'Manufacturing Cost Calculations'!$E247</f>
        <v>161467.67735710353</v>
      </c>
      <c r="I428" s="76">
        <f>'Manufacturing Cost Calculations'!$D247*I$427^'Manufacturing Cost Calculations'!$E247</f>
        <v>161467.67735710353</v>
      </c>
      <c r="J428" s="76">
        <f>'Manufacturing Cost Calculations'!$D247*J$427^'Manufacturing Cost Calculations'!$E247</f>
        <v>161467.67735710353</v>
      </c>
    </row>
    <row r="429" spans="1:10">
      <c r="A429" s="7" t="s">
        <v>71</v>
      </c>
      <c r="B429" s="7"/>
      <c r="C429" s="7"/>
      <c r="D429" s="90">
        <f>'Cost Input'!I136</f>
        <v>2.5</v>
      </c>
      <c r="E429" s="90">
        <f>'Cost Input'!J136</f>
        <v>0.7</v>
      </c>
      <c r="F429" s="90">
        <f>'Manufacturing Cost Calculations'!$D248*F$427^'Manufacturing Cost Calculations'!$E248</f>
        <v>6.9024315595131069</v>
      </c>
      <c r="G429" s="90">
        <f>'Manufacturing Cost Calculations'!$D248*G$427^'Manufacturing Cost Calculations'!$E248</f>
        <v>6.9024315595131069</v>
      </c>
      <c r="H429" s="90">
        <f>'Manufacturing Cost Calculations'!$D248*H$427^'Manufacturing Cost Calculations'!$E248</f>
        <v>11.213033149798857</v>
      </c>
      <c r="I429" s="90">
        <f>'Manufacturing Cost Calculations'!$D248*I$427^'Manufacturing Cost Calculations'!$E248</f>
        <v>11.213033149798857</v>
      </c>
      <c r="J429" s="90">
        <f>'Manufacturing Cost Calculations'!$D248*J$427^'Manufacturing Cost Calculations'!$E248</f>
        <v>11.213033149798857</v>
      </c>
    </row>
    <row r="430" spans="1:10">
      <c r="A430" s="7" t="s">
        <v>72</v>
      </c>
      <c r="B430" s="7"/>
      <c r="C430" s="7"/>
      <c r="D430" s="76">
        <f>'Cost Input'!I137</f>
        <v>600</v>
      </c>
      <c r="E430" s="90">
        <f>'Cost Input'!J137</f>
        <v>0.6</v>
      </c>
      <c r="F430" s="76">
        <f>'Manufacturing Cost Calculations'!$D249*F$427^'Manufacturing Cost Calculations'!$E249</f>
        <v>1432.8623766209375</v>
      </c>
      <c r="G430" s="76">
        <f>'Manufacturing Cost Calculations'!$D249*G$427^'Manufacturing Cost Calculations'!$E249</f>
        <v>1432.8623766209375</v>
      </c>
      <c r="H430" s="76">
        <f>'Manufacturing Cost Calculations'!$D249*H$427^'Manufacturing Cost Calculations'!$E249</f>
        <v>2171.8132417738161</v>
      </c>
      <c r="I430" s="76">
        <f>'Manufacturing Cost Calculations'!$D249*I$427^'Manufacturing Cost Calculations'!$E249</f>
        <v>2171.8132417738161</v>
      </c>
      <c r="J430" s="76">
        <f>'Manufacturing Cost Calculations'!$D249*J$427^'Manufacturing Cost Calculations'!$E249</f>
        <v>2171.8132417738161</v>
      </c>
    </row>
    <row r="431" spans="1:10">
      <c r="A431" s="5" t="s">
        <v>147</v>
      </c>
      <c r="B431" s="5"/>
      <c r="C431" s="5"/>
      <c r="D431" s="76"/>
      <c r="E431" s="90"/>
      <c r="F431" s="59"/>
      <c r="G431" s="59"/>
      <c r="H431" s="59"/>
      <c r="I431" s="59"/>
      <c r="J431" s="59"/>
    </row>
    <row r="432" spans="1:10">
      <c r="A432" s="7" t="s">
        <v>136</v>
      </c>
      <c r="B432" s="7"/>
      <c r="C432" s="7"/>
      <c r="D432" s="76"/>
      <c r="E432" s="90"/>
      <c r="F432" s="59">
        <f ca="1">F307</f>
        <v>4.0595182473804847</v>
      </c>
      <c r="G432" s="59">
        <f ca="1">G307</f>
        <v>4.0595182473805211</v>
      </c>
      <c r="H432" s="59">
        <f ca="1">H307</f>
        <v>4.0595182473805211</v>
      </c>
      <c r="I432" s="59">
        <f ca="1">I307</f>
        <v>4.0595182473804838</v>
      </c>
      <c r="J432" s="59">
        <f ca="1">J307</f>
        <v>4.0595182473804838</v>
      </c>
    </row>
    <row r="433" spans="1:10">
      <c r="A433" s="7" t="s">
        <v>69</v>
      </c>
      <c r="B433" s="7"/>
      <c r="C433" s="7"/>
      <c r="D433" s="76">
        <f>'Cost Input'!I140</f>
        <v>28800</v>
      </c>
      <c r="E433" s="90">
        <f>'Cost Input'!J140</f>
        <v>0.5</v>
      </c>
      <c r="F433" s="76">
        <f ca="1">'Manufacturing Cost Calculations'!$D252*F$432^'Manufacturing Cost Calculations'!$E252</f>
        <v>58026.949041865621</v>
      </c>
      <c r="G433" s="76">
        <f ca="1">'Manufacturing Cost Calculations'!$D252*G$432^'Manufacturing Cost Calculations'!$E252</f>
        <v>58026.949041865875</v>
      </c>
      <c r="H433" s="76">
        <f ca="1">'Manufacturing Cost Calculations'!$D252*H$432^'Manufacturing Cost Calculations'!$E252</f>
        <v>58026.949041865875</v>
      </c>
      <c r="I433" s="76">
        <f ca="1">'Manufacturing Cost Calculations'!$D252*I$432^'Manufacturing Cost Calculations'!$E252</f>
        <v>58026.949041865606</v>
      </c>
      <c r="J433" s="76">
        <f ca="1">'Manufacturing Cost Calculations'!$D252*J$432^'Manufacturing Cost Calculations'!$E252</f>
        <v>58026.949041865606</v>
      </c>
    </row>
    <row r="434" spans="1:10">
      <c r="A434" s="7" t="s">
        <v>71</v>
      </c>
      <c r="B434" s="7"/>
      <c r="C434" s="7"/>
      <c r="D434" s="90">
        <f>'Cost Input'!I141</f>
        <v>5</v>
      </c>
      <c r="E434" s="90">
        <f>'Cost Input'!J141</f>
        <v>0.7</v>
      </c>
      <c r="F434" s="90">
        <f ca="1">'Manufacturing Cost Calculations'!$D253*F$432^'Manufacturing Cost Calculations'!$E253</f>
        <v>13.332210217878572</v>
      </c>
      <c r="G434" s="90">
        <f ca="1">'Manufacturing Cost Calculations'!$D253*G$432^'Manufacturing Cost Calculations'!$E253</f>
        <v>13.332210217878655</v>
      </c>
      <c r="H434" s="90">
        <f ca="1">'Manufacturing Cost Calculations'!$D253*H$432^'Manufacturing Cost Calculations'!$E253</f>
        <v>13.332210217878655</v>
      </c>
      <c r="I434" s="90">
        <f ca="1">'Manufacturing Cost Calculations'!$D253*I$432^'Manufacturing Cost Calculations'!$E253</f>
        <v>13.332210217878568</v>
      </c>
      <c r="J434" s="90">
        <f ca="1">'Manufacturing Cost Calculations'!$D253*J$432^'Manufacturing Cost Calculations'!$E253</f>
        <v>13.332210217878568</v>
      </c>
    </row>
    <row r="435" spans="1:10">
      <c r="A435" s="7" t="s">
        <v>72</v>
      </c>
      <c r="B435" s="7"/>
      <c r="C435" s="7"/>
      <c r="D435" s="76">
        <f>'Cost Input'!I142</f>
        <v>900</v>
      </c>
      <c r="E435" s="90">
        <f>'Cost Input'!J142</f>
        <v>0.6</v>
      </c>
      <c r="F435" s="76">
        <f ca="1">'Manufacturing Cost Calculations'!$D254*F$432^'Manufacturing Cost Calculations'!$E254</f>
        <v>2086.0619816945937</v>
      </c>
      <c r="G435" s="76">
        <f ca="1">'Manufacturing Cost Calculations'!$D254*G$432^'Manufacturing Cost Calculations'!$E254</f>
        <v>2086.0619816946046</v>
      </c>
      <c r="H435" s="76">
        <f ca="1">'Manufacturing Cost Calculations'!$D254*H$432^'Manufacturing Cost Calculations'!$E254</f>
        <v>2086.0619816946046</v>
      </c>
      <c r="I435" s="76">
        <f ca="1">'Manufacturing Cost Calculations'!$D254*I$432^'Manufacturing Cost Calculations'!$E254</f>
        <v>2086.0619816945932</v>
      </c>
      <c r="J435" s="76">
        <f ca="1">'Manufacturing Cost Calculations'!$D254*J$432^'Manufacturing Cost Calculations'!$E254</f>
        <v>2086.0619816945932</v>
      </c>
    </row>
    <row r="436" spans="1:10">
      <c r="A436" s="5" t="s">
        <v>400</v>
      </c>
    </row>
    <row r="437" spans="1:10">
      <c r="A437" s="7" t="s">
        <v>69</v>
      </c>
      <c r="F437" s="100">
        <f t="shared" ref="F437:J439" ca="1" si="11">F308+F315+F320+F327+F333+F338+F344+F349+F354+F359+F364+F369+F376+F381+F386+F391+F396+F402+F407+F412+F417+F423+F428+F433</f>
        <v>1358899.3701469172</v>
      </c>
      <c r="G437" s="100">
        <f t="shared" ca="1" si="11"/>
        <v>1366447.5291167209</v>
      </c>
      <c r="H437" s="100">
        <f t="shared" ca="1" si="11"/>
        <v>1799696.2765068871</v>
      </c>
      <c r="I437" s="100">
        <f t="shared" ca="1" si="11"/>
        <v>1795665.5091091315</v>
      </c>
      <c r="J437" s="100">
        <f t="shared" ca="1" si="11"/>
        <v>1795665.5091091315</v>
      </c>
    </row>
    <row r="438" spans="1:10">
      <c r="A438" s="7" t="s">
        <v>71</v>
      </c>
      <c r="D438" s="40"/>
      <c r="F438" s="40">
        <f t="shared" ca="1" si="11"/>
        <v>334.43098731939529</v>
      </c>
      <c r="G438" s="40">
        <f t="shared" ca="1" si="11"/>
        <v>344.63693911149261</v>
      </c>
      <c r="H438" s="40">
        <f t="shared" ca="1" si="11"/>
        <v>458.88488971651913</v>
      </c>
      <c r="I438" s="40">
        <f t="shared" ca="1" si="11"/>
        <v>449.13401386778452</v>
      </c>
      <c r="J438" s="40">
        <f t="shared" ca="1" si="11"/>
        <v>449.13401386778452</v>
      </c>
    </row>
    <row r="439" spans="1:10">
      <c r="A439" s="7" t="s">
        <v>72</v>
      </c>
      <c r="F439" s="100">
        <f t="shared" ca="1" si="11"/>
        <v>38544.91122233709</v>
      </c>
      <c r="G439" s="100">
        <f t="shared" ca="1" si="11"/>
        <v>38767.597694996308</v>
      </c>
      <c r="H439" s="100">
        <f t="shared" ca="1" si="11"/>
        <v>50566.657114201829</v>
      </c>
      <c r="I439" s="100">
        <f t="shared" ca="1" si="11"/>
        <v>50354.884467999858</v>
      </c>
      <c r="J439" s="100">
        <f t="shared" ca="1" si="11"/>
        <v>50354.884467999858</v>
      </c>
    </row>
    <row r="441" spans="1:10">
      <c r="A441" s="5" t="s">
        <v>406</v>
      </c>
    </row>
    <row r="442" spans="1:10">
      <c r="A442" s="7" t="s">
        <v>69</v>
      </c>
      <c r="F442" s="132">
        <f ca="1">F437-2/3*F423</f>
        <v>1299410.3459491713</v>
      </c>
      <c r="G442" s="132">
        <f ca="1">G437-2/3*G423</f>
        <v>1306958.5049189751</v>
      </c>
      <c r="H442" s="132">
        <f ca="1">H437-2/3*H423</f>
        <v>1715566.0916740936</v>
      </c>
      <c r="I442" s="132">
        <f ca="1">I437-2/3*I423</f>
        <v>1711535.3242763381</v>
      </c>
      <c r="J442" s="132">
        <f ca="1">J437-2/3*J423</f>
        <v>1711535.3242763381</v>
      </c>
    </row>
    <row r="443" spans="1:10">
      <c r="A443" s="7" t="s">
        <v>71</v>
      </c>
      <c r="D443" s="136"/>
      <c r="F443" s="136">
        <f t="shared" ref="F443:J444" ca="1" si="12">F438-0.5*F424</f>
        <v>324.23351925580704</v>
      </c>
      <c r="G443" s="136">
        <f t="shared" ca="1" si="12"/>
        <v>334.43947104790436</v>
      </c>
      <c r="H443" s="136">
        <f t="shared" ca="1" si="12"/>
        <v>438.48995358934263</v>
      </c>
      <c r="I443" s="136">
        <f t="shared" ca="1" si="12"/>
        <v>432.56817812495308</v>
      </c>
      <c r="J443" s="136">
        <f t="shared" ca="1" si="12"/>
        <v>432.56817812495308</v>
      </c>
    </row>
    <row r="444" spans="1:10">
      <c r="A444" s="7" t="s">
        <v>72</v>
      </c>
      <c r="F444" s="132">
        <f t="shared" ca="1" si="12"/>
        <v>37470.264439871389</v>
      </c>
      <c r="G444" s="132">
        <f t="shared" ca="1" si="12"/>
        <v>37692.950912530607</v>
      </c>
      <c r="H444" s="132">
        <f t="shared" ca="1" si="12"/>
        <v>48937.797182871465</v>
      </c>
      <c r="I444" s="132">
        <f t="shared" ca="1" si="12"/>
        <v>48726.024536669494</v>
      </c>
      <c r="J444" s="132">
        <f t="shared" ca="1" si="12"/>
        <v>48726.024536669494</v>
      </c>
    </row>
    <row r="445" spans="1:10" ht="15.75">
      <c r="A445" s="19" t="s">
        <v>712</v>
      </c>
    </row>
    <row r="446" spans="1:10">
      <c r="A446" s="5" t="s">
        <v>87</v>
      </c>
    </row>
    <row r="447" spans="1:10">
      <c r="A447" s="7" t="s">
        <v>177</v>
      </c>
      <c r="F447" s="76">
        <f ca="1">F443</f>
        <v>324.23351925580704</v>
      </c>
      <c r="G447" s="76">
        <f ca="1">G443</f>
        <v>334.43947104790436</v>
      </c>
      <c r="H447" s="76">
        <f ca="1">H443</f>
        <v>438.48995358934263</v>
      </c>
      <c r="I447" s="76">
        <f ca="1">I443</f>
        <v>432.56817812495308</v>
      </c>
      <c r="J447" s="76">
        <f ca="1">J443</f>
        <v>432.56817812495308</v>
      </c>
    </row>
    <row r="448" spans="1:10">
      <c r="A448" s="7" t="s">
        <v>185</v>
      </c>
      <c r="F448" s="76"/>
      <c r="G448" s="76"/>
      <c r="H448" s="76"/>
      <c r="I448" s="76"/>
      <c r="J448" s="76"/>
    </row>
    <row r="449" spans="1:10" ht="14.25">
      <c r="A449" s="7" t="s">
        <v>148</v>
      </c>
      <c r="F449" s="76">
        <f ca="1">F444</f>
        <v>37470.264439871389</v>
      </c>
      <c r="G449" s="76">
        <f ca="1">G444</f>
        <v>37692.950912530607</v>
      </c>
      <c r="H449" s="76">
        <f ca="1">H444</f>
        <v>48937.797182871465</v>
      </c>
      <c r="I449" s="76">
        <f ca="1">I444</f>
        <v>48726.024536669494</v>
      </c>
      <c r="J449" s="76">
        <f ca="1">J444</f>
        <v>48726.024536669494</v>
      </c>
    </row>
    <row r="450" spans="1:10" ht="14.25">
      <c r="A450" s="7" t="s">
        <v>176</v>
      </c>
      <c r="F450" s="76">
        <f>'Cost Input'!$F55</f>
        <v>3000</v>
      </c>
      <c r="G450" s="76">
        <f>'Cost Input'!$F55</f>
        <v>3000</v>
      </c>
      <c r="H450" s="76">
        <f>'Cost Input'!$F55</f>
        <v>3000</v>
      </c>
      <c r="I450" s="76">
        <f>'Cost Input'!$F55</f>
        <v>3000</v>
      </c>
      <c r="J450" s="76">
        <f>'Cost Input'!$F55</f>
        <v>3000</v>
      </c>
    </row>
    <row r="451" spans="1:10">
      <c r="A451" s="7" t="s">
        <v>186</v>
      </c>
      <c r="F451" s="90">
        <f ca="1">F449*F450/1000000</f>
        <v>112.41079331961417</v>
      </c>
      <c r="G451" s="90">
        <f ca="1">G449*G450/1000000</f>
        <v>113.07885273759182</v>
      </c>
      <c r="H451" s="90">
        <f ca="1">H449*H450/1000000</f>
        <v>146.81339154861439</v>
      </c>
      <c r="I451" s="90">
        <f ca="1">I449*I450/1000000</f>
        <v>146.17807361000848</v>
      </c>
      <c r="J451" s="90">
        <f ca="1">J449*J450/1000000</f>
        <v>146.17807361000848</v>
      </c>
    </row>
    <row r="452" spans="1:10">
      <c r="A452" s="7" t="s">
        <v>149</v>
      </c>
      <c r="F452" s="76"/>
      <c r="G452" s="76"/>
      <c r="H452" s="76"/>
      <c r="I452" s="76"/>
      <c r="J452" s="76"/>
    </row>
    <row r="453" spans="1:10">
      <c r="A453" s="7" t="s">
        <v>150</v>
      </c>
      <c r="F453" s="76"/>
      <c r="G453" s="76"/>
      <c r="H453" s="76"/>
      <c r="I453" s="76"/>
      <c r="J453" s="76"/>
    </row>
    <row r="454" spans="1:10">
      <c r="A454" s="7" t="s">
        <v>151</v>
      </c>
      <c r="F454" s="199">
        <f ca="1">('Cost Input'!$F57/100*F459+'Cost Input'!$F58/100*(F460+F461))*'Manufacturing Cost Calculations'!F6/1000000</f>
        <v>29.707688924100154</v>
      </c>
      <c r="G454" s="199">
        <f ca="1">('Cost Input'!$F57/100*G459+'Cost Input'!$F58/100*(G460+G461))*'Manufacturing Cost Calculations'!G6/1000000</f>
        <v>30.268753288500182</v>
      </c>
      <c r="H454" s="199">
        <f ca="1">('Cost Input'!$F57/100*H459+'Cost Input'!$F58/100*(H460+H461))*'Manufacturing Cost Calculations'!H6/1000000</f>
        <v>34.39905934372797</v>
      </c>
      <c r="I454" s="199">
        <f ca="1">('Cost Input'!$F57/100*I459+'Cost Input'!$F58/100*(I460+I461))*'Manufacturing Cost Calculations'!I6/1000000</f>
        <v>34.221835483119229</v>
      </c>
      <c r="J454" s="199">
        <f ca="1">('Cost Input'!$F57/100*J459+'Cost Input'!$F58/100*(J460+J461))*'Manufacturing Cost Calculations'!J6/1000000</f>
        <v>34.221835483119229</v>
      </c>
    </row>
    <row r="455" spans="1:10">
      <c r="A455" s="7" t="s">
        <v>178</v>
      </c>
      <c r="F455" s="199">
        <f ca="1">F462*'Manufacturing Cost Calculations'!F6/1000000*'Cost Input'!$F$59/100</f>
        <v>82.421511878354139</v>
      </c>
      <c r="G455" s="199">
        <f ca="1">G462*'Manufacturing Cost Calculations'!G6/1000000*'Cost Input'!$F$59/100</f>
        <v>84.024141082560888</v>
      </c>
      <c r="H455" s="199">
        <f ca="1">H462*'Manufacturing Cost Calculations'!H6/1000000*'Cost Input'!$F$59/100</f>
        <v>94.299668349386195</v>
      </c>
      <c r="I455" s="199">
        <f ca="1">I462*'Manufacturing Cost Calculations'!I6/1000000*'Cost Input'!$F$59/100</f>
        <v>93.813794922553328</v>
      </c>
      <c r="J455" s="199">
        <f ca="1">J462*'Manufacturing Cost Calculations'!J6/1000000*'Cost Input'!$F$59/100</f>
        <v>93.813794922553328</v>
      </c>
    </row>
    <row r="456" spans="1:10">
      <c r="A456" s="7" t="s">
        <v>188</v>
      </c>
      <c r="F456" s="199">
        <f ca="1">F447+F451+F454+F455</f>
        <v>548.77351337787559</v>
      </c>
      <c r="G456" s="199">
        <f ca="1">G447+G451+G454+G455</f>
        <v>561.81121815655729</v>
      </c>
      <c r="H456" s="199">
        <f ca="1">H447+H451+H454+H455</f>
        <v>714.00207283107102</v>
      </c>
      <c r="I456" s="199">
        <f ca="1">I447+I451+I454+I455</f>
        <v>706.78188214063414</v>
      </c>
      <c r="J456" s="199">
        <f ca="1">J447+J451+J454+J455</f>
        <v>706.78188214063414</v>
      </c>
    </row>
    <row r="457" spans="1:10">
      <c r="A457" s="5" t="s">
        <v>686</v>
      </c>
      <c r="F457" s="91"/>
      <c r="G457" s="91"/>
      <c r="H457" s="91"/>
      <c r="I457" s="91"/>
      <c r="J457" s="91"/>
    </row>
    <row r="458" spans="1:10">
      <c r="A458" s="80" t="s">
        <v>93</v>
      </c>
      <c r="F458" s="76"/>
      <c r="G458" s="76"/>
      <c r="H458" s="76"/>
      <c r="I458" s="76"/>
      <c r="J458" s="76"/>
    </row>
    <row r="459" spans="1:10">
      <c r="A459" s="7" t="s">
        <v>152</v>
      </c>
      <c r="F459" s="76">
        <f ca="1">F301</f>
        <v>5047.9971322938618</v>
      </c>
      <c r="G459" s="76">
        <f ca="1">G301</f>
        <v>5149.4681533080657</v>
      </c>
      <c r="H459" s="76">
        <f ca="1">H301</f>
        <v>5693.4772445058816</v>
      </c>
      <c r="I459" s="76">
        <f ca="1">I301</f>
        <v>2832.0694465249703</v>
      </c>
      <c r="J459" s="76">
        <f ca="1">J301</f>
        <v>2832.0694465249703</v>
      </c>
    </row>
    <row r="460" spans="1:10">
      <c r="A460" s="7" t="s">
        <v>155</v>
      </c>
      <c r="F460" s="76">
        <f ca="1">F442/'Battery Design'!F69*'Cost Input'!$F$62/'Battery Design'!F62</f>
        <v>233.89386227085083</v>
      </c>
      <c r="G460" s="76">
        <f ca="1">G442/'Battery Design'!G69*'Cost Input'!$F$62/'Battery Design'!G62</f>
        <v>235.25253088541552</v>
      </c>
      <c r="H460" s="76">
        <f ca="1">H442/'Battery Design'!H69*'Cost Input'!$F$62/'Battery Design'!H62</f>
        <v>308.80189650133684</v>
      </c>
      <c r="I460" s="76">
        <f ca="1">I442/'Battery Design'!I69*'Cost Input'!$F$62/'Battery Design'!I62</f>
        <v>154.03817918487042</v>
      </c>
      <c r="J460" s="76">
        <f ca="1">J442/'Battery Design'!J69*'Cost Input'!$F$62/'Battery Design'!J62</f>
        <v>154.03817918487042</v>
      </c>
    </row>
    <row r="461" spans="1:10">
      <c r="A461" s="7" t="s">
        <v>162</v>
      </c>
      <c r="F461" s="132">
        <f ca="1">F460*'Cost Input'!$F64/100+'Cost Input'!$F65/100*'Error Bars'!F466</f>
        <v>212.87646399223735</v>
      </c>
      <c r="G461" s="132">
        <f ca="1">G460*'Cost Input'!$F64/100+'Cost Input'!$F65/100*'Error Bars'!G466</f>
        <v>216.88872131056027</v>
      </c>
      <c r="H461" s="132">
        <f ca="1">H460*'Cost Input'!$F64/100+'Cost Input'!$F65/100*'Error Bars'!H466</f>
        <v>284.3654156185105</v>
      </c>
      <c r="I461" s="132">
        <f ca="1">I460*'Cost Input'!$F64/100+'Cost Input'!$F65/100*'Error Bars'!I466</f>
        <v>141.01887170860741</v>
      </c>
      <c r="J461" s="132">
        <f ca="1">J460*'Cost Input'!$F64/100+'Cost Input'!$F65/100*'Error Bars'!J466</f>
        <v>141.01887170860741</v>
      </c>
    </row>
    <row r="462" spans="1:10">
      <c r="A462" s="7" t="s">
        <v>163</v>
      </c>
      <c r="F462" s="132">
        <f ca="1">F459+F460+F461</f>
        <v>5494.7674585569503</v>
      </c>
      <c r="G462" s="132">
        <f ca="1">G459+G460+G461</f>
        <v>5601.6094055040412</v>
      </c>
      <c r="H462" s="132">
        <f ca="1">H459+H460+H461</f>
        <v>6286.6445566257289</v>
      </c>
      <c r="I462" s="132">
        <f ca="1">I459+I460+I461</f>
        <v>3127.1264974184483</v>
      </c>
      <c r="J462" s="132">
        <f ca="1">J459+J460+J461</f>
        <v>3127.1264974184483</v>
      </c>
    </row>
    <row r="463" spans="1:10">
      <c r="A463" s="80" t="s">
        <v>95</v>
      </c>
      <c r="F463" s="261"/>
      <c r="G463" s="261"/>
      <c r="H463" s="261"/>
      <c r="I463" s="261"/>
      <c r="J463" s="261"/>
    </row>
    <row r="464" spans="1:10">
      <c r="A464" s="7" t="s">
        <v>164</v>
      </c>
      <c r="F464" s="132">
        <f ca="1">'Cost Input'!$F68/100*(F460+F461)+'Cost Input'!$F69/100*F466</f>
        <v>260.84123042064329</v>
      </c>
      <c r="G464" s="132">
        <f ca="1">'Cost Input'!$F68/100*(G460+G461)+'Cost Input'!$F69/100*G466</f>
        <v>266.5199492444865</v>
      </c>
      <c r="H464" s="132">
        <f ca="1">'Cost Input'!$F68/100*(H460+H461)+'Cost Input'!$F69/100*H466</f>
        <v>349.34764930243148</v>
      </c>
      <c r="I464" s="132">
        <f ca="1">'Cost Input'!$F68/100*(I460+I461)+'Cost Input'!$F69/100*I466</f>
        <v>173.0187627666935</v>
      </c>
      <c r="J464" s="132">
        <f ca="1">'Cost Input'!$F68/100*(J460+J461)+'Cost Input'!$F69/100*J466</f>
        <v>173.0187627666935</v>
      </c>
    </row>
    <row r="465" spans="1:10">
      <c r="A465" s="7" t="s">
        <v>165</v>
      </c>
      <c r="F465" s="132">
        <f ca="1">F466*'Cost Input'!$F70/100</f>
        <v>238.637838167794</v>
      </c>
      <c r="G465" s="132">
        <f ca="1">G466*'Cost Input'!$F70/100</f>
        <v>245.57541791278811</v>
      </c>
      <c r="H465" s="132">
        <f ca="1">H466*'Cost Input'!$F70/100</f>
        <v>321.68931403595144</v>
      </c>
      <c r="I465" s="132">
        <f ca="1">I466*'Cost Input'!$F70/100</f>
        <v>158.80720006931847</v>
      </c>
      <c r="J465" s="132">
        <f ca="1">J466*'Cost Input'!$F70/100</f>
        <v>158.80720006931847</v>
      </c>
    </row>
    <row r="466" spans="1:10">
      <c r="A466" s="7" t="s">
        <v>166</v>
      </c>
      <c r="F466" s="132">
        <f ca="1">('Cost Input'!$F72/100*F447+'Cost Input'!$F73/100*F451)*1000000/'Manufacturing Cost Calculations'!F6</f>
        <v>596.59459541948559</v>
      </c>
      <c r="G466" s="132">
        <f ca="1">('Cost Input'!$F72/100*G447+'Cost Input'!$F73/100*G451)*1000000/'Manufacturing Cost Calculations'!G6</f>
        <v>613.93854478196988</v>
      </c>
      <c r="H466" s="132">
        <f ca="1">('Cost Input'!$F72/100*H447+'Cost Input'!$F73/100*H451)*1000000/'Manufacturing Cost Calculations'!H6</f>
        <v>804.22328508987835</v>
      </c>
      <c r="I466" s="132">
        <f ca="1">('Cost Input'!$F72/100*I447+'Cost Input'!$F73/100*I451)*1000000/'Manufacturing Cost Calculations'!I6</f>
        <v>397.0180001732964</v>
      </c>
      <c r="J466" s="132">
        <f ca="1">('Cost Input'!$F72/100*J447+'Cost Input'!$F73/100*J451)*1000000/'Manufacturing Cost Calculations'!J6</f>
        <v>397.0180001732964</v>
      </c>
    </row>
    <row r="467" spans="1:10">
      <c r="A467" s="7" t="s">
        <v>167</v>
      </c>
      <c r="F467" s="100">
        <f ca="1">F464+F465+F466</f>
        <v>1096.0736640079228</v>
      </c>
      <c r="G467" s="100">
        <f ca="1">G464+G465+G466</f>
        <v>1126.0339119392445</v>
      </c>
      <c r="H467" s="100">
        <f ca="1">H464+H465+H466</f>
        <v>1475.2602484282613</v>
      </c>
      <c r="I467" s="100">
        <f ca="1">I464+I465+I466</f>
        <v>728.84396300930837</v>
      </c>
      <c r="J467" s="100">
        <f ca="1">J464+J465+J466</f>
        <v>728.84396300930837</v>
      </c>
    </row>
    <row r="468" spans="1:10">
      <c r="A468" s="7" t="s">
        <v>168</v>
      </c>
      <c r="F468" s="132">
        <f ca="1">'Cost Input'!$F74/100*F456*1000000/'Manufacturing Cost Calculations'!F6</f>
        <v>274.38675668893779</v>
      </c>
      <c r="G468" s="132">
        <f ca="1">'Cost Input'!$F74/100*G456*1000000/'Manufacturing Cost Calculations'!G6</f>
        <v>280.90560907827864</v>
      </c>
      <c r="H468" s="132">
        <f ca="1">'Cost Input'!$F74/100*H456*1000000/'Manufacturing Cost Calculations'!H6</f>
        <v>357.00103641553551</v>
      </c>
      <c r="I468" s="132">
        <f ca="1">'Cost Input'!$F74/100*I456*1000000/'Manufacturing Cost Calculations'!I6</f>
        <v>176.69547053515851</v>
      </c>
      <c r="J468" s="132">
        <f ca="1">'Cost Input'!$F74/100*J456*1000000/'Manufacturing Cost Calculations'!J6</f>
        <v>176.69547053515851</v>
      </c>
    </row>
    <row r="469" spans="1:10">
      <c r="A469" s="7" t="s">
        <v>373</v>
      </c>
      <c r="F469" s="100">
        <f ca="1">F462+F467+F468</f>
        <v>6865.2278792538109</v>
      </c>
      <c r="G469" s="100">
        <f ca="1">G462+G467+G468</f>
        <v>7008.5489265215647</v>
      </c>
      <c r="H469" s="100">
        <f ca="1">H462+H467+H468</f>
        <v>8118.9058414695264</v>
      </c>
      <c r="I469" s="100">
        <f ca="1">I462+I467+I468</f>
        <v>4032.6659309629154</v>
      </c>
      <c r="J469" s="100">
        <f ca="1">J462+J467+J468</f>
        <v>4032.6659309629154</v>
      </c>
    </row>
    <row r="470" spans="1:10">
      <c r="A470" s="5" t="s">
        <v>180</v>
      </c>
      <c r="F470" s="71"/>
      <c r="G470" s="71"/>
      <c r="H470" s="71"/>
      <c r="I470" s="71"/>
      <c r="J470" s="71"/>
    </row>
    <row r="471" spans="1:10">
      <c r="A471" s="7" t="s">
        <v>152</v>
      </c>
      <c r="F471" s="100">
        <f t="shared" ref="F471:J473" ca="1" si="13">F459</f>
        <v>5047.9971322938618</v>
      </c>
      <c r="G471" s="100">
        <f t="shared" ca="1" si="13"/>
        <v>5149.4681533080657</v>
      </c>
      <c r="H471" s="100">
        <f t="shared" ca="1" si="13"/>
        <v>5693.4772445058816</v>
      </c>
      <c r="I471" s="100">
        <f t="shared" ca="1" si="13"/>
        <v>2832.0694465249703</v>
      </c>
      <c r="J471" s="100">
        <f t="shared" ca="1" si="13"/>
        <v>2832.0694465249703</v>
      </c>
    </row>
    <row r="472" spans="1:10">
      <c r="A472" s="7" t="s">
        <v>169</v>
      </c>
      <c r="F472" s="100">
        <f t="shared" ca="1" si="13"/>
        <v>233.89386227085083</v>
      </c>
      <c r="G472" s="100">
        <f t="shared" ca="1" si="13"/>
        <v>235.25253088541552</v>
      </c>
      <c r="H472" s="100">
        <f t="shared" ca="1" si="13"/>
        <v>308.80189650133684</v>
      </c>
      <c r="I472" s="100">
        <f t="shared" ca="1" si="13"/>
        <v>154.03817918487042</v>
      </c>
      <c r="J472" s="100">
        <f t="shared" ca="1" si="13"/>
        <v>154.03817918487042</v>
      </c>
    </row>
    <row r="473" spans="1:10">
      <c r="A473" s="7" t="s">
        <v>170</v>
      </c>
      <c r="F473" s="100">
        <f t="shared" ca="1" si="13"/>
        <v>212.87646399223735</v>
      </c>
      <c r="G473" s="100">
        <f t="shared" ca="1" si="13"/>
        <v>216.88872131056027</v>
      </c>
      <c r="H473" s="100">
        <f t="shared" ca="1" si="13"/>
        <v>284.3654156185105</v>
      </c>
      <c r="I473" s="100">
        <f t="shared" ca="1" si="13"/>
        <v>141.01887170860741</v>
      </c>
      <c r="J473" s="100">
        <f t="shared" ca="1" si="13"/>
        <v>141.01887170860741</v>
      </c>
    </row>
    <row r="474" spans="1:10">
      <c r="A474" s="7" t="s">
        <v>164</v>
      </c>
      <c r="F474" s="76">
        <f t="shared" ref="F474:J476" ca="1" si="14">F464</f>
        <v>260.84123042064329</v>
      </c>
      <c r="G474" s="76">
        <f t="shared" ca="1" si="14"/>
        <v>266.5199492444865</v>
      </c>
      <c r="H474" s="76">
        <f t="shared" ca="1" si="14"/>
        <v>349.34764930243148</v>
      </c>
      <c r="I474" s="76">
        <f t="shared" ca="1" si="14"/>
        <v>173.0187627666935</v>
      </c>
      <c r="J474" s="76">
        <f t="shared" ca="1" si="14"/>
        <v>173.0187627666935</v>
      </c>
    </row>
    <row r="475" spans="1:10">
      <c r="A475" s="7" t="s">
        <v>165</v>
      </c>
      <c r="F475" s="100">
        <f t="shared" ca="1" si="14"/>
        <v>238.637838167794</v>
      </c>
      <c r="G475" s="100">
        <f t="shared" ca="1" si="14"/>
        <v>245.57541791278811</v>
      </c>
      <c r="H475" s="100">
        <f t="shared" ca="1" si="14"/>
        <v>321.68931403595144</v>
      </c>
      <c r="I475" s="100">
        <f t="shared" ca="1" si="14"/>
        <v>158.80720006931847</v>
      </c>
      <c r="J475" s="100">
        <f t="shared" ca="1" si="14"/>
        <v>158.80720006931847</v>
      </c>
    </row>
    <row r="476" spans="1:10">
      <c r="A476" s="7" t="s">
        <v>166</v>
      </c>
      <c r="F476" s="100">
        <f t="shared" ca="1" si="14"/>
        <v>596.59459541948559</v>
      </c>
      <c r="G476" s="100">
        <f t="shared" ca="1" si="14"/>
        <v>613.93854478196988</v>
      </c>
      <c r="H476" s="100">
        <f t="shared" ca="1" si="14"/>
        <v>804.22328508987835</v>
      </c>
      <c r="I476" s="100">
        <f t="shared" ca="1" si="14"/>
        <v>397.0180001732964</v>
      </c>
      <c r="J476" s="100">
        <f t="shared" ca="1" si="14"/>
        <v>397.0180001732964</v>
      </c>
    </row>
    <row r="477" spans="1:10">
      <c r="A477" s="7" t="s">
        <v>171</v>
      </c>
      <c r="F477" s="209">
        <f ca="1">F468</f>
        <v>274.38675668893779</v>
      </c>
      <c r="G477" s="209">
        <f ca="1">G468</f>
        <v>280.90560907827864</v>
      </c>
      <c r="H477" s="209">
        <f ca="1">H468</f>
        <v>357.00103641553551</v>
      </c>
      <c r="I477" s="209">
        <f ca="1">I468</f>
        <v>176.69547053515851</v>
      </c>
      <c r="J477" s="209">
        <f ca="1">J468</f>
        <v>176.69547053515851</v>
      </c>
    </row>
    <row r="478" spans="1:10">
      <c r="A478" s="7" t="s">
        <v>540</v>
      </c>
      <c r="F478" s="101">
        <f ca="1">'Cost Input'!$F75/100*(SUM(F471:F477))</f>
        <v>384.45276123821338</v>
      </c>
      <c r="G478" s="101">
        <f ca="1">'Cost Input'!$F75/100*(SUM(G471:G477))</f>
        <v>392.47873988520752</v>
      </c>
      <c r="H478" s="101">
        <f ca="1">'Cost Input'!$F75/100*(SUM(H471:H477))</f>
        <v>454.65872712229344</v>
      </c>
      <c r="I478" s="101">
        <f ca="1">'Cost Input'!$F75/100*(SUM(I471:I477))</f>
        <v>225.82929213392322</v>
      </c>
      <c r="J478" s="101">
        <f ca="1">'Cost Input'!$F75/100*(SUM(J471:J477))</f>
        <v>225.82929213392322</v>
      </c>
    </row>
    <row r="479" spans="1:10">
      <c r="A479" s="7" t="s">
        <v>542</v>
      </c>
      <c r="F479" s="100">
        <f ca="1">SUM(F471:F478)</f>
        <v>7249.6806404920244</v>
      </c>
      <c r="G479" s="100">
        <f ca="1">SUM(G471:G478)</f>
        <v>7401.0276664067715</v>
      </c>
      <c r="H479" s="100">
        <f ca="1">SUM(H471:H478)</f>
        <v>8573.5645685918207</v>
      </c>
      <c r="I479" s="100">
        <f ca="1">SUM(I471:I478)</f>
        <v>4258.4952230968383</v>
      </c>
      <c r="J479" s="100">
        <f ca="1">SUM(J471:J478)</f>
        <v>4258.4952230968383</v>
      </c>
    </row>
    <row r="480" spans="1:10">
      <c r="A480" s="5" t="s">
        <v>713</v>
      </c>
      <c r="F480" s="100">
        <f ca="1">F479-'Summary of Results'!F71</f>
        <v>424.72141569842915</v>
      </c>
      <c r="G480" s="100">
        <f ca="1">G479-'Summary of Results'!G71</f>
        <v>-147.43633597624284</v>
      </c>
      <c r="H480" s="100">
        <f ca="1">H479-'Summary of Results'!H71</f>
        <v>630.37133397721664</v>
      </c>
      <c r="I480" s="100">
        <f ca="1">I479-'Summary of Results'!I71</f>
        <v>294.8846416139354</v>
      </c>
      <c r="J480" s="100">
        <f ca="1">J479-'Summary of Results'!J71</f>
        <v>294.8846416139354</v>
      </c>
    </row>
    <row r="481" spans="1:10">
      <c r="A481" s="321" t="s">
        <v>714</v>
      </c>
      <c r="F481" s="40">
        <f ca="1">F480/'Summary of Results'!F71*100</f>
        <v>6.2230615848298179</v>
      </c>
      <c r="G481" s="40">
        <f ca="1">G480/'Summary of Results'!G71*100</f>
        <v>-1.953196516929774</v>
      </c>
      <c r="H481" s="40">
        <f ca="1">H480/'Summary of Results'!H71*100</f>
        <v>7.9359939429674675</v>
      </c>
      <c r="I481" s="40">
        <f ca="1">I480/'Summary of Results'!I71*100</f>
        <v>7.4397985259089303</v>
      </c>
      <c r="J481" s="40">
        <f ca="1">J480/'Summary of Results'!J71*100</f>
        <v>7.4397985259089303</v>
      </c>
    </row>
  </sheetData>
  <mergeCells count="4">
    <mergeCell ref="A1:J1"/>
    <mergeCell ref="P64:S64"/>
    <mergeCell ref="P106:S106"/>
    <mergeCell ref="A282:J282"/>
  </mergeCells>
  <phoneticPr fontId="3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About BatPaC</vt:lpstr>
      <vt:lpstr>Chem</vt:lpstr>
      <vt:lpstr>Battery Design</vt:lpstr>
      <vt:lpstr>Summary of Results</vt:lpstr>
      <vt:lpstr>Manufacturing Cost Calculations</vt:lpstr>
      <vt:lpstr>Cost Input</vt:lpstr>
      <vt:lpstr>Price of Modules</vt:lpstr>
      <vt:lpstr>Thermal</vt:lpstr>
      <vt:lpstr>Error Bars</vt:lpstr>
      <vt:lpstr>Plant Schematic</vt:lpstr>
      <vt:lpstr>Cell Design</vt:lpstr>
      <vt:lpstr>Module</vt:lpstr>
      <vt:lpstr>Battery</vt:lpstr>
      <vt:lpstr>Capacity Calculator</vt:lpstr>
      <vt:lpstr>Battery!Print_Area</vt:lpstr>
      <vt:lpstr>'Battery Design'!Print_Area</vt:lpstr>
      <vt:lpstr>Chem!Print_Area</vt:lpstr>
      <vt:lpstr>'Cost Input'!Print_Area</vt:lpstr>
      <vt:lpstr>'Manufacturing Cost Calculations'!Print_Area</vt:lpstr>
      <vt:lpstr>'Summary of Results'!Print_Area</vt:lpstr>
      <vt:lpstr>Thermal!Print_Area</vt:lpstr>
      <vt:lpstr>'Battery Design'!Print_Titles</vt:lpstr>
    </vt:vector>
  </TitlesOfParts>
  <Company>Argonne National Laboratory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for Calculating Performance and Materials Requirements</dc:title>
  <dc:subject>This document gives data regarding a program for calculating performance and materials requirements.</dc:subject>
  <dc:creator>U.S. EPA, OAR, Office of Transportation and Air Quality, Assessment and Standards Division</dc:creator>
  <cp:keywords>battery,cell,calculating,performance,materials,BatPaC,cost,model</cp:keywords>
  <cp:lastModifiedBy>Levin, David</cp:lastModifiedBy>
  <cp:lastPrinted>2012-02-15T16:44:35Z</cp:lastPrinted>
  <dcterms:created xsi:type="dcterms:W3CDTF">2007-05-30T17:44:54Z</dcterms:created>
  <dcterms:modified xsi:type="dcterms:W3CDTF">2012-08-22T12:41:04Z</dcterms:modified>
</cp:coreProperties>
</file>