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garber\Desktop\bee rex\"/>
    </mc:Choice>
  </mc:AlternateContent>
  <bookViews>
    <workbookView xWindow="0" yWindow="0" windowWidth="14376" windowHeight="5016"/>
  </bookViews>
  <sheets>
    <sheet name="Readme" sheetId="4" r:id="rId1"/>
    <sheet name="BeeREX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7" i="1"/>
  <c r="C28" i="1" l="1"/>
  <c r="D28" i="1" s="1"/>
  <c r="C27" i="1"/>
  <c r="D27" i="1" s="1"/>
  <c r="D26" i="1"/>
  <c r="C25" i="1"/>
  <c r="D25" i="1" l="1"/>
  <c r="H47" i="1" s="1"/>
  <c r="F4" i="1"/>
  <c r="H38" i="1" l="1"/>
  <c r="H39" i="1"/>
  <c r="H49" i="1"/>
  <c r="H34" i="1"/>
  <c r="H35" i="1"/>
  <c r="H32" i="1"/>
  <c r="H43" i="1"/>
  <c r="H40" i="1"/>
  <c r="H36" i="1"/>
  <c r="H48" i="1"/>
  <c r="H44" i="1"/>
  <c r="H33" i="1"/>
  <c r="H37" i="1"/>
  <c r="H41" i="1"/>
  <c r="H45" i="1"/>
  <c r="H42" i="1"/>
  <c r="H46" i="1"/>
  <c r="G42" i="1"/>
  <c r="D13" i="1" l="1"/>
  <c r="D12" i="1"/>
  <c r="D11" i="1"/>
  <c r="F48" i="1" l="1"/>
  <c r="F45" i="1"/>
  <c r="F43" i="1"/>
  <c r="I35" i="1"/>
  <c r="J33" i="1"/>
  <c r="I44" i="1"/>
  <c r="I39" i="1"/>
  <c r="I49" i="1"/>
  <c r="I37" i="1"/>
  <c r="I45" i="1"/>
  <c r="I48" i="1"/>
  <c r="J41" i="1"/>
  <c r="J47" i="1"/>
  <c r="J36" i="1"/>
  <c r="J46" i="1"/>
  <c r="J34" i="1"/>
  <c r="J43" i="1"/>
  <c r="J42" i="1"/>
  <c r="J38" i="1"/>
  <c r="I40" i="1"/>
  <c r="I32" i="1"/>
  <c r="I41" i="1" l="1"/>
  <c r="J45" i="1"/>
  <c r="I38" i="1"/>
  <c r="I43" i="1"/>
  <c r="I46" i="1"/>
  <c r="I47" i="1"/>
  <c r="J37" i="1"/>
  <c r="J39" i="1"/>
  <c r="I33" i="1"/>
  <c r="J32" i="1"/>
  <c r="J40" i="1"/>
  <c r="I42" i="1"/>
  <c r="I34" i="1"/>
  <c r="I36" i="1"/>
  <c r="J48" i="1"/>
  <c r="J49" i="1"/>
  <c r="J44" i="1"/>
  <c r="J35" i="1"/>
  <c r="G5" i="1" l="1"/>
  <c r="G6" i="1"/>
  <c r="F6" i="1"/>
  <c r="F5" i="1"/>
</calcChain>
</file>

<file path=xl/sharedStrings.xml><?xml version="1.0" encoding="utf-8"?>
<sst xmlns="http://schemas.openxmlformats.org/spreadsheetml/2006/main" count="101" uniqueCount="92">
  <si>
    <t>Application rate</t>
  </si>
  <si>
    <t>Units of app rate</t>
  </si>
  <si>
    <t>lb a.i./A</t>
  </si>
  <si>
    <t>kg a.i./ha</t>
  </si>
  <si>
    <t>Application method</t>
  </si>
  <si>
    <t>foliar spray</t>
  </si>
  <si>
    <t>soil application</t>
  </si>
  <si>
    <t>seed treatment</t>
  </si>
  <si>
    <t>Description</t>
  </si>
  <si>
    <t>Value</t>
  </si>
  <si>
    <t>Empirical residue in nectar (mg a.i./kg)</t>
  </si>
  <si>
    <t>Empirical residue in jelly (mg a.i./kg)</t>
  </si>
  <si>
    <t>Larval</t>
  </si>
  <si>
    <t>Worker</t>
  </si>
  <si>
    <t>Drone</t>
  </si>
  <si>
    <t>Queen</t>
  </si>
  <si>
    <t>Adult</t>
  </si>
  <si>
    <t>Worker (cell cleaning and capping)</t>
  </si>
  <si>
    <t>0-10</t>
  </si>
  <si>
    <t>Worker (brood and queen tending, nurse bees)</t>
  </si>
  <si>
    <t>Worker (comb building, cleaning and food handling)</t>
  </si>
  <si>
    <t>Worker (foraging for pollen)</t>
  </si>
  <si>
    <t>&gt;18</t>
  </si>
  <si>
    <t>Worker (foraging for nectar)</t>
  </si>
  <si>
    <t>Worker (maintenance of hive in winter)</t>
  </si>
  <si>
    <t>0-90</t>
  </si>
  <si>
    <t>&gt;10</t>
  </si>
  <si>
    <t>Queen (laying 1500 eggs/day)</t>
  </si>
  <si>
    <t>Entire lifestage</t>
  </si>
  <si>
    <t xml:space="preserve"> </t>
  </si>
  <si>
    <t>Koc</t>
  </si>
  <si>
    <t>EECs (mg a.i./kg)</t>
  </si>
  <si>
    <t>Log Kow</t>
  </si>
  <si>
    <t>11 to 18</t>
  </si>
  <si>
    <t>6 to 17</t>
  </si>
  <si>
    <t>Jelly (mg/day)</t>
  </si>
  <si>
    <t>Nectar (mg/day)</t>
  </si>
  <si>
    <t>Pollen (mg/day)</t>
  </si>
  <si>
    <t>Average age (in days)</t>
  </si>
  <si>
    <t>Life stage</t>
  </si>
  <si>
    <t>Caste or task in hive</t>
  </si>
  <si>
    <t>Acute RQ</t>
  </si>
  <si>
    <t>Chronic RQ</t>
  </si>
  <si>
    <t>Total dose (µg a.i./bee)</t>
  </si>
  <si>
    <t>Larvae</t>
  </si>
  <si>
    <t>Exposure</t>
  </si>
  <si>
    <t>Adults</t>
  </si>
  <si>
    <t>NA</t>
  </si>
  <si>
    <t>Acute contact</t>
  </si>
  <si>
    <t>Acute dietary</t>
  </si>
  <si>
    <t>Chronic dietary</t>
  </si>
  <si>
    <t>Are empirical residue data available?</t>
  </si>
  <si>
    <t>yes</t>
  </si>
  <si>
    <t>no</t>
  </si>
  <si>
    <t xml:space="preserve">Adult contact LD50 </t>
  </si>
  <si>
    <t>Value (µg a.i./bee)</t>
  </si>
  <si>
    <t>Adult oral LD50</t>
  </si>
  <si>
    <t>Adult oral NOAEL</t>
  </si>
  <si>
    <t>Larval LD50</t>
  </si>
  <si>
    <t>Larval NOAEL</t>
  </si>
  <si>
    <t>tree trunk</t>
  </si>
  <si>
    <t>mg a.i./tree</t>
  </si>
  <si>
    <t>Mass of tree vegetation (kg-wet weight)</t>
  </si>
  <si>
    <t>Empirical residue in pollen/bread (mg a.i./kg)</t>
  </si>
  <si>
    <t>4+</t>
  </si>
  <si>
    <t>6+</t>
  </si>
  <si>
    <r>
      <t>EECs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g a.i./mg)</t>
    </r>
  </si>
  <si>
    <r>
      <t xml:space="preserve">&lt;--converted automatically to </t>
    </r>
    <r>
      <rPr>
        <sz val="11"/>
        <color theme="0" tint="-0.499984740745262"/>
        <rFont val="Calibri"/>
        <family val="2"/>
      </rPr>
      <t>µ</t>
    </r>
    <r>
      <rPr>
        <sz val="11"/>
        <color theme="0" tint="-0.499984740745262"/>
        <rFont val="Calibri"/>
        <family val="2"/>
        <scheme val="minor"/>
      </rPr>
      <t>g a.i./mg</t>
    </r>
  </si>
  <si>
    <t>BeeREX version 1.0</t>
  </si>
  <si>
    <t>This model was developed by the United States Environmental Protection Agency's</t>
  </si>
  <si>
    <t>Office of Pesticide Programs' Environmental Fate and Effects Division</t>
  </si>
  <si>
    <t xml:space="preserve">In collaboration with Health Canada's Pest Management Regulatory Authority </t>
  </si>
  <si>
    <t>and California's Department of Pesticide Regulation</t>
  </si>
  <si>
    <t>The purpose of this model is to allow risk assessors to calculate Risk Quotients</t>
  </si>
  <si>
    <t>as part of a Tier I assessment of pesticide risks to honey bees</t>
  </si>
  <si>
    <t xml:space="preserve">A full description of the model's equations is provided in Appendix 3 of the </t>
  </si>
  <si>
    <t>http://www2.epa.gov/sites/production/files/2014-06/documents/pollinator_risk_assessment_guidance_06_19_14.pdf</t>
  </si>
  <si>
    <t>Guidance for Assessing Pesticide Risks to Bees, which is available online at:</t>
  </si>
  <si>
    <t>Table 1. User inputs (related to exposure)</t>
  </si>
  <si>
    <t>Table 2. Toxicity data</t>
  </si>
  <si>
    <t>Table 3. Estimated concentrations in pollen and nectar</t>
  </si>
  <si>
    <t>Table 4. Daily consumption of food, pesticide dose and resulting dietary RQs for all bees</t>
  </si>
  <si>
    <t>Table 5. Results (highest RQs)</t>
  </si>
  <si>
    <t>The model user should enter the pesticide specific parameters in Tables 1 and 2 of the BeeREX worksheet of this file.</t>
  </si>
  <si>
    <t xml:space="preserve">If empirically based concentrations in pollen and/or nectar are available for the chemical of interest, </t>
  </si>
  <si>
    <t xml:space="preserve">the user may enter the concentrations in Table 1. </t>
  </si>
  <si>
    <t>The model will automatically estimate exposures to bees via contact and diet (pollen and nectar consumption) (Table 3).</t>
  </si>
  <si>
    <t>Table 4 presents the RQs calculated for various ages and classes of honey bees.</t>
  </si>
  <si>
    <t>These values may be used to characterize risks of the pesticide of interest to different types of honey bees.</t>
  </si>
  <si>
    <t>Table 5 presents the most conservative RQs for larvae and adults that are provided in Table 4.</t>
  </si>
  <si>
    <t>This tool has undergone a Quality Assurrance and Quality Control Review that is consistent with EPA standards.</t>
  </si>
  <si>
    <t>For questions, contact Kris Garber or the current chairs of the Terrestrial Technical Team of EFED.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</si>
</sst>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2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0" fillId="2" borderId="3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/>
    <xf numFmtId="0" fontId="0" fillId="2" borderId="1" xfId="0" applyFill="1" applyBorder="1" applyProtection="1"/>
    <xf numFmtId="0" fontId="0" fillId="2" borderId="0" xfId="0" applyFill="1"/>
    <xf numFmtId="0" fontId="6" fillId="2" borderId="0" xfId="1" applyFill="1"/>
    <xf numFmtId="15" fontId="0" fillId="2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7" fillId="2" borderId="0" xfId="0" applyFont="1" applyFill="1"/>
    <xf numFmtId="0" fontId="0" fillId="2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2.epa.gov/sites/production/files/2014-06/documents/pollinator_risk_assessment_guidance_06_19_1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workbookViewId="0">
      <selection activeCell="A3" sqref="A3"/>
    </sheetView>
  </sheetViews>
  <sheetFormatPr defaultRowHeight="14.4" x14ac:dyDescent="0.3"/>
  <cols>
    <col min="1" max="1" width="97.5546875" style="28" customWidth="1"/>
    <col min="2" max="16384" width="8.88671875" style="28"/>
  </cols>
  <sheetData>
    <row r="1" spans="1:1" x14ac:dyDescent="0.3">
      <c r="A1" s="28" t="s">
        <v>68</v>
      </c>
    </row>
    <row r="2" spans="1:1" x14ac:dyDescent="0.3">
      <c r="A2" s="30">
        <v>42285</v>
      </c>
    </row>
    <row r="4" spans="1:1" x14ac:dyDescent="0.3">
      <c r="A4" s="28" t="s">
        <v>69</v>
      </c>
    </row>
    <row r="5" spans="1:1" x14ac:dyDescent="0.3">
      <c r="A5" s="28" t="s">
        <v>70</v>
      </c>
    </row>
    <row r="6" spans="1:1" x14ac:dyDescent="0.3">
      <c r="A6" s="28" t="s">
        <v>71</v>
      </c>
    </row>
    <row r="7" spans="1:1" x14ac:dyDescent="0.3">
      <c r="A7" s="28" t="s">
        <v>72</v>
      </c>
    </row>
    <row r="9" spans="1:1" x14ac:dyDescent="0.3">
      <c r="A9" s="28" t="s">
        <v>73</v>
      </c>
    </row>
    <row r="10" spans="1:1" x14ac:dyDescent="0.3">
      <c r="A10" s="28" t="s">
        <v>74</v>
      </c>
    </row>
    <row r="12" spans="1:1" x14ac:dyDescent="0.3">
      <c r="A12" s="28" t="s">
        <v>83</v>
      </c>
    </row>
    <row r="13" spans="1:1" x14ac:dyDescent="0.3">
      <c r="A13" s="28" t="s">
        <v>86</v>
      </c>
    </row>
    <row r="14" spans="1:1" x14ac:dyDescent="0.3">
      <c r="A14" s="28" t="s">
        <v>84</v>
      </c>
    </row>
    <row r="15" spans="1:1" x14ac:dyDescent="0.3">
      <c r="A15" s="28" t="s">
        <v>85</v>
      </c>
    </row>
    <row r="16" spans="1:1" x14ac:dyDescent="0.3">
      <c r="A16" s="28" t="s">
        <v>87</v>
      </c>
    </row>
    <row r="17" spans="1:1" x14ac:dyDescent="0.3">
      <c r="A17" s="28" t="s">
        <v>88</v>
      </c>
    </row>
    <row r="18" spans="1:1" x14ac:dyDescent="0.3">
      <c r="A18" s="28" t="s">
        <v>89</v>
      </c>
    </row>
    <row r="20" spans="1:1" x14ac:dyDescent="0.3">
      <c r="A20" s="28" t="s">
        <v>75</v>
      </c>
    </row>
    <row r="21" spans="1:1" x14ac:dyDescent="0.3">
      <c r="A21" s="28" t="s">
        <v>77</v>
      </c>
    </row>
    <row r="22" spans="1:1" x14ac:dyDescent="0.3">
      <c r="A22" s="29" t="s">
        <v>76</v>
      </c>
    </row>
    <row r="24" spans="1:1" x14ac:dyDescent="0.3">
      <c r="A24" s="28" t="s">
        <v>90</v>
      </c>
    </row>
    <row r="26" spans="1:1" x14ac:dyDescent="0.3">
      <c r="A26" s="28" t="s">
        <v>91</v>
      </c>
    </row>
  </sheetData>
  <sheetProtection algorithmName="SHA-512" hashValue="6I+z02zSLNkxQ0uJLxm1imVI47fmmyXsVzwLe5he3e3+QqjsBRjDCCuS8aNUZN6nuIi8YY7B+5uyo1dIUFbZ1g==" saltValue="ALhkZ3luq8hB2FXXLKtVjQ==" spinCount="100000" sheet="1" objects="1" scenarios="1"/>
  <hyperlinks>
    <hyperlink ref="A2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9"/>
  <sheetViews>
    <sheetView workbookViewId="0">
      <selection activeCell="E14" sqref="E14"/>
    </sheetView>
  </sheetViews>
  <sheetFormatPr defaultColWidth="9.109375" defaultRowHeight="14.4" x14ac:dyDescent="0.3"/>
  <cols>
    <col min="1" max="1" width="1.5546875" style="2" customWidth="1"/>
    <col min="2" max="2" width="41.5546875" style="2" customWidth="1"/>
    <col min="3" max="3" width="24.44140625" style="2" customWidth="1"/>
    <col min="4" max="4" width="18.44140625" style="2" customWidth="1"/>
    <col min="5" max="5" width="19" style="2" customWidth="1"/>
    <col min="6" max="7" width="9.109375" style="2"/>
    <col min="8" max="8" width="16.109375" style="2" customWidth="1"/>
    <col min="9" max="9" width="11.5546875" style="2" customWidth="1"/>
    <col min="10" max="16384" width="9.109375" style="2"/>
  </cols>
  <sheetData>
    <row r="2" spans="2:9" x14ac:dyDescent="0.3">
      <c r="B2" s="1" t="s">
        <v>78</v>
      </c>
      <c r="E2" s="1" t="s">
        <v>82</v>
      </c>
      <c r="F2" s="1"/>
      <c r="G2" s="1"/>
      <c r="I2" s="3" t="s">
        <v>2</v>
      </c>
    </row>
    <row r="3" spans="2:9" x14ac:dyDescent="0.3">
      <c r="B3" s="4" t="s">
        <v>8</v>
      </c>
      <c r="C3" s="5" t="s">
        <v>9</v>
      </c>
      <c r="E3" s="6" t="s">
        <v>45</v>
      </c>
      <c r="F3" s="5" t="s">
        <v>46</v>
      </c>
      <c r="G3" s="5" t="s">
        <v>44</v>
      </c>
      <c r="I3" s="3" t="s">
        <v>3</v>
      </c>
    </row>
    <row r="4" spans="2:9" x14ac:dyDescent="0.3">
      <c r="B4" s="26" t="s">
        <v>0</v>
      </c>
      <c r="C4" s="24"/>
      <c r="E4" s="9" t="s">
        <v>48</v>
      </c>
      <c r="F4" s="8" t="e">
        <f>IF(C6="soil application","NA",IF(C6="seed treatment","NA",IF(C6="tree trunk","NA",IF(C5="lb a.i./A",C4*2.7/C17,C4*2.4/C17))))</f>
        <v>#DIV/0!</v>
      </c>
      <c r="G4" s="8" t="s">
        <v>47</v>
      </c>
      <c r="I4" s="3" t="s">
        <v>61</v>
      </c>
    </row>
    <row r="5" spans="2:9" x14ac:dyDescent="0.3">
      <c r="B5" s="26" t="s">
        <v>1</v>
      </c>
      <c r="C5" s="24" t="s">
        <v>2</v>
      </c>
      <c r="E5" s="9" t="s">
        <v>49</v>
      </c>
      <c r="F5" s="10" t="e">
        <f>MAX(I42:I49)</f>
        <v>#DIV/0!</v>
      </c>
      <c r="G5" s="10" t="e">
        <f>MAX(I32:I36)</f>
        <v>#DIV/0!</v>
      </c>
      <c r="I5" s="3" t="s">
        <v>52</v>
      </c>
    </row>
    <row r="6" spans="2:9" x14ac:dyDescent="0.3">
      <c r="B6" s="26" t="s">
        <v>4</v>
      </c>
      <c r="C6" s="24" t="s">
        <v>5</v>
      </c>
      <c r="E6" s="9" t="s">
        <v>50</v>
      </c>
      <c r="F6" s="10" t="e">
        <f>MAX(J42:J49)</f>
        <v>#DIV/0!</v>
      </c>
      <c r="G6" s="10" t="e">
        <f>MAX(J32:J36)</f>
        <v>#DIV/0!</v>
      </c>
      <c r="I6" s="3" t="s">
        <v>53</v>
      </c>
    </row>
    <row r="7" spans="2:9" x14ac:dyDescent="0.3">
      <c r="B7" s="26" t="s">
        <v>32</v>
      </c>
      <c r="C7" s="24">
        <v>5</v>
      </c>
      <c r="D7" s="33" t="str">
        <f>IF(C7&gt;5, "Model should not be run when Log Kow is &gt;5", " ")</f>
        <v xml:space="preserve"> </v>
      </c>
    </row>
    <row r="8" spans="2:9" x14ac:dyDescent="0.3">
      <c r="B8" s="26" t="s">
        <v>30</v>
      </c>
      <c r="C8" s="24">
        <v>30</v>
      </c>
    </row>
    <row r="9" spans="2:9" x14ac:dyDescent="0.3">
      <c r="B9" s="27" t="s">
        <v>62</v>
      </c>
      <c r="C9" s="24">
        <v>0.1</v>
      </c>
    </row>
    <row r="10" spans="2:9" x14ac:dyDescent="0.3">
      <c r="B10" s="26" t="s">
        <v>51</v>
      </c>
      <c r="C10" s="24" t="s">
        <v>53</v>
      </c>
    </row>
    <row r="11" spans="2:9" x14ac:dyDescent="0.3">
      <c r="B11" s="26" t="s">
        <v>63</v>
      </c>
      <c r="C11" s="25">
        <v>1</v>
      </c>
      <c r="D11" s="22">
        <f>C11/1000</f>
        <v>1E-3</v>
      </c>
      <c r="E11" s="23" t="s">
        <v>67</v>
      </c>
    </row>
    <row r="12" spans="2:9" x14ac:dyDescent="0.3">
      <c r="B12" s="26" t="s">
        <v>10</v>
      </c>
      <c r="C12" s="25">
        <v>0.4</v>
      </c>
      <c r="D12" s="22">
        <f>C12/1000</f>
        <v>4.0000000000000002E-4</v>
      </c>
      <c r="E12" s="23" t="s">
        <v>67</v>
      </c>
    </row>
    <row r="13" spans="2:9" x14ac:dyDescent="0.3">
      <c r="B13" s="26" t="s">
        <v>11</v>
      </c>
      <c r="C13" s="25">
        <v>0.5</v>
      </c>
      <c r="D13" s="22">
        <f>C13/1000</f>
        <v>5.0000000000000001E-4</v>
      </c>
      <c r="E13" s="23" t="s">
        <v>67</v>
      </c>
    </row>
    <row r="14" spans="2:9" x14ac:dyDescent="0.3">
      <c r="B14" s="11"/>
      <c r="C14" s="12"/>
    </row>
    <row r="15" spans="2:9" x14ac:dyDescent="0.3">
      <c r="B15" s="13" t="s">
        <v>79</v>
      </c>
      <c r="C15" s="14"/>
    </row>
    <row r="16" spans="2:9" x14ac:dyDescent="0.3">
      <c r="B16" s="4" t="s">
        <v>8</v>
      </c>
      <c r="C16" s="5" t="s">
        <v>55</v>
      </c>
    </row>
    <row r="17" spans="2:10" x14ac:dyDescent="0.3">
      <c r="B17" s="7" t="s">
        <v>54</v>
      </c>
      <c r="C17" s="24"/>
      <c r="F17" s="2" t="s">
        <v>29</v>
      </c>
    </row>
    <row r="18" spans="2:10" x14ac:dyDescent="0.3">
      <c r="B18" s="7" t="s">
        <v>56</v>
      </c>
      <c r="C18" s="24"/>
    </row>
    <row r="19" spans="2:10" x14ac:dyDescent="0.3">
      <c r="B19" s="7" t="s">
        <v>57</v>
      </c>
      <c r="C19" s="24"/>
    </row>
    <row r="20" spans="2:10" x14ac:dyDescent="0.3">
      <c r="B20" s="7" t="s">
        <v>58</v>
      </c>
      <c r="C20" s="24"/>
    </row>
    <row r="21" spans="2:10" x14ac:dyDescent="0.3">
      <c r="B21" s="7" t="s">
        <v>59</v>
      </c>
      <c r="C21" s="24"/>
    </row>
    <row r="22" spans="2:10" x14ac:dyDescent="0.3">
      <c r="B22" s="15"/>
      <c r="C22" s="16"/>
    </row>
    <row r="23" spans="2:10" x14ac:dyDescent="0.3">
      <c r="B23" s="17" t="s">
        <v>80</v>
      </c>
      <c r="C23" s="18"/>
    </row>
    <row r="24" spans="2:10" x14ac:dyDescent="0.3">
      <c r="B24" s="4" t="s">
        <v>4</v>
      </c>
      <c r="C24" s="31" t="s">
        <v>31</v>
      </c>
      <c r="D24" s="5" t="s">
        <v>66</v>
      </c>
    </row>
    <row r="25" spans="2:10" x14ac:dyDescent="0.3">
      <c r="B25" s="7" t="s">
        <v>5</v>
      </c>
      <c r="C25" s="32">
        <f>IF(C6="foliar spray", IF(C5="lb a.i./A", 110*C4, 98*C4), "NA")</f>
        <v>0</v>
      </c>
      <c r="D25" s="8">
        <f>IF(C6="foliar spray", C25/1000, "NA")</f>
        <v>0</v>
      </c>
    </row>
    <row r="26" spans="2:10" x14ac:dyDescent="0.3">
      <c r="B26" s="7" t="s">
        <v>6</v>
      </c>
      <c r="C26" s="32" t="str">
        <f>IF(C6="soil application", (10^(0.95*C7-2.05)+0.82)*(-0.0648*(C7^2)+0.2431*C7+0.5822)*(1.5/(0.2+1.5*C8*0.01))*IF(C5="lb a.i./A", 0.5*C4, 0.45*C4), "NA")</f>
        <v>NA</v>
      </c>
      <c r="D26" s="8" t="str">
        <f>IF(C6="soil application", C26/1000, "NA")</f>
        <v>NA</v>
      </c>
    </row>
    <row r="27" spans="2:10" x14ac:dyDescent="0.3">
      <c r="B27" s="7" t="s">
        <v>7</v>
      </c>
      <c r="C27" s="32" t="str">
        <f>IF(C6="seed treatment", 1, "NA")</f>
        <v>NA</v>
      </c>
      <c r="D27" s="8" t="str">
        <f>IF(C6="seed treatment",C27/1000,"NA")</f>
        <v>NA</v>
      </c>
    </row>
    <row r="28" spans="2:10" x14ac:dyDescent="0.3">
      <c r="B28" s="20" t="s">
        <v>60</v>
      </c>
      <c r="C28" s="32" t="str">
        <f>IF(C6="tree trunk", C4/C9, "NA")</f>
        <v>NA</v>
      </c>
      <c r="D28" s="8" t="str">
        <f>IF(C6="tree trunk", C28/1000,  "NA")</f>
        <v>NA</v>
      </c>
    </row>
    <row r="30" spans="2:10" x14ac:dyDescent="0.3">
      <c r="B30" s="1" t="s">
        <v>81</v>
      </c>
    </row>
    <row r="31" spans="2:10" ht="28.8" x14ac:dyDescent="0.3">
      <c r="B31" s="6" t="s">
        <v>39</v>
      </c>
      <c r="C31" s="6" t="s">
        <v>40</v>
      </c>
      <c r="D31" s="6" t="s">
        <v>38</v>
      </c>
      <c r="E31" s="6" t="s">
        <v>35</v>
      </c>
      <c r="F31" s="6" t="s">
        <v>36</v>
      </c>
      <c r="G31" s="6" t="s">
        <v>37</v>
      </c>
      <c r="H31" s="6" t="s">
        <v>43</v>
      </c>
      <c r="I31" s="5" t="s">
        <v>41</v>
      </c>
      <c r="J31" s="6" t="s">
        <v>42</v>
      </c>
    </row>
    <row r="32" spans="2:10" x14ac:dyDescent="0.3">
      <c r="B32" s="34" t="s">
        <v>12</v>
      </c>
      <c r="C32" s="34" t="s">
        <v>13</v>
      </c>
      <c r="D32" s="9">
        <v>1</v>
      </c>
      <c r="E32" s="9">
        <v>1.9</v>
      </c>
      <c r="F32" s="9">
        <v>0</v>
      </c>
      <c r="G32" s="9">
        <v>0</v>
      </c>
      <c r="H32" s="8">
        <f>IF($C$10="yes",($D$11*G32+$D$12*F32+$D$13*E32),(MAX($D$25:$D$28)*G32+MAX($D$25:$D$28)*F32+MAX($D$25:$D$28)/100*E32))</f>
        <v>0</v>
      </c>
      <c r="I32" s="8" t="e">
        <f>H32/$C$20</f>
        <v>#DIV/0!</v>
      </c>
      <c r="J32" s="8" t="e">
        <f>H32/$C$21</f>
        <v>#DIV/0!</v>
      </c>
    </row>
    <row r="33" spans="2:10" x14ac:dyDescent="0.3">
      <c r="B33" s="34"/>
      <c r="C33" s="34"/>
      <c r="D33" s="9">
        <v>2</v>
      </c>
      <c r="E33" s="9">
        <v>9.4</v>
      </c>
      <c r="F33" s="9">
        <v>0</v>
      </c>
      <c r="G33" s="9">
        <v>0</v>
      </c>
      <c r="H33" s="8">
        <f t="shared" ref="H33:H49" si="0">IF($C$10="yes",($D$11*G33+$D$12*F33+$D$13*E33),(MAX($D$25:$D$28)*G33+MAX($D$25:$D$28)*F33+MAX($D$25:$D$28)/100*E33))</f>
        <v>0</v>
      </c>
      <c r="I33" s="8" t="e">
        <f t="shared" ref="I33:I41" si="1">H33/$C$20</f>
        <v>#DIV/0!</v>
      </c>
      <c r="J33" s="8" t="e">
        <f t="shared" ref="J33:J41" si="2">H33/$C$21</f>
        <v>#DIV/0!</v>
      </c>
    </row>
    <row r="34" spans="2:10" x14ac:dyDescent="0.3">
      <c r="B34" s="34"/>
      <c r="C34" s="34"/>
      <c r="D34" s="9">
        <v>3</v>
      </c>
      <c r="E34" s="9">
        <v>19</v>
      </c>
      <c r="F34" s="9">
        <v>0</v>
      </c>
      <c r="G34" s="9">
        <v>0</v>
      </c>
      <c r="H34" s="8">
        <f t="shared" si="0"/>
        <v>0</v>
      </c>
      <c r="I34" s="8" t="e">
        <f t="shared" si="1"/>
        <v>#DIV/0!</v>
      </c>
      <c r="J34" s="8" t="e">
        <f t="shared" si="2"/>
        <v>#DIV/0!</v>
      </c>
    </row>
    <row r="35" spans="2:10" x14ac:dyDescent="0.3">
      <c r="B35" s="34"/>
      <c r="C35" s="34"/>
      <c r="D35" s="9">
        <v>4</v>
      </c>
      <c r="E35" s="9">
        <v>0</v>
      </c>
      <c r="F35" s="9">
        <v>60</v>
      </c>
      <c r="G35" s="9">
        <v>1.8</v>
      </c>
      <c r="H35" s="8">
        <f t="shared" si="0"/>
        <v>0</v>
      </c>
      <c r="I35" s="8" t="e">
        <f t="shared" si="1"/>
        <v>#DIV/0!</v>
      </c>
      <c r="J35" s="8" t="e">
        <f t="shared" si="2"/>
        <v>#DIV/0!</v>
      </c>
    </row>
    <row r="36" spans="2:10" x14ac:dyDescent="0.3">
      <c r="B36" s="34"/>
      <c r="C36" s="34"/>
      <c r="D36" s="9">
        <v>5</v>
      </c>
      <c r="E36" s="9">
        <v>0</v>
      </c>
      <c r="F36" s="9">
        <v>120</v>
      </c>
      <c r="G36" s="9">
        <v>3.6</v>
      </c>
      <c r="H36" s="8">
        <f t="shared" si="0"/>
        <v>0</v>
      </c>
      <c r="I36" s="8" t="e">
        <f t="shared" si="1"/>
        <v>#DIV/0!</v>
      </c>
      <c r="J36" s="8" t="e">
        <f t="shared" si="2"/>
        <v>#DIV/0!</v>
      </c>
    </row>
    <row r="37" spans="2:10" x14ac:dyDescent="0.3">
      <c r="B37" s="34"/>
      <c r="C37" s="21" t="s">
        <v>14</v>
      </c>
      <c r="D37" s="9" t="s">
        <v>65</v>
      </c>
      <c r="E37" s="9">
        <v>0</v>
      </c>
      <c r="F37" s="9">
        <v>130</v>
      </c>
      <c r="G37" s="9">
        <v>3.6</v>
      </c>
      <c r="H37" s="8">
        <f t="shared" si="0"/>
        <v>0</v>
      </c>
      <c r="I37" s="8" t="e">
        <f t="shared" si="1"/>
        <v>#DIV/0!</v>
      </c>
      <c r="J37" s="8" t="e">
        <f t="shared" si="2"/>
        <v>#DIV/0!</v>
      </c>
    </row>
    <row r="38" spans="2:10" x14ac:dyDescent="0.3">
      <c r="B38" s="34"/>
      <c r="C38" s="34" t="s">
        <v>15</v>
      </c>
      <c r="D38" s="9">
        <v>1</v>
      </c>
      <c r="E38" s="9">
        <v>1.9</v>
      </c>
      <c r="F38" s="9">
        <v>0</v>
      </c>
      <c r="G38" s="9">
        <v>0</v>
      </c>
      <c r="H38" s="8">
        <f t="shared" si="0"/>
        <v>0</v>
      </c>
      <c r="I38" s="8" t="e">
        <f t="shared" si="1"/>
        <v>#DIV/0!</v>
      </c>
      <c r="J38" s="8" t="e">
        <f t="shared" si="2"/>
        <v>#DIV/0!</v>
      </c>
    </row>
    <row r="39" spans="2:10" x14ac:dyDescent="0.3">
      <c r="B39" s="34"/>
      <c r="C39" s="34"/>
      <c r="D39" s="9">
        <v>2</v>
      </c>
      <c r="E39" s="9">
        <v>9.4</v>
      </c>
      <c r="F39" s="9">
        <v>0</v>
      </c>
      <c r="G39" s="9">
        <v>0</v>
      </c>
      <c r="H39" s="8">
        <f t="shared" si="0"/>
        <v>0</v>
      </c>
      <c r="I39" s="8" t="e">
        <f t="shared" si="1"/>
        <v>#DIV/0!</v>
      </c>
      <c r="J39" s="8" t="e">
        <f t="shared" si="2"/>
        <v>#DIV/0!</v>
      </c>
    </row>
    <row r="40" spans="2:10" x14ac:dyDescent="0.3">
      <c r="B40" s="34"/>
      <c r="C40" s="34"/>
      <c r="D40" s="9">
        <v>3</v>
      </c>
      <c r="E40" s="9">
        <v>23</v>
      </c>
      <c r="F40" s="9">
        <v>0</v>
      </c>
      <c r="G40" s="9">
        <v>0</v>
      </c>
      <c r="H40" s="8">
        <f t="shared" si="0"/>
        <v>0</v>
      </c>
      <c r="I40" s="8" t="e">
        <f t="shared" si="1"/>
        <v>#DIV/0!</v>
      </c>
      <c r="J40" s="8" t="e">
        <f t="shared" si="2"/>
        <v>#DIV/0!</v>
      </c>
    </row>
    <row r="41" spans="2:10" x14ac:dyDescent="0.3">
      <c r="B41" s="34"/>
      <c r="C41" s="34"/>
      <c r="D41" s="9" t="s">
        <v>64</v>
      </c>
      <c r="E41" s="9">
        <v>141</v>
      </c>
      <c r="F41" s="9">
        <v>0</v>
      </c>
      <c r="G41" s="9">
        <v>0</v>
      </c>
      <c r="H41" s="8">
        <f t="shared" si="0"/>
        <v>0</v>
      </c>
      <c r="I41" s="8" t="e">
        <f t="shared" si="1"/>
        <v>#DIV/0!</v>
      </c>
      <c r="J41" s="8" t="e">
        <f t="shared" si="2"/>
        <v>#DIV/0!</v>
      </c>
    </row>
    <row r="42" spans="2:10" ht="28.8" x14ac:dyDescent="0.3">
      <c r="B42" s="34" t="s">
        <v>16</v>
      </c>
      <c r="C42" s="9" t="s">
        <v>17</v>
      </c>
      <c r="D42" s="9" t="s">
        <v>18</v>
      </c>
      <c r="E42" s="9">
        <v>0</v>
      </c>
      <c r="F42" s="9">
        <v>60</v>
      </c>
      <c r="G42" s="9">
        <f>AVERAGE(1.3,12)</f>
        <v>6.65</v>
      </c>
      <c r="H42" s="8">
        <f t="shared" si="0"/>
        <v>0</v>
      </c>
      <c r="I42" s="8" t="e">
        <f>H42/$C$18</f>
        <v>#DIV/0!</v>
      </c>
      <c r="J42" s="8" t="e">
        <f>H42/$C$19</f>
        <v>#DIV/0!</v>
      </c>
    </row>
    <row r="43" spans="2:10" ht="28.8" x14ac:dyDescent="0.3">
      <c r="B43" s="34"/>
      <c r="C43" s="9" t="s">
        <v>19</v>
      </c>
      <c r="D43" s="19" t="s">
        <v>34</v>
      </c>
      <c r="E43" s="9">
        <v>0</v>
      </c>
      <c r="F43" s="9">
        <f>AVERAGE(113, 167)</f>
        <v>140</v>
      </c>
      <c r="G43" s="9">
        <v>9.6</v>
      </c>
      <c r="H43" s="8">
        <f t="shared" si="0"/>
        <v>0</v>
      </c>
      <c r="I43" s="8" t="e">
        <f t="shared" ref="I43:I49" si="3">H43/$C$18</f>
        <v>#DIV/0!</v>
      </c>
      <c r="J43" s="8" t="e">
        <f t="shared" ref="J43:J49" si="4">H43/$C$19</f>
        <v>#DIV/0!</v>
      </c>
    </row>
    <row r="44" spans="2:10" ht="28.8" x14ac:dyDescent="0.3">
      <c r="B44" s="34"/>
      <c r="C44" s="9" t="s">
        <v>20</v>
      </c>
      <c r="D44" s="19" t="s">
        <v>33</v>
      </c>
      <c r="E44" s="9">
        <v>0</v>
      </c>
      <c r="F44" s="9">
        <v>60</v>
      </c>
      <c r="G44" s="9">
        <v>1.7</v>
      </c>
      <c r="H44" s="8">
        <f t="shared" si="0"/>
        <v>0</v>
      </c>
      <c r="I44" s="8" t="e">
        <f t="shared" si="3"/>
        <v>#DIV/0!</v>
      </c>
      <c r="J44" s="8" t="e">
        <f t="shared" si="4"/>
        <v>#DIV/0!</v>
      </c>
    </row>
    <row r="45" spans="2:10" x14ac:dyDescent="0.3">
      <c r="B45" s="34"/>
      <c r="C45" s="9" t="s">
        <v>21</v>
      </c>
      <c r="D45" s="9" t="s">
        <v>22</v>
      </c>
      <c r="E45" s="9">
        <v>0</v>
      </c>
      <c r="F45" s="9">
        <f>AVERAGE(35,52)</f>
        <v>43.5</v>
      </c>
      <c r="G45" s="9">
        <v>4.1000000000000002E-2</v>
      </c>
      <c r="H45" s="8">
        <f t="shared" si="0"/>
        <v>0</v>
      </c>
      <c r="I45" s="8" t="e">
        <f t="shared" si="3"/>
        <v>#DIV/0!</v>
      </c>
      <c r="J45" s="8" t="e">
        <f t="shared" si="4"/>
        <v>#DIV/0!</v>
      </c>
    </row>
    <row r="46" spans="2:10" x14ac:dyDescent="0.3">
      <c r="B46" s="34"/>
      <c r="C46" s="9" t="s">
        <v>23</v>
      </c>
      <c r="D46" s="9" t="s">
        <v>22</v>
      </c>
      <c r="E46" s="9">
        <v>0</v>
      </c>
      <c r="F46" s="9">
        <v>292</v>
      </c>
      <c r="G46" s="9">
        <v>4.1000000000000002E-2</v>
      </c>
      <c r="H46" s="8">
        <f t="shared" si="0"/>
        <v>0</v>
      </c>
      <c r="I46" s="8" t="e">
        <f t="shared" si="3"/>
        <v>#DIV/0!</v>
      </c>
      <c r="J46" s="8" t="e">
        <f t="shared" si="4"/>
        <v>#DIV/0!</v>
      </c>
    </row>
    <row r="47" spans="2:10" ht="28.8" x14ac:dyDescent="0.3">
      <c r="B47" s="34"/>
      <c r="C47" s="9" t="s">
        <v>24</v>
      </c>
      <c r="D47" s="9" t="s">
        <v>25</v>
      </c>
      <c r="E47" s="9">
        <v>0</v>
      </c>
      <c r="F47" s="9">
        <v>29</v>
      </c>
      <c r="G47" s="9">
        <v>2</v>
      </c>
      <c r="H47" s="8">
        <f t="shared" si="0"/>
        <v>0</v>
      </c>
      <c r="I47" s="8" t="e">
        <f t="shared" si="3"/>
        <v>#DIV/0!</v>
      </c>
      <c r="J47" s="8" t="e">
        <f t="shared" si="4"/>
        <v>#DIV/0!</v>
      </c>
    </row>
    <row r="48" spans="2:10" x14ac:dyDescent="0.3">
      <c r="B48" s="34"/>
      <c r="C48" s="9" t="s">
        <v>14</v>
      </c>
      <c r="D48" s="9" t="s">
        <v>26</v>
      </c>
      <c r="E48" s="9">
        <v>0</v>
      </c>
      <c r="F48" s="9">
        <f>AVERAGE(133, 337)</f>
        <v>235</v>
      </c>
      <c r="G48" s="9">
        <v>2.0000000000000001E-4</v>
      </c>
      <c r="H48" s="8">
        <f t="shared" si="0"/>
        <v>0</v>
      </c>
      <c r="I48" s="8" t="e">
        <f t="shared" si="3"/>
        <v>#DIV/0!</v>
      </c>
      <c r="J48" s="8" t="e">
        <f t="shared" si="4"/>
        <v>#DIV/0!</v>
      </c>
    </row>
    <row r="49" spans="2:10" ht="28.8" x14ac:dyDescent="0.3">
      <c r="B49" s="34"/>
      <c r="C49" s="9" t="s">
        <v>27</v>
      </c>
      <c r="D49" s="9" t="s">
        <v>28</v>
      </c>
      <c r="E49" s="9">
        <v>525</v>
      </c>
      <c r="F49" s="9">
        <v>0</v>
      </c>
      <c r="G49" s="9">
        <v>0</v>
      </c>
      <c r="H49" s="8">
        <f t="shared" si="0"/>
        <v>0</v>
      </c>
      <c r="I49" s="8" t="e">
        <f t="shared" si="3"/>
        <v>#DIV/0!</v>
      </c>
      <c r="J49" s="8" t="e">
        <f t="shared" si="4"/>
        <v>#DIV/0!</v>
      </c>
    </row>
  </sheetData>
  <sheetProtection algorithmName="SHA-512" hashValue="YZac1NN+ZpfNg+Fz+lXdo0emWhaE584O6WIJKrRXLFOu/wD2cEFHFwd65F/SmpAa5f6+SZe707ku/Ri9cD2VlA==" saltValue="3xz/rZhuSFMkbVLYtDgRLA==" spinCount="100000" sheet="1" objects="1" scenarios="1" formatCells="0"/>
  <mergeCells count="4">
    <mergeCell ref="B42:B49"/>
    <mergeCell ref="B32:B41"/>
    <mergeCell ref="C32:C36"/>
    <mergeCell ref="C38:C41"/>
  </mergeCells>
  <conditionalFormatting sqref="B7:C9">
    <cfRule type="expression" dxfId="5" priority="7">
      <formula>$C$6="seed treatment"</formula>
    </cfRule>
    <cfRule type="expression" dxfId="4" priority="8">
      <formula>$C$6="foliar spray"</formula>
    </cfRule>
  </conditionalFormatting>
  <conditionalFormatting sqref="B12:B13 C12:C13 D11:D13 E11:E13">
    <cfRule type="expression" dxfId="3" priority="6">
      <formula>$C$10="no"</formula>
    </cfRule>
  </conditionalFormatting>
  <conditionalFormatting sqref="B7:C8">
    <cfRule type="expression" dxfId="2" priority="5">
      <formula>$C$6="tree trunk"</formula>
    </cfRule>
  </conditionalFormatting>
  <conditionalFormatting sqref="B9:C9">
    <cfRule type="expression" dxfId="1" priority="4">
      <formula>$C$6="soil application"</formula>
    </cfRule>
  </conditionalFormatting>
  <conditionalFormatting sqref="B11:C11">
    <cfRule type="expression" dxfId="0" priority="1">
      <formula>$C$10="no"</formula>
    </cfRule>
  </conditionalFormatting>
  <dataValidations count="3">
    <dataValidation type="list" allowBlank="1" showInputMessage="1" showErrorMessage="1" sqref="C5">
      <formula1>$I$2:$I$4</formula1>
    </dataValidation>
    <dataValidation type="list" allowBlank="1" showInputMessage="1" showErrorMessage="1" sqref="C6">
      <formula1>$B$25:$B$28</formula1>
    </dataValidation>
    <dataValidation type="list" allowBlank="1" showInputMessage="1" showErrorMessage="1" sqref="C10">
      <formula1>$I$5:$I$6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BeeREX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Garber</dc:creator>
  <cp:lastModifiedBy>Garber, Kristina</cp:lastModifiedBy>
  <dcterms:created xsi:type="dcterms:W3CDTF">2013-09-09T15:36:25Z</dcterms:created>
  <dcterms:modified xsi:type="dcterms:W3CDTF">2015-10-08T19:12:08Z</dcterms:modified>
</cp:coreProperties>
</file>